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theme/themeOverride1.xml" ContentType="application/vnd.openxmlformats-officedocument.themeOverride+xml"/>
  <Override PartName="/xl/charts/chart35.xml" ContentType="application/vnd.openxmlformats-officedocument.drawingml.chart+xml"/>
  <Override PartName="/xl/theme/themeOverride2.xml" ContentType="application/vnd.openxmlformats-officedocument.themeOverride+xml"/>
  <Override PartName="/xl/charts/chart36.xml" ContentType="application/vnd.openxmlformats-officedocument.drawingml.chart+xml"/>
  <Override PartName="/xl/theme/themeOverride3.xml" ContentType="application/vnd.openxmlformats-officedocument.themeOverride+xml"/>
  <Override PartName="/xl/charts/chart37.xml" ContentType="application/vnd.openxmlformats-officedocument.drawingml.chart+xml"/>
  <Override PartName="/xl/theme/themeOverride4.xml" ContentType="application/vnd.openxmlformats-officedocument.themeOverride+xml"/>
  <Override PartName="/xl/charts/chart38.xml" ContentType="application/vnd.openxmlformats-officedocument.drawingml.chart+xml"/>
  <Override PartName="/xl/theme/themeOverride5.xml" ContentType="application/vnd.openxmlformats-officedocument.themeOverride+xml"/>
  <Override PartName="/xl/charts/chart39.xml" ContentType="application/vnd.openxmlformats-officedocument.drawingml.chart+xml"/>
  <Override PartName="/xl/theme/themeOverride6.xml" ContentType="application/vnd.openxmlformats-officedocument.themeOverride+xml"/>
  <Override PartName="/xl/charts/chart40.xml" ContentType="application/vnd.openxmlformats-officedocument.drawingml.chart+xml"/>
  <Override PartName="/xl/theme/themeOverride7.xml" ContentType="application/vnd.openxmlformats-officedocument.themeOverride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theme/themeOverride8.xml" ContentType="application/vnd.openxmlformats-officedocument.themeOverride+xml"/>
  <Override PartName="/xl/charts/chart47.xml" ContentType="application/vnd.openxmlformats-officedocument.drawingml.chart+xml"/>
  <Override PartName="/xl/theme/themeOverride9.xml" ContentType="application/vnd.openxmlformats-officedocument.themeOverride+xml"/>
  <Override PartName="/xl/charts/chart48.xml" ContentType="application/vnd.openxmlformats-officedocument.drawingml.chart+xml"/>
  <Override PartName="/xl/theme/themeOverride10.xml" ContentType="application/vnd.openxmlformats-officedocument.themeOverride+xml"/>
  <Override PartName="/xl/charts/chart49.xml" ContentType="application/vnd.openxmlformats-officedocument.drawingml.chart+xml"/>
  <Override PartName="/xl/theme/themeOverride11.xml" ContentType="application/vnd.openxmlformats-officedocument.themeOverride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theme/themeOverride12.xml" ContentType="application/vnd.openxmlformats-officedocument.themeOverride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6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en\Biologie\Master\Thesis\Thesis\data\raw\"/>
    </mc:Choice>
  </mc:AlternateContent>
  <xr:revisionPtr revIDLastSave="0" documentId="13_ncr:1_{FC416A5F-8E65-4C9A-8A92-4666CCFAFAD2}" xr6:coauthVersionLast="36" xr6:coauthVersionMax="36" xr10:uidLastSave="{00000000-0000-0000-0000-000000000000}"/>
  <bookViews>
    <workbookView xWindow="0" yWindow="0" windowWidth="2160" windowHeight="1170" firstSheet="5" activeTab="8" xr2:uid="{00000000-000D-0000-FFFF-FFFF00000000}"/>
  </bookViews>
  <sheets>
    <sheet name="fysico-chemie" sheetId="1" r:id="rId1"/>
    <sheet name="fig fysico-chemie" sheetId="8" r:id="rId2"/>
    <sheet name="vangsten" sheetId="2" r:id="rId3"/>
    <sheet name="nachtvangsten" sheetId="4" r:id="rId4"/>
    <sheet name="morfometrie" sheetId="3" r:id="rId5"/>
    <sheet name="morf. samenv." sheetId="17" r:id="rId6"/>
    <sheet name="opmerkingen" sheetId="6" r:id="rId7"/>
    <sheet name="Benthos" sheetId="16" r:id="rId8"/>
    <sheet name="tabel + figuren paper" sheetId="29" r:id="rId9"/>
    <sheet name="voedselopname 2018" sheetId="3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U9" i="29" l="1"/>
  <c r="D1154" i="2" l="1"/>
  <c r="D1153" i="2"/>
  <c r="D1152" i="2"/>
  <c r="C1153" i="2"/>
  <c r="C1152" i="2"/>
  <c r="E874" i="4"/>
  <c r="F874" i="4"/>
  <c r="G874" i="4"/>
  <c r="H874" i="4"/>
  <c r="I874" i="4"/>
  <c r="J874" i="4"/>
  <c r="K874" i="4"/>
  <c r="L874" i="4"/>
  <c r="M874" i="4"/>
  <c r="N874" i="4"/>
  <c r="O874" i="4"/>
  <c r="P874" i="4"/>
  <c r="Q874" i="4"/>
  <c r="R874" i="4"/>
  <c r="S874" i="4"/>
  <c r="T874" i="4"/>
  <c r="U874" i="4"/>
  <c r="V874" i="4"/>
  <c r="W874" i="4"/>
  <c r="D874" i="4"/>
  <c r="E583" i="4"/>
  <c r="F583" i="4"/>
  <c r="G583" i="4"/>
  <c r="H583" i="4"/>
  <c r="I583" i="4"/>
  <c r="J583" i="4"/>
  <c r="K583" i="4"/>
  <c r="L583" i="4"/>
  <c r="M583" i="4"/>
  <c r="N583" i="4"/>
  <c r="O583" i="4"/>
  <c r="P583" i="4"/>
  <c r="Q583" i="4"/>
  <c r="R583" i="4"/>
  <c r="S583" i="4"/>
  <c r="T583" i="4"/>
  <c r="U583" i="4"/>
  <c r="V583" i="4"/>
  <c r="W583" i="4"/>
  <c r="D583" i="4"/>
  <c r="Q292" i="4"/>
  <c r="R292" i="4"/>
  <c r="S292" i="4"/>
  <c r="T292" i="4"/>
  <c r="U292" i="4"/>
  <c r="V292" i="4"/>
  <c r="W292" i="4"/>
  <c r="L3" i="31" l="1"/>
  <c r="M3" i="31"/>
  <c r="N3" i="31"/>
  <c r="O3" i="31"/>
  <c r="L4" i="31"/>
  <c r="M4" i="31"/>
  <c r="N4" i="31"/>
  <c r="O4" i="31"/>
  <c r="K4" i="31"/>
  <c r="K3" i="31"/>
  <c r="H17" i="31"/>
  <c r="K17" i="31" s="1"/>
  <c r="H18" i="31"/>
  <c r="M18" i="31" s="1"/>
  <c r="H19" i="31"/>
  <c r="K19" i="31" s="1"/>
  <c r="H20" i="31"/>
  <c r="M20" i="31" s="1"/>
  <c r="H21" i="31"/>
  <c r="K21" i="31" s="1"/>
  <c r="H22" i="31"/>
  <c r="M22" i="31" s="1"/>
  <c r="H23" i="31"/>
  <c r="K23" i="31" s="1"/>
  <c r="H24" i="31"/>
  <c r="M24" i="31" s="1"/>
  <c r="H25" i="31"/>
  <c r="K25" i="31" s="1"/>
  <c r="H26" i="31"/>
  <c r="M26" i="31" s="1"/>
  <c r="H27" i="31"/>
  <c r="M27" i="31" s="1"/>
  <c r="H28" i="31"/>
  <c r="K28" i="31" s="1"/>
  <c r="H29" i="31"/>
  <c r="M29" i="31" s="1"/>
  <c r="H30" i="31"/>
  <c r="K30" i="31" s="1"/>
  <c r="H31" i="31"/>
  <c r="N31" i="31" s="1"/>
  <c r="M8505" i="3"/>
  <c r="M8059" i="3"/>
  <c r="M7598" i="3"/>
  <c r="M7398" i="3"/>
  <c r="M7040" i="3"/>
  <c r="M6877" i="3"/>
  <c r="M6589" i="3"/>
  <c r="M6345" i="3"/>
  <c r="M6137" i="3"/>
  <c r="M5952" i="3"/>
  <c r="M5848" i="3"/>
  <c r="M5762" i="3"/>
  <c r="M5587" i="3"/>
  <c r="M5470" i="3"/>
  <c r="M5453" i="3"/>
  <c r="H44" i="31"/>
  <c r="K44" i="31" s="1"/>
  <c r="H45" i="31"/>
  <c r="M45" i="31" s="1"/>
  <c r="H46" i="31"/>
  <c r="K46" i="31" s="1"/>
  <c r="H47" i="31"/>
  <c r="M47" i="31" s="1"/>
  <c r="H48" i="31"/>
  <c r="K48" i="31" s="1"/>
  <c r="H49" i="31"/>
  <c r="N49" i="31" s="1"/>
  <c r="H50" i="31"/>
  <c r="M50" i="31" s="1"/>
  <c r="H51" i="31"/>
  <c r="K51" i="31" s="1"/>
  <c r="H52" i="31"/>
  <c r="K52" i="31" s="1"/>
  <c r="H53" i="31"/>
  <c r="N53" i="31" s="1"/>
  <c r="L8607" i="3"/>
  <c r="L8164" i="3"/>
  <c r="L7706" i="3"/>
  <c r="L7512" i="3"/>
  <c r="L7160" i="3"/>
  <c r="X7400" i="3"/>
  <c r="Y7400" i="3"/>
  <c r="L6696" i="3"/>
  <c r="L6446" i="3"/>
  <c r="L6055" i="3"/>
  <c r="L5835" i="3"/>
  <c r="L5318" i="3"/>
  <c r="H35" i="31"/>
  <c r="M35" i="31" s="1"/>
  <c r="H36" i="31"/>
  <c r="K36" i="31" s="1"/>
  <c r="H37" i="31"/>
  <c r="M37" i="31" s="1"/>
  <c r="H38" i="31"/>
  <c r="K38" i="31" s="1"/>
  <c r="H39" i="31"/>
  <c r="M39" i="31" s="1"/>
  <c r="H40" i="31"/>
  <c r="K40" i="31" s="1"/>
  <c r="H41" i="31"/>
  <c r="M41" i="31" s="1"/>
  <c r="H34" i="31"/>
  <c r="K34" i="31" s="1"/>
  <c r="H8" i="31"/>
  <c r="M8" i="31" s="1"/>
  <c r="H9" i="31"/>
  <c r="K9" i="31" s="1"/>
  <c r="H10" i="31"/>
  <c r="M10" i="31" s="1"/>
  <c r="H11" i="31"/>
  <c r="K11" i="31" s="1"/>
  <c r="H12" i="31"/>
  <c r="M12" i="31" s="1"/>
  <c r="H13" i="31"/>
  <c r="K13" i="31" s="1"/>
  <c r="H14" i="31"/>
  <c r="M14" i="31" s="1"/>
  <c r="H7" i="31"/>
  <c r="K7" i="31" s="1"/>
  <c r="M8021" i="3"/>
  <c r="M7340" i="3"/>
  <c r="N6977" i="3"/>
  <c r="N6532" i="3"/>
  <c r="N6085" i="3"/>
  <c r="N5709" i="3"/>
  <c r="N5350" i="3"/>
  <c r="M46" i="31" l="1"/>
  <c r="K45" i="31"/>
  <c r="O39" i="31"/>
  <c r="L38" i="31"/>
  <c r="K35" i="31"/>
  <c r="O14" i="31"/>
  <c r="O12" i="31"/>
  <c r="M9" i="31"/>
  <c r="O50" i="31"/>
  <c r="O45" i="31"/>
  <c r="M44" i="31"/>
  <c r="K39" i="31"/>
  <c r="O37" i="31"/>
  <c r="N34" i="31"/>
  <c r="K14" i="31"/>
  <c r="K12" i="31"/>
  <c r="L9" i="31"/>
  <c r="K50" i="31"/>
  <c r="N45" i="31"/>
  <c r="O41" i="31"/>
  <c r="N38" i="31"/>
  <c r="K37" i="31"/>
  <c r="M34" i="31"/>
  <c r="M13" i="31"/>
  <c r="O10" i="31"/>
  <c r="O8" i="31"/>
  <c r="M49" i="31"/>
  <c r="L45" i="31"/>
  <c r="K41" i="31"/>
  <c r="M38" i="31"/>
  <c r="O35" i="31"/>
  <c r="L34" i="31"/>
  <c r="L13" i="31"/>
  <c r="K10" i="31"/>
  <c r="K8" i="31"/>
  <c r="O47" i="31"/>
  <c r="L22" i="31"/>
  <c r="M7" i="31"/>
  <c r="L50" i="31"/>
  <c r="L47" i="31"/>
  <c r="N46" i="31"/>
  <c r="N44" i="31"/>
  <c r="L41" i="31"/>
  <c r="N40" i="31"/>
  <c r="L39" i="31"/>
  <c r="L37" i="31"/>
  <c r="N36" i="31"/>
  <c r="L35" i="31"/>
  <c r="L14" i="31"/>
  <c r="N13" i="31"/>
  <c r="L12" i="31"/>
  <c r="N11" i="31"/>
  <c r="L10" i="31"/>
  <c r="N9" i="31"/>
  <c r="L8" i="31"/>
  <c r="N7" i="31"/>
  <c r="K47" i="31"/>
  <c r="M40" i="31"/>
  <c r="M36" i="31"/>
  <c r="M11" i="31"/>
  <c r="N50" i="31"/>
  <c r="N47" i="31"/>
  <c r="L46" i="31"/>
  <c r="L44" i="31"/>
  <c r="N41" i="31"/>
  <c r="L40" i="31"/>
  <c r="N39" i="31"/>
  <c r="N37" i="31"/>
  <c r="L36" i="31"/>
  <c r="N35" i="31"/>
  <c r="N14" i="31"/>
  <c r="N12" i="31"/>
  <c r="L11" i="31"/>
  <c r="N10" i="31"/>
  <c r="N8" i="31"/>
  <c r="L7" i="31"/>
  <c r="N52" i="31"/>
  <c r="N48" i="31"/>
  <c r="O46" i="31"/>
  <c r="O44" i="31"/>
  <c r="O40" i="31"/>
  <c r="O38" i="31"/>
  <c r="O36" i="31"/>
  <c r="O34" i="31"/>
  <c r="L18" i="31"/>
  <c r="O13" i="31"/>
  <c r="O11" i="31"/>
  <c r="O9" i="31"/>
  <c r="O7" i="31"/>
  <c r="M53" i="31"/>
  <c r="O53" i="31"/>
  <c r="K53" i="31"/>
  <c r="L53" i="31"/>
  <c r="M52" i="31"/>
  <c r="L52" i="31"/>
  <c r="O52" i="31"/>
  <c r="N51" i="31"/>
  <c r="M51" i="31"/>
  <c r="L51" i="31"/>
  <c r="O51" i="31"/>
  <c r="L49" i="31"/>
  <c r="O49" i="31"/>
  <c r="K49" i="31"/>
  <c r="M48" i="31"/>
  <c r="L48" i="31"/>
  <c r="O48" i="31"/>
  <c r="N28" i="31"/>
  <c r="O29" i="31"/>
  <c r="M28" i="31"/>
  <c r="O24" i="31"/>
  <c r="O20" i="31"/>
  <c r="L29" i="31"/>
  <c r="N25" i="31"/>
  <c r="L24" i="31"/>
  <c r="N21" i="31"/>
  <c r="L20" i="31"/>
  <c r="N17" i="31"/>
  <c r="K29" i="31"/>
  <c r="M25" i="31"/>
  <c r="K24" i="31"/>
  <c r="M21" i="31"/>
  <c r="K20" i="31"/>
  <c r="M17" i="31"/>
  <c r="M31" i="31"/>
  <c r="O27" i="31"/>
  <c r="O22" i="31"/>
  <c r="M19" i="31"/>
  <c r="O18" i="31"/>
  <c r="K18" i="31"/>
  <c r="N30" i="31"/>
  <c r="N29" i="31"/>
  <c r="L28" i="31"/>
  <c r="N27" i="31"/>
  <c r="L25" i="31"/>
  <c r="N24" i="31"/>
  <c r="L23" i="31"/>
  <c r="N22" i="31"/>
  <c r="L21" i="31"/>
  <c r="N20" i="31"/>
  <c r="L19" i="31"/>
  <c r="N18" i="31"/>
  <c r="L17" i="31"/>
  <c r="L27" i="31"/>
  <c r="N23" i="31"/>
  <c r="N19" i="31"/>
  <c r="L31" i="31"/>
  <c r="K27" i="31"/>
  <c r="M23" i="31"/>
  <c r="K22" i="31"/>
  <c r="M30" i="31"/>
  <c r="O28" i="31"/>
  <c r="O25" i="31"/>
  <c r="O23" i="31"/>
  <c r="O21" i="31"/>
  <c r="O19" i="31"/>
  <c r="O17" i="31"/>
  <c r="O31" i="31"/>
  <c r="K31" i="31"/>
  <c r="L30" i="31"/>
  <c r="O30" i="31"/>
  <c r="L26" i="31"/>
  <c r="O26" i="31"/>
  <c r="K26" i="31"/>
  <c r="N26" i="31"/>
  <c r="AU10" i="29"/>
  <c r="AU11" i="29"/>
  <c r="CG4" i="29" l="1"/>
  <c r="CG5" i="29"/>
  <c r="CG3" i="29" l="1"/>
  <c r="CF3" i="29"/>
  <c r="O5469" i="3" l="1"/>
  <c r="P5469" i="3"/>
  <c r="Q5469" i="3"/>
  <c r="R5469" i="3"/>
  <c r="S5469" i="3"/>
  <c r="T5469" i="3"/>
  <c r="U5469" i="3"/>
  <c r="N5469" i="3"/>
  <c r="V5468" i="3"/>
  <c r="E417" i="17"/>
  <c r="F419" i="17" s="1"/>
  <c r="F417" i="17"/>
  <c r="C417" i="17"/>
  <c r="B417" i="17"/>
  <c r="D406" i="17"/>
  <c r="D407" i="17"/>
  <c r="D408" i="17"/>
  <c r="D409" i="17"/>
  <c r="D410" i="17"/>
  <c r="D411" i="17"/>
  <c r="D412" i="17"/>
  <c r="D413" i="17"/>
  <c r="D414" i="17"/>
  <c r="D415" i="17"/>
  <c r="D405" i="17"/>
  <c r="D417" i="17" s="1"/>
  <c r="AK68" i="4"/>
  <c r="AJ68" i="4"/>
  <c r="AI68" i="4"/>
  <c r="AH68" i="4"/>
  <c r="AG68" i="4"/>
  <c r="AF68" i="4"/>
  <c r="AE68" i="4"/>
  <c r="AD68" i="4"/>
  <c r="AC68" i="4"/>
  <c r="AD36" i="4"/>
  <c r="AE36" i="4"/>
  <c r="AF36" i="4"/>
  <c r="AG36" i="4"/>
  <c r="AH36" i="4"/>
  <c r="AI36" i="4"/>
  <c r="AJ36" i="4"/>
  <c r="AK36" i="4"/>
  <c r="AC36" i="4"/>
  <c r="BE61" i="4"/>
  <c r="BA59" i="4"/>
  <c r="BE59" i="4" s="1"/>
  <c r="AZ59" i="4"/>
  <c r="AZ60" i="4"/>
  <c r="BD60" i="4" s="1"/>
  <c r="BA60" i="4"/>
  <c r="BE60" i="4" s="1"/>
  <c r="AZ61" i="4"/>
  <c r="BD61" i="4" s="1"/>
  <c r="BA61" i="4"/>
  <c r="AZ62" i="4"/>
  <c r="BA62" i="4"/>
  <c r="BE62" i="4" s="1"/>
  <c r="AZ63" i="4"/>
  <c r="BD63" i="4" s="1"/>
  <c r="BA63" i="4"/>
  <c r="BE63" i="4" s="1"/>
  <c r="AZ64" i="4"/>
  <c r="BD64" i="4" s="1"/>
  <c r="BA64" i="4"/>
  <c r="BE64" i="4" s="1"/>
  <c r="AZ65" i="4"/>
  <c r="BA65" i="4"/>
  <c r="BE65" i="4" s="1"/>
  <c r="AZ66" i="4"/>
  <c r="BA66" i="4"/>
  <c r="BE66" i="4" s="1"/>
  <c r="AZ34" i="4"/>
  <c r="BA34" i="4"/>
  <c r="AL60" i="4"/>
  <c r="AL61" i="4"/>
  <c r="AL62" i="4"/>
  <c r="AL63" i="4"/>
  <c r="AL64" i="4"/>
  <c r="AL65" i="4"/>
  <c r="AL66" i="4"/>
  <c r="AL59" i="4"/>
  <c r="Y845" i="4"/>
  <c r="Y844" i="4"/>
  <c r="Y843" i="4"/>
  <c r="Y842" i="4"/>
  <c r="Y841" i="4"/>
  <c r="Y840" i="4"/>
  <c r="Y839" i="4"/>
  <c r="Y838" i="4"/>
  <c r="Y837" i="4"/>
  <c r="Y809" i="4"/>
  <c r="Y808" i="4"/>
  <c r="Y807" i="4"/>
  <c r="Y806" i="4"/>
  <c r="Y805" i="4"/>
  <c r="Y804" i="4"/>
  <c r="Y803" i="4"/>
  <c r="Y802" i="4"/>
  <c r="Y801" i="4"/>
  <c r="Y773" i="4"/>
  <c r="Y772" i="4"/>
  <c r="Y771" i="4"/>
  <c r="Y770" i="4"/>
  <c r="Y769" i="4"/>
  <c r="Y768" i="4"/>
  <c r="Y767" i="4"/>
  <c r="Y766" i="4"/>
  <c r="Y765" i="4"/>
  <c r="Y737" i="4"/>
  <c r="Y736" i="4"/>
  <c r="Y735" i="4"/>
  <c r="Y734" i="4"/>
  <c r="Y733" i="4"/>
  <c r="Y732" i="4"/>
  <c r="Y731" i="4"/>
  <c r="Y730" i="4"/>
  <c r="Y729" i="4"/>
  <c r="Y701" i="4"/>
  <c r="Y700" i="4"/>
  <c r="Y699" i="4"/>
  <c r="Y698" i="4"/>
  <c r="Y697" i="4"/>
  <c r="Y696" i="4"/>
  <c r="Y695" i="4"/>
  <c r="Y694" i="4"/>
  <c r="Y693" i="4"/>
  <c r="Y665" i="4"/>
  <c r="Y664" i="4"/>
  <c r="Y663" i="4"/>
  <c r="Y662" i="4"/>
  <c r="Y661" i="4"/>
  <c r="Y660" i="4"/>
  <c r="Y659" i="4"/>
  <c r="Y658" i="4"/>
  <c r="Y657" i="4"/>
  <c r="Y629" i="4"/>
  <c r="Y628" i="4"/>
  <c r="Y627" i="4"/>
  <c r="Y626" i="4"/>
  <c r="Y625" i="4"/>
  <c r="Y624" i="4"/>
  <c r="Y623" i="4"/>
  <c r="Y622" i="4"/>
  <c r="Y621" i="4"/>
  <c r="Y593" i="4"/>
  <c r="Y592" i="4"/>
  <c r="Y591" i="4"/>
  <c r="Y590" i="4"/>
  <c r="Y589" i="4"/>
  <c r="Y588" i="4"/>
  <c r="Y587" i="4"/>
  <c r="Y586" i="4"/>
  <c r="Y585" i="4"/>
  <c r="Y554" i="4"/>
  <c r="Y553" i="4"/>
  <c r="Y552" i="4"/>
  <c r="Y551" i="4"/>
  <c r="Y550" i="4"/>
  <c r="Y549" i="4"/>
  <c r="Y548" i="4"/>
  <c r="Y547" i="4"/>
  <c r="Y546" i="4"/>
  <c r="Y510" i="4"/>
  <c r="R259" i="17"/>
  <c r="M240" i="17"/>
  <c r="M252" i="17"/>
  <c r="M266" i="17"/>
  <c r="R170" i="17"/>
  <c r="M170" i="17"/>
  <c r="R168" i="17"/>
  <c r="BB61" i="4" l="1"/>
  <c r="BB59" i="4"/>
  <c r="BB62" i="4"/>
  <c r="BB34" i="4"/>
  <c r="BB65" i="4"/>
  <c r="BB60" i="4"/>
  <c r="BD65" i="4"/>
  <c r="BD59" i="4"/>
  <c r="BB66" i="4"/>
  <c r="BB64" i="4"/>
  <c r="BB63" i="4"/>
  <c r="BD66" i="4"/>
  <c r="BD62" i="4"/>
  <c r="R334" i="17"/>
  <c r="Q334" i="17"/>
  <c r="P334" i="17"/>
  <c r="R296" i="17"/>
  <c r="Q296" i="17"/>
  <c r="P296" i="17"/>
  <c r="D295" i="17"/>
  <c r="B295" i="17"/>
  <c r="C295" i="17"/>
  <c r="D335" i="17"/>
  <c r="D314" i="17"/>
  <c r="C498" i="8" l="1"/>
  <c r="C484" i="8"/>
  <c r="C469" i="8"/>
  <c r="AL32" i="8" l="1"/>
  <c r="AK32" i="8"/>
  <c r="AK33" i="8"/>
  <c r="AL33" i="8"/>
  <c r="AK34" i="8"/>
  <c r="AL34" i="8"/>
  <c r="AK35" i="8"/>
  <c r="AL35" i="8"/>
  <c r="AK36" i="8"/>
  <c r="AL36" i="8"/>
  <c r="AK37" i="8"/>
  <c r="AL37" i="8"/>
  <c r="AK38" i="8"/>
  <c r="AL38" i="8"/>
  <c r="AK39" i="8"/>
  <c r="AL39" i="8"/>
  <c r="AK40" i="8"/>
  <c r="AL40" i="8"/>
  <c r="AK41" i="8"/>
  <c r="AL41" i="8"/>
  <c r="AK42" i="8"/>
  <c r="AL42" i="8"/>
  <c r="AK43" i="8"/>
  <c r="AL43" i="8"/>
  <c r="AI332" i="8" l="1"/>
  <c r="AG333" i="8"/>
  <c r="AH333" i="8"/>
  <c r="AI333" i="8"/>
  <c r="AG334" i="8"/>
  <c r="AH334" i="8"/>
  <c r="AI334" i="8"/>
  <c r="AG335" i="8"/>
  <c r="AH335" i="8"/>
  <c r="AI335" i="8"/>
  <c r="AG336" i="8"/>
  <c r="AH336" i="8"/>
  <c r="AI336" i="8"/>
  <c r="AG337" i="8"/>
  <c r="AH337" i="8"/>
  <c r="AI337" i="8"/>
  <c r="AG338" i="8"/>
  <c r="AH338" i="8"/>
  <c r="AI338" i="8"/>
  <c r="AG339" i="8"/>
  <c r="AH339" i="8"/>
  <c r="AI339" i="8"/>
  <c r="AG340" i="8"/>
  <c r="AH340" i="8"/>
  <c r="AI340" i="8"/>
  <c r="AG341" i="8"/>
  <c r="AH341" i="8"/>
  <c r="AI341" i="8"/>
  <c r="AG342" i="8"/>
  <c r="AH342" i="8"/>
  <c r="AI342" i="8"/>
  <c r="AG343" i="8"/>
  <c r="AH343" i="8"/>
  <c r="AI343" i="8"/>
  <c r="AG329" i="8"/>
  <c r="AG316" i="8"/>
  <c r="W330" i="8"/>
  <c r="W331" i="8"/>
  <c r="W332" i="8"/>
  <c r="W333" i="8"/>
  <c r="W334" i="8"/>
  <c r="W335" i="8"/>
  <c r="W336" i="8"/>
  <c r="W337" i="8"/>
  <c r="W338" i="8"/>
  <c r="W339" i="8"/>
  <c r="W340" i="8"/>
  <c r="W341" i="8"/>
  <c r="BA265" i="8"/>
  <c r="BB265" i="8"/>
  <c r="BA266" i="8"/>
  <c r="BB266" i="8"/>
  <c r="BA267" i="8"/>
  <c r="BB267" i="8"/>
  <c r="BA268" i="8"/>
  <c r="BB268" i="8"/>
  <c r="BA269" i="8"/>
  <c r="BB269" i="8"/>
  <c r="BA270" i="8"/>
  <c r="BB270" i="8"/>
  <c r="BA271" i="8"/>
  <c r="BB271" i="8"/>
  <c r="BA272" i="8"/>
  <c r="BB272" i="8"/>
  <c r="BA273" i="8"/>
  <c r="BB273" i="8"/>
  <c r="BA274" i="8"/>
  <c r="BB274" i="8"/>
  <c r="BA275" i="8"/>
  <c r="BB275" i="8"/>
  <c r="BA276" i="8"/>
  <c r="BB276" i="8"/>
  <c r="AI265" i="8"/>
  <c r="AG265" i="8"/>
  <c r="W274" i="8"/>
  <c r="AH265" i="8"/>
  <c r="AJ265" i="8"/>
  <c r="AK265" i="8"/>
  <c r="AL265" i="8"/>
  <c r="AG266" i="8"/>
  <c r="AH266" i="8"/>
  <c r="AI266" i="8"/>
  <c r="AJ266" i="8"/>
  <c r="AK266" i="8"/>
  <c r="AL266" i="8"/>
  <c r="AG267" i="8"/>
  <c r="AH267" i="8"/>
  <c r="AI267" i="8"/>
  <c r="AJ267" i="8"/>
  <c r="AK267" i="8"/>
  <c r="AL267" i="8"/>
  <c r="AG268" i="8"/>
  <c r="AH268" i="8"/>
  <c r="AI268" i="8"/>
  <c r="AJ268" i="8"/>
  <c r="AK268" i="8"/>
  <c r="AL268" i="8"/>
  <c r="AG269" i="8"/>
  <c r="AH269" i="8"/>
  <c r="AI269" i="8"/>
  <c r="AJ269" i="8"/>
  <c r="AK269" i="8"/>
  <c r="AL269" i="8"/>
  <c r="AG270" i="8"/>
  <c r="AH270" i="8"/>
  <c r="AI270" i="8"/>
  <c r="AJ270" i="8"/>
  <c r="AK270" i="8"/>
  <c r="AL270" i="8"/>
  <c r="AG271" i="8"/>
  <c r="AH271" i="8"/>
  <c r="AI271" i="8"/>
  <c r="AJ271" i="8"/>
  <c r="AK271" i="8"/>
  <c r="AL271" i="8"/>
  <c r="AG272" i="8"/>
  <c r="AH272" i="8"/>
  <c r="AI272" i="8"/>
  <c r="AJ272" i="8"/>
  <c r="AK272" i="8"/>
  <c r="AL272" i="8"/>
  <c r="AG273" i="8"/>
  <c r="AH273" i="8"/>
  <c r="AI273" i="8"/>
  <c r="AJ273" i="8"/>
  <c r="AK273" i="8"/>
  <c r="AL273" i="8"/>
  <c r="AG274" i="8"/>
  <c r="AH274" i="8"/>
  <c r="AI274" i="8"/>
  <c r="AJ274" i="8"/>
  <c r="AK274" i="8"/>
  <c r="AL274" i="8"/>
  <c r="AG275" i="8"/>
  <c r="AH275" i="8"/>
  <c r="AI275" i="8"/>
  <c r="AJ275" i="8"/>
  <c r="AK275" i="8"/>
  <c r="AL275" i="8"/>
  <c r="AG276" i="8"/>
  <c r="AH276" i="8"/>
  <c r="AI276" i="8"/>
  <c r="AJ276" i="8"/>
  <c r="AK276" i="8"/>
  <c r="AL276" i="8"/>
  <c r="BA32" i="8"/>
  <c r="BB32" i="8"/>
  <c r="BA33" i="8"/>
  <c r="BB33" i="8"/>
  <c r="BA34" i="8"/>
  <c r="BB34" i="8"/>
  <c r="BA35" i="8"/>
  <c r="BB35" i="8"/>
  <c r="BA36" i="8"/>
  <c r="BB36" i="8"/>
  <c r="BA37" i="8"/>
  <c r="BB37" i="8"/>
  <c r="BA38" i="8"/>
  <c r="BB38" i="8"/>
  <c r="BA39" i="8"/>
  <c r="BB39" i="8"/>
  <c r="BA40" i="8"/>
  <c r="BB40" i="8"/>
  <c r="BA41" i="8"/>
  <c r="BB41" i="8"/>
  <c r="BA42" i="8"/>
  <c r="BB42" i="8"/>
  <c r="BA43" i="8"/>
  <c r="BB43" i="8"/>
  <c r="P138" i="8"/>
  <c r="Q138" i="8"/>
  <c r="R138" i="8"/>
  <c r="S138" i="8"/>
  <c r="T138" i="8"/>
  <c r="U138" i="8"/>
  <c r="P139" i="8"/>
  <c r="Q139" i="8"/>
  <c r="R139" i="8"/>
  <c r="S139" i="8"/>
  <c r="T139" i="8"/>
  <c r="U139" i="8"/>
  <c r="P140" i="8"/>
  <c r="Q140" i="8"/>
  <c r="R140" i="8"/>
  <c r="S140" i="8"/>
  <c r="T140" i="8"/>
  <c r="U140" i="8"/>
  <c r="P141" i="8"/>
  <c r="Q141" i="8"/>
  <c r="R141" i="8"/>
  <c r="S141" i="8"/>
  <c r="T141" i="8"/>
  <c r="U141" i="8"/>
  <c r="P142" i="8"/>
  <c r="Q142" i="8"/>
  <c r="R142" i="8"/>
  <c r="S142" i="8"/>
  <c r="T142" i="8"/>
  <c r="U142" i="8"/>
  <c r="P143" i="8"/>
  <c r="Q143" i="8"/>
  <c r="R143" i="8"/>
  <c r="S143" i="8"/>
  <c r="T143" i="8"/>
  <c r="U143" i="8"/>
  <c r="P144" i="8"/>
  <c r="Q144" i="8"/>
  <c r="R144" i="8"/>
  <c r="S144" i="8"/>
  <c r="T144" i="8"/>
  <c r="U144" i="8"/>
  <c r="P145" i="8"/>
  <c r="Q145" i="8"/>
  <c r="R145" i="8"/>
  <c r="S145" i="8"/>
  <c r="T145" i="8"/>
  <c r="U145" i="8"/>
  <c r="P146" i="8"/>
  <c r="Q146" i="8"/>
  <c r="R146" i="8"/>
  <c r="S146" i="8"/>
  <c r="T146" i="8"/>
  <c r="U146" i="8"/>
  <c r="P147" i="8"/>
  <c r="Q147" i="8"/>
  <c r="R147" i="8"/>
  <c r="S147" i="8"/>
  <c r="T147" i="8"/>
  <c r="U147" i="8"/>
  <c r="P148" i="8"/>
  <c r="Q148" i="8"/>
  <c r="R148" i="8"/>
  <c r="S148" i="8"/>
  <c r="T148" i="8"/>
  <c r="U148" i="8"/>
  <c r="P149" i="8"/>
  <c r="Q149" i="8"/>
  <c r="R149" i="8"/>
  <c r="S149" i="8"/>
  <c r="T149" i="8"/>
  <c r="U149" i="8"/>
  <c r="B138" i="8"/>
  <c r="C138" i="8"/>
  <c r="D138" i="8"/>
  <c r="E138" i="8"/>
  <c r="F138" i="8"/>
  <c r="G138" i="8"/>
  <c r="B139" i="8"/>
  <c r="C139" i="8"/>
  <c r="D139" i="8"/>
  <c r="E139" i="8"/>
  <c r="F139" i="8"/>
  <c r="G139" i="8"/>
  <c r="B140" i="8"/>
  <c r="C140" i="8"/>
  <c r="D140" i="8"/>
  <c r="E140" i="8"/>
  <c r="F140" i="8"/>
  <c r="G140" i="8"/>
  <c r="B141" i="8"/>
  <c r="C141" i="8"/>
  <c r="D141" i="8"/>
  <c r="E141" i="8"/>
  <c r="F141" i="8"/>
  <c r="G141" i="8"/>
  <c r="B142" i="8"/>
  <c r="C142" i="8"/>
  <c r="D142" i="8"/>
  <c r="E142" i="8"/>
  <c r="F142" i="8"/>
  <c r="G142" i="8"/>
  <c r="B143" i="8"/>
  <c r="C143" i="8"/>
  <c r="D143" i="8"/>
  <c r="E143" i="8"/>
  <c r="F143" i="8"/>
  <c r="G143" i="8"/>
  <c r="B144" i="8"/>
  <c r="C144" i="8"/>
  <c r="D144" i="8"/>
  <c r="E144" i="8"/>
  <c r="F144" i="8"/>
  <c r="G144" i="8"/>
  <c r="B145" i="8"/>
  <c r="C145" i="8"/>
  <c r="D145" i="8"/>
  <c r="E145" i="8"/>
  <c r="F145" i="8"/>
  <c r="G145" i="8"/>
  <c r="B146" i="8"/>
  <c r="C146" i="8"/>
  <c r="D146" i="8"/>
  <c r="E146" i="8"/>
  <c r="F146" i="8"/>
  <c r="G146" i="8"/>
  <c r="B147" i="8"/>
  <c r="C147" i="8"/>
  <c r="D147" i="8"/>
  <c r="E147" i="8"/>
  <c r="F147" i="8"/>
  <c r="G147" i="8"/>
  <c r="B148" i="8"/>
  <c r="C148" i="8"/>
  <c r="D148" i="8"/>
  <c r="E148" i="8"/>
  <c r="F148" i="8"/>
  <c r="G148" i="8"/>
  <c r="B149" i="8"/>
  <c r="C149" i="8"/>
  <c r="D149" i="8"/>
  <c r="E149" i="8"/>
  <c r="F149" i="8"/>
  <c r="G149" i="8"/>
  <c r="BB200" i="8"/>
  <c r="BA200" i="8"/>
  <c r="BA209" i="8"/>
  <c r="BB209" i="8"/>
  <c r="BA210" i="8"/>
  <c r="BB210" i="8"/>
  <c r="BA211" i="8"/>
  <c r="BB211" i="8"/>
  <c r="BA201" i="8"/>
  <c r="BB201" i="8"/>
  <c r="BA202" i="8"/>
  <c r="BB202" i="8"/>
  <c r="BA203" i="8"/>
  <c r="BB203" i="8"/>
  <c r="BA204" i="8"/>
  <c r="BB204" i="8"/>
  <c r="BA205" i="8"/>
  <c r="BB205" i="8"/>
  <c r="BA206" i="8"/>
  <c r="BB206" i="8"/>
  <c r="AL200" i="8"/>
  <c r="AK200" i="8"/>
  <c r="AJ200" i="8"/>
  <c r="AI200" i="8"/>
  <c r="AH200" i="8"/>
  <c r="AG200" i="8"/>
  <c r="AG201" i="8"/>
  <c r="AH201" i="8"/>
  <c r="AI201" i="8"/>
  <c r="AJ201" i="8"/>
  <c r="AK201" i="8"/>
  <c r="AL201" i="8"/>
  <c r="AG202" i="8"/>
  <c r="AH202" i="8"/>
  <c r="AI202" i="8"/>
  <c r="AJ202" i="8"/>
  <c r="AK202" i="8"/>
  <c r="AL202" i="8"/>
  <c r="AG203" i="8"/>
  <c r="AH203" i="8"/>
  <c r="AI203" i="8"/>
  <c r="AJ203" i="8"/>
  <c r="AK203" i="8"/>
  <c r="AL203" i="8"/>
  <c r="AG204" i="8"/>
  <c r="AH204" i="8"/>
  <c r="AI204" i="8"/>
  <c r="AJ204" i="8"/>
  <c r="AK204" i="8"/>
  <c r="AL204" i="8"/>
  <c r="AG205" i="8"/>
  <c r="AH205" i="8"/>
  <c r="AI205" i="8"/>
  <c r="AJ205" i="8"/>
  <c r="AK205" i="8"/>
  <c r="AL205" i="8"/>
  <c r="AG206" i="8"/>
  <c r="AH206" i="8"/>
  <c r="AI206" i="8"/>
  <c r="AJ206" i="8"/>
  <c r="AK206" i="8"/>
  <c r="AL206" i="8"/>
  <c r="AG209" i="8"/>
  <c r="AH209" i="8"/>
  <c r="AI209" i="8"/>
  <c r="AJ209" i="8"/>
  <c r="AK209" i="8"/>
  <c r="AL209" i="8"/>
  <c r="AG210" i="8"/>
  <c r="AH210" i="8"/>
  <c r="AI210" i="8"/>
  <c r="AJ210" i="8"/>
  <c r="AK210" i="8"/>
  <c r="AL210" i="8"/>
  <c r="AG211" i="8"/>
  <c r="AH211" i="8"/>
  <c r="AI211" i="8"/>
  <c r="AJ211" i="8"/>
  <c r="AK211" i="8"/>
  <c r="AL211" i="8"/>
  <c r="W104" i="8"/>
  <c r="W147" i="8" s="1"/>
  <c r="BB92" i="8"/>
  <c r="BA92" i="8"/>
  <c r="BA95" i="8"/>
  <c r="BB95" i="8"/>
  <c r="BA96" i="8"/>
  <c r="BB96" i="8"/>
  <c r="BA97" i="8"/>
  <c r="BB97" i="8"/>
  <c r="BA98" i="8"/>
  <c r="BB98" i="8"/>
  <c r="BA99" i="8"/>
  <c r="BB99" i="8"/>
  <c r="BA100" i="8"/>
  <c r="BB100" i="8"/>
  <c r="BA101" i="8"/>
  <c r="BB101" i="8"/>
  <c r="BA102" i="8"/>
  <c r="BB102" i="8"/>
  <c r="BA103" i="8"/>
  <c r="BB103" i="8"/>
  <c r="BA104" i="8"/>
  <c r="BB104" i="8"/>
  <c r="BA105" i="8"/>
  <c r="BB105" i="8"/>
  <c r="BA106" i="8"/>
  <c r="BB106" i="8"/>
  <c r="AL92" i="8"/>
  <c r="AK92" i="8"/>
  <c r="AJ67" i="8"/>
  <c r="AI92" i="8"/>
  <c r="AI67" i="8"/>
  <c r="AH92" i="8"/>
  <c r="AH67" i="8"/>
  <c r="AG92" i="8"/>
  <c r="AG80" i="8"/>
  <c r="AG67" i="8"/>
  <c r="AG95" i="8"/>
  <c r="AH95" i="8"/>
  <c r="AI95" i="8"/>
  <c r="AJ95" i="8"/>
  <c r="AK95" i="8"/>
  <c r="AL95" i="8"/>
  <c r="AG96" i="8"/>
  <c r="AH96" i="8"/>
  <c r="AI96" i="8"/>
  <c r="AJ96" i="8"/>
  <c r="AK96" i="8"/>
  <c r="AL96" i="8"/>
  <c r="AG97" i="8"/>
  <c r="AH97" i="8"/>
  <c r="AI97" i="8"/>
  <c r="AJ97" i="8"/>
  <c r="AK97" i="8"/>
  <c r="AL97" i="8"/>
  <c r="AG98" i="8"/>
  <c r="AH98" i="8"/>
  <c r="AI98" i="8"/>
  <c r="AJ98" i="8"/>
  <c r="AK98" i="8"/>
  <c r="AL98" i="8"/>
  <c r="AG99" i="8"/>
  <c r="AH99" i="8"/>
  <c r="AI99" i="8"/>
  <c r="AJ99" i="8"/>
  <c r="AK99" i="8"/>
  <c r="AL99" i="8"/>
  <c r="AG100" i="8"/>
  <c r="AH100" i="8"/>
  <c r="AI100" i="8"/>
  <c r="AJ100" i="8"/>
  <c r="AK100" i="8"/>
  <c r="AL100" i="8"/>
  <c r="AG101" i="8"/>
  <c r="AH101" i="8"/>
  <c r="AI101" i="8"/>
  <c r="AJ101" i="8"/>
  <c r="AK101" i="8"/>
  <c r="AL101" i="8"/>
  <c r="AG102" i="8"/>
  <c r="AH102" i="8"/>
  <c r="AI102" i="8"/>
  <c r="AJ102" i="8"/>
  <c r="AK102" i="8"/>
  <c r="AL102" i="8"/>
  <c r="AG103" i="8"/>
  <c r="AH103" i="8"/>
  <c r="AI103" i="8"/>
  <c r="AJ103" i="8"/>
  <c r="AK103" i="8"/>
  <c r="AL103" i="8"/>
  <c r="AG104" i="8"/>
  <c r="AH104" i="8"/>
  <c r="AI104" i="8"/>
  <c r="AJ104" i="8"/>
  <c r="AK104" i="8"/>
  <c r="AL104" i="8"/>
  <c r="AG105" i="8"/>
  <c r="AH105" i="8"/>
  <c r="AI105" i="8"/>
  <c r="AJ105" i="8"/>
  <c r="AK105" i="8"/>
  <c r="AL105" i="8"/>
  <c r="AG106" i="8"/>
  <c r="AH106" i="8"/>
  <c r="AI106" i="8"/>
  <c r="AJ106" i="8"/>
  <c r="AK106" i="8"/>
  <c r="AL106" i="8"/>
  <c r="I138" i="8"/>
  <c r="J138" i="8"/>
  <c r="K138" i="8"/>
  <c r="L138" i="8"/>
  <c r="M138" i="8"/>
  <c r="N138" i="8"/>
  <c r="I139" i="8"/>
  <c r="J139" i="8"/>
  <c r="K139" i="8"/>
  <c r="L139" i="8"/>
  <c r="M139" i="8"/>
  <c r="N139" i="8"/>
  <c r="I140" i="8"/>
  <c r="J140" i="8"/>
  <c r="K140" i="8"/>
  <c r="L140" i="8"/>
  <c r="M140" i="8"/>
  <c r="N140" i="8"/>
  <c r="W140" i="8"/>
  <c r="I141" i="8"/>
  <c r="J141" i="8"/>
  <c r="K141" i="8"/>
  <c r="L141" i="8"/>
  <c r="M141" i="8"/>
  <c r="N141" i="8"/>
  <c r="W141" i="8"/>
  <c r="I142" i="8"/>
  <c r="J142" i="8"/>
  <c r="K142" i="8"/>
  <c r="L142" i="8"/>
  <c r="M142" i="8"/>
  <c r="N142" i="8"/>
  <c r="W142" i="8"/>
  <c r="I143" i="8"/>
  <c r="J143" i="8"/>
  <c r="K143" i="8"/>
  <c r="L143" i="8"/>
  <c r="M143" i="8"/>
  <c r="N143" i="8"/>
  <c r="W143" i="8"/>
  <c r="I144" i="8"/>
  <c r="J144" i="8"/>
  <c r="K144" i="8"/>
  <c r="L144" i="8"/>
  <c r="M144" i="8"/>
  <c r="N144" i="8"/>
  <c r="W144" i="8"/>
  <c r="I145" i="8"/>
  <c r="J145" i="8"/>
  <c r="K145" i="8"/>
  <c r="L145" i="8"/>
  <c r="M145" i="8"/>
  <c r="N145" i="8"/>
  <c r="W145" i="8"/>
  <c r="I146" i="8"/>
  <c r="J146" i="8"/>
  <c r="K146" i="8"/>
  <c r="L146" i="8"/>
  <c r="M146" i="8"/>
  <c r="N146" i="8"/>
  <c r="W146" i="8"/>
  <c r="I147" i="8"/>
  <c r="J147" i="8"/>
  <c r="K147" i="8"/>
  <c r="L147" i="8"/>
  <c r="M147" i="8"/>
  <c r="N147" i="8"/>
  <c r="I148" i="8"/>
  <c r="J148" i="8"/>
  <c r="K148" i="8"/>
  <c r="L148" i="8"/>
  <c r="M148" i="8"/>
  <c r="N148" i="8"/>
  <c r="W148" i="8"/>
  <c r="I149" i="8"/>
  <c r="J149" i="8"/>
  <c r="K149" i="8"/>
  <c r="L149" i="8"/>
  <c r="M149" i="8"/>
  <c r="N149" i="8"/>
  <c r="W149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17" i="8"/>
  <c r="AL4" i="8"/>
  <c r="AK17" i="8"/>
  <c r="AK4" i="8"/>
  <c r="AJ17" i="8"/>
  <c r="AJ4" i="8"/>
  <c r="AI17" i="8"/>
  <c r="AI4" i="8"/>
  <c r="AH5" i="8"/>
  <c r="AH6" i="8"/>
  <c r="AH7" i="8"/>
  <c r="AH8" i="8"/>
  <c r="AH9" i="8"/>
  <c r="AH10" i="8"/>
  <c r="AH11" i="8"/>
  <c r="AH12" i="8"/>
  <c r="AH13" i="8"/>
  <c r="AH14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" i="8"/>
  <c r="AG43" i="8"/>
  <c r="AG32" i="8"/>
  <c r="AG33" i="8"/>
  <c r="AG34" i="8"/>
  <c r="AG35" i="8"/>
  <c r="AG36" i="8"/>
  <c r="AG37" i="8"/>
  <c r="AG38" i="8"/>
  <c r="AG39" i="8"/>
  <c r="AG40" i="8"/>
  <c r="AG41" i="8"/>
  <c r="AG42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17" i="8"/>
  <c r="AG4" i="8"/>
  <c r="AI32" i="8"/>
  <c r="AJ32" i="8"/>
  <c r="AI33" i="8"/>
  <c r="AJ33" i="8"/>
  <c r="AI34" i="8"/>
  <c r="AJ34" i="8"/>
  <c r="AI35" i="8"/>
  <c r="AJ35" i="8"/>
  <c r="AI36" i="8"/>
  <c r="AJ36" i="8"/>
  <c r="AI37" i="8"/>
  <c r="AJ37" i="8"/>
  <c r="AI38" i="8"/>
  <c r="AJ38" i="8"/>
  <c r="AI39" i="8"/>
  <c r="AJ39" i="8"/>
  <c r="AI40" i="8"/>
  <c r="AJ40" i="8"/>
  <c r="AI41" i="8"/>
  <c r="AJ41" i="8"/>
  <c r="AI42" i="8"/>
  <c r="AJ42" i="8"/>
  <c r="AI43" i="8"/>
  <c r="AJ43" i="8"/>
  <c r="B48" i="29"/>
  <c r="B33" i="29"/>
  <c r="D48" i="29"/>
  <c r="D59" i="29" s="1"/>
  <c r="C48" i="29"/>
  <c r="C59" i="29" s="1"/>
  <c r="D33" i="29"/>
  <c r="C33" i="29"/>
  <c r="D17" i="29"/>
  <c r="C17" i="29"/>
  <c r="B17" i="29"/>
  <c r="C57" i="29" l="1"/>
  <c r="D57" i="29"/>
  <c r="AI148" i="8"/>
  <c r="AJ146" i="8"/>
  <c r="AH144" i="8"/>
  <c r="AJ142" i="8"/>
  <c r="AH140" i="8"/>
  <c r="AI147" i="8"/>
  <c r="AJ144" i="8"/>
  <c r="AI143" i="8"/>
  <c r="AJ140" i="8"/>
  <c r="AJ149" i="8"/>
  <c r="AG147" i="8"/>
  <c r="AI145" i="8"/>
  <c r="AG143" i="8"/>
  <c r="AI141" i="8"/>
  <c r="AJ139" i="8"/>
  <c r="AI149" i="8"/>
  <c r="AJ147" i="8"/>
  <c r="AI146" i="8"/>
  <c r="AJ143" i="8"/>
  <c r="AI142" i="8"/>
  <c r="AI139" i="8"/>
  <c r="AH139" i="8"/>
  <c r="AJ138" i="8"/>
  <c r="AJ148" i="8"/>
  <c r="AJ145" i="8"/>
  <c r="AI144" i="8"/>
  <c r="AJ141" i="8"/>
  <c r="AI140" i="8"/>
  <c r="AI138" i="8"/>
  <c r="AG149" i="8"/>
  <c r="AL147" i="8"/>
  <c r="AG146" i="8"/>
  <c r="AL143" i="8"/>
  <c r="AH143" i="8"/>
  <c r="AG142" i="8"/>
  <c r="AG139" i="8"/>
  <c r="AH138" i="8"/>
  <c r="AL148" i="8"/>
  <c r="AL145" i="8"/>
  <c r="AG144" i="8"/>
  <c r="AL141" i="8"/>
  <c r="AG140" i="8"/>
  <c r="AG138" i="8"/>
  <c r="AH149" i="8"/>
  <c r="AG148" i="8"/>
  <c r="AH146" i="8"/>
  <c r="BA145" i="8"/>
  <c r="AG145" i="8"/>
  <c r="AH142" i="8"/>
  <c r="BA141" i="8"/>
  <c r="AG141" i="8"/>
  <c r="BB149" i="8"/>
  <c r="AK148" i="8"/>
  <c r="AL142" i="8"/>
  <c r="BB139" i="8"/>
  <c r="BB147" i="8"/>
  <c r="AK146" i="8"/>
  <c r="AK142" i="8"/>
  <c r="BB148" i="8"/>
  <c r="BB145" i="8"/>
  <c r="AK144" i="8"/>
  <c r="BB141" i="8"/>
  <c r="AK140" i="8"/>
  <c r="BA138" i="8"/>
  <c r="AL146" i="8"/>
  <c r="AL144" i="8"/>
  <c r="AL140" i="8"/>
  <c r="AL138" i="8"/>
  <c r="AK138" i="8"/>
  <c r="AH148" i="8"/>
  <c r="AH141" i="8"/>
  <c r="BB143" i="8"/>
  <c r="AH147" i="8"/>
  <c r="BA149" i="8"/>
  <c r="BA139" i="8"/>
  <c r="AH145" i="8"/>
  <c r="BA147" i="8"/>
  <c r="BA143" i="8"/>
  <c r="AL149" i="8"/>
  <c r="AL139" i="8"/>
  <c r="BB146" i="8"/>
  <c r="BB144" i="8"/>
  <c r="BB142" i="8"/>
  <c r="BB140" i="8"/>
  <c r="BB138" i="8"/>
  <c r="AK149" i="8"/>
  <c r="AK147" i="8"/>
  <c r="AK145" i="8"/>
  <c r="AK143" i="8"/>
  <c r="AK141" i="8"/>
  <c r="AK139" i="8"/>
  <c r="BA148" i="8"/>
  <c r="BA146" i="8"/>
  <c r="BA144" i="8"/>
  <c r="BA142" i="8"/>
  <c r="BA140" i="8"/>
  <c r="Y165" i="17"/>
  <c r="C1143" i="2"/>
  <c r="Z165" i="17"/>
  <c r="AA165" i="17"/>
  <c r="Z148" i="17"/>
  <c r="AA148" i="17"/>
  <c r="Y148" i="17"/>
  <c r="Z130" i="17"/>
  <c r="AA130" i="17"/>
  <c r="Y130" i="17"/>
  <c r="W6337" i="3" l="1"/>
  <c r="K271" i="17"/>
  <c r="R6337" i="3"/>
  <c r="N6337" i="3"/>
  <c r="W8057" i="3"/>
  <c r="V8057" i="3"/>
  <c r="U8057" i="3"/>
  <c r="T8057" i="3"/>
  <c r="S8057" i="3"/>
  <c r="R8057" i="3"/>
  <c r="Q8057" i="3"/>
  <c r="P8057" i="3"/>
  <c r="O8057" i="3"/>
  <c r="N8057" i="3"/>
  <c r="T7396" i="3"/>
  <c r="T7397" i="3" s="1"/>
  <c r="W7026" i="3"/>
  <c r="T7026" i="3"/>
  <c r="N7026" i="3"/>
  <c r="W6582" i="3"/>
  <c r="U6582" i="3"/>
  <c r="U6526" i="3"/>
  <c r="S6582" i="3"/>
  <c r="R6582" i="3"/>
  <c r="Q6582" i="3"/>
  <c r="P6582" i="3"/>
  <c r="O6582" i="3"/>
  <c r="X6135" i="3"/>
  <c r="W6135" i="3"/>
  <c r="O6135" i="3"/>
  <c r="X5760" i="3"/>
  <c r="W5760" i="3"/>
  <c r="W5784" i="3"/>
  <c r="U5760" i="3"/>
  <c r="N5760" i="3"/>
  <c r="W5316" i="3"/>
  <c r="N5316" i="3"/>
  <c r="X8812" i="3" l="1"/>
  <c r="W8812" i="3"/>
  <c r="U8813" i="3"/>
  <c r="V8812" i="3"/>
  <c r="V8813" i="3" s="1"/>
  <c r="T8812" i="3"/>
  <c r="T8813" i="3" s="1"/>
  <c r="S8812" i="3"/>
  <c r="S8813" i="3" s="1"/>
  <c r="R8812" i="3"/>
  <c r="R8813" i="3" s="1"/>
  <c r="Q8812" i="3"/>
  <c r="Q8813" i="3" s="1"/>
  <c r="P8812" i="3"/>
  <c r="P8813" i="3" s="1"/>
  <c r="O8812" i="3"/>
  <c r="O8813" i="3" s="1"/>
  <c r="N8812" i="3"/>
  <c r="N8813" i="3" s="1"/>
  <c r="X8487" i="3"/>
  <c r="W8487" i="3"/>
  <c r="V8487" i="3"/>
  <c r="V8488" i="3" s="1"/>
  <c r="U8487" i="3"/>
  <c r="U8488" i="3" s="1"/>
  <c r="T8487" i="3"/>
  <c r="T8488" i="3" s="1"/>
  <c r="S8487" i="3"/>
  <c r="S8488" i="3" s="1"/>
  <c r="R8487" i="3"/>
  <c r="R8488" i="3" s="1"/>
  <c r="Q8487" i="3"/>
  <c r="Q8488" i="3" s="1"/>
  <c r="P8487" i="3"/>
  <c r="P8488" i="3" s="1"/>
  <c r="O8487" i="3"/>
  <c r="O8488" i="3" s="1"/>
  <c r="N8487" i="3"/>
  <c r="N8488" i="3" s="1"/>
  <c r="X8004" i="3"/>
  <c r="W8004" i="3"/>
  <c r="T8005" i="3"/>
  <c r="U8005" i="3"/>
  <c r="V8005" i="3"/>
  <c r="S8004" i="3"/>
  <c r="S8005" i="3" s="1"/>
  <c r="R8004" i="3"/>
  <c r="R8005" i="3" s="1"/>
  <c r="Q8004" i="3"/>
  <c r="Q8005" i="3" s="1"/>
  <c r="P8004" i="3"/>
  <c r="P8005" i="3" s="1"/>
  <c r="O8004" i="3"/>
  <c r="O8005" i="3" s="1"/>
  <c r="N8004" i="3"/>
  <c r="N8005" i="3" s="1"/>
  <c r="X7588" i="3"/>
  <c r="W7588" i="3"/>
  <c r="V7588" i="3"/>
  <c r="V7589" i="3" s="1"/>
  <c r="U7588" i="3"/>
  <c r="U7589" i="3" s="1"/>
  <c r="T7588" i="3"/>
  <c r="T7589" i="3" s="1"/>
  <c r="S7588" i="3"/>
  <c r="S7589" i="3" s="1"/>
  <c r="R7588" i="3"/>
  <c r="R7589" i="3" s="1"/>
  <c r="Q7588" i="3"/>
  <c r="Q7589" i="3" s="1"/>
  <c r="P7588" i="3"/>
  <c r="P7589" i="3" s="1"/>
  <c r="O7588" i="3"/>
  <c r="O7589" i="3" s="1"/>
  <c r="N7588" i="3"/>
  <c r="N7589" i="3" s="1"/>
  <c r="Q7405" i="3"/>
  <c r="V7338" i="3"/>
  <c r="U7338" i="3"/>
  <c r="T7338" i="3"/>
  <c r="S7338" i="3"/>
  <c r="R7338" i="3"/>
  <c r="Q7338" i="3"/>
  <c r="P7338" i="3"/>
  <c r="O7338" i="3"/>
  <c r="N7338" i="3"/>
  <c r="Y7343" i="3"/>
  <c r="X7343" i="3"/>
  <c r="V7256" i="3"/>
  <c r="V7341" i="3" s="1"/>
  <c r="U7256" i="3"/>
  <c r="U7341" i="3" s="1"/>
  <c r="U7343" i="3" s="1"/>
  <c r="T7256" i="3"/>
  <c r="T7341" i="3" s="1"/>
  <c r="T7343" i="3" s="1"/>
  <c r="S7256" i="3"/>
  <c r="S7341" i="3" s="1"/>
  <c r="S7343" i="3" s="1"/>
  <c r="Q7256" i="3"/>
  <c r="Q7341" i="3" s="1"/>
  <c r="Q7343" i="3" s="1"/>
  <c r="R7256" i="3"/>
  <c r="R7341" i="3" s="1"/>
  <c r="R7343" i="3" s="1"/>
  <c r="P7256" i="3"/>
  <c r="P7341" i="3" s="1"/>
  <c r="P7343" i="3" s="1"/>
  <c r="O7256" i="3"/>
  <c r="O7341" i="3" s="1"/>
  <c r="O7343" i="3" s="1"/>
  <c r="N7256" i="3"/>
  <c r="N7168" i="3"/>
  <c r="X6865" i="3"/>
  <c r="W6865" i="3"/>
  <c r="R6866" i="3"/>
  <c r="T6866" i="3"/>
  <c r="V6865" i="3"/>
  <c r="V6866" i="3" s="1"/>
  <c r="U6865" i="3"/>
  <c r="U6866" i="3" s="1"/>
  <c r="S6865" i="3"/>
  <c r="S6866" i="3" s="1"/>
  <c r="Q6865" i="3"/>
  <c r="Q6866" i="3" s="1"/>
  <c r="P6865" i="3"/>
  <c r="P6866" i="3" s="1"/>
  <c r="O6865" i="3"/>
  <c r="O6866" i="3" s="1"/>
  <c r="N6865" i="3"/>
  <c r="N6866" i="3" s="1"/>
  <c r="K215" i="17"/>
  <c r="K216" i="17"/>
  <c r="K217" i="17"/>
  <c r="K218" i="17"/>
  <c r="K219" i="17"/>
  <c r="K213" i="17"/>
  <c r="K214" i="17"/>
  <c r="U6527" i="3"/>
  <c r="X6526" i="3"/>
  <c r="W6526" i="3"/>
  <c r="V6526" i="3"/>
  <c r="V6527" i="3" s="1"/>
  <c r="T6526" i="3"/>
  <c r="T6527" i="3" s="1"/>
  <c r="S6526" i="3"/>
  <c r="S6527" i="3" s="1"/>
  <c r="R6526" i="3"/>
  <c r="R6527" i="3" s="1"/>
  <c r="Q6526" i="3"/>
  <c r="Q6527" i="3" s="1"/>
  <c r="P6526" i="3"/>
  <c r="P6527" i="3" s="1"/>
  <c r="O6526" i="3"/>
  <c r="O6527" i="3" s="1"/>
  <c r="N6526" i="3"/>
  <c r="N6527" i="3" s="1"/>
  <c r="X6073" i="3"/>
  <c r="W6073" i="3"/>
  <c r="K212" i="17"/>
  <c r="O6073" i="3"/>
  <c r="P6073" i="3"/>
  <c r="Q6073" i="3"/>
  <c r="R6073" i="3"/>
  <c r="S6073" i="3"/>
  <c r="T6073" i="3"/>
  <c r="U6073" i="3"/>
  <c r="N6072" i="3"/>
  <c r="N6073" i="3" s="1"/>
  <c r="K211" i="17"/>
  <c r="X5845" i="3"/>
  <c r="W5845" i="3"/>
  <c r="Q5845" i="3"/>
  <c r="R5845" i="3"/>
  <c r="S5845" i="3"/>
  <c r="T5845" i="3"/>
  <c r="P5844" i="3"/>
  <c r="P5845" i="3" s="1"/>
  <c r="O5844" i="3"/>
  <c r="O5845" i="3" s="1"/>
  <c r="N5844" i="3"/>
  <c r="N5845" i="3" s="1"/>
  <c r="U5844" i="3"/>
  <c r="U5845" i="3" s="1"/>
  <c r="X5342" i="3"/>
  <c r="W5342" i="3"/>
  <c r="V5343" i="3"/>
  <c r="V5344" i="3" s="1"/>
  <c r="O5343" i="3"/>
  <c r="O5344" i="3" s="1"/>
  <c r="N5343" i="3"/>
  <c r="N5344" i="3" s="1"/>
  <c r="W6975" i="3"/>
  <c r="P152" i="17"/>
  <c r="P153" i="17"/>
  <c r="P154" i="17"/>
  <c r="P155" i="17"/>
  <c r="P156" i="17"/>
  <c r="P159" i="17"/>
  <c r="P161" i="17"/>
  <c r="P166" i="17"/>
  <c r="P167" i="17"/>
  <c r="P168" i="17"/>
  <c r="P169" i="17"/>
  <c r="P170" i="17"/>
  <c r="P122" i="17"/>
  <c r="P123" i="17"/>
  <c r="P124" i="17"/>
  <c r="P125" i="17"/>
  <c r="P126" i="17"/>
  <c r="P127" i="17"/>
  <c r="P128" i="17"/>
  <c r="P129" i="17"/>
  <c r="P121" i="17"/>
  <c r="O7399" i="3" l="1"/>
  <c r="O7400" i="3" s="1"/>
  <c r="T7399" i="3"/>
  <c r="T7400" i="3" s="1"/>
  <c r="Q7399" i="3"/>
  <c r="Q7400" i="3" s="1"/>
  <c r="U7399" i="3"/>
  <c r="U7400" i="3" s="1"/>
  <c r="S7399" i="3"/>
  <c r="S7400" i="3" s="1"/>
  <c r="P7399" i="3"/>
  <c r="P7400" i="3" s="1"/>
  <c r="R7399" i="3"/>
  <c r="R7400" i="3" s="1"/>
  <c r="V7399" i="3"/>
  <c r="V7400" i="3" s="1"/>
  <c r="N7341" i="3"/>
  <c r="N7399" i="3" s="1"/>
  <c r="N7400" i="3" s="1"/>
  <c r="V7343" i="3"/>
  <c r="K156" i="17"/>
  <c r="K168" i="17"/>
  <c r="N159" i="17"/>
  <c r="O159" i="17"/>
  <c r="N161" i="17"/>
  <c r="O161" i="17"/>
  <c r="N166" i="17"/>
  <c r="O166" i="17"/>
  <c r="N167" i="17"/>
  <c r="O167" i="17"/>
  <c r="N168" i="17"/>
  <c r="O168" i="17"/>
  <c r="N169" i="17"/>
  <c r="O169" i="17"/>
  <c r="N170" i="17"/>
  <c r="O170" i="17"/>
  <c r="N156" i="17"/>
  <c r="O156" i="17"/>
  <c r="N155" i="17"/>
  <c r="O155" i="17"/>
  <c r="N154" i="17"/>
  <c r="O154" i="17"/>
  <c r="N153" i="17"/>
  <c r="O153" i="17"/>
  <c r="N152" i="17"/>
  <c r="O152" i="17"/>
  <c r="R151" i="17"/>
  <c r="R152" i="17"/>
  <c r="R153" i="17"/>
  <c r="R154" i="17"/>
  <c r="R155" i="17"/>
  <c r="R156" i="17"/>
  <c r="R157" i="17"/>
  <c r="R158" i="17"/>
  <c r="R159" i="17"/>
  <c r="R160" i="17"/>
  <c r="R161" i="17"/>
  <c r="R162" i="17"/>
  <c r="R163" i="17"/>
  <c r="R164" i="17"/>
  <c r="R165" i="17"/>
  <c r="R166" i="17"/>
  <c r="R167" i="17"/>
  <c r="R169" i="17"/>
  <c r="R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50" i="17"/>
  <c r="M6643" i="3"/>
  <c r="L6643" i="3"/>
  <c r="R5534" i="3"/>
  <c r="Q5534" i="3"/>
  <c r="X8598" i="3"/>
  <c r="W8598" i="3"/>
  <c r="K170" i="17"/>
  <c r="X8158" i="3"/>
  <c r="W8158" i="3"/>
  <c r="K169" i="17"/>
  <c r="X7699" i="3"/>
  <c r="W7699" i="3"/>
  <c r="X7496" i="3"/>
  <c r="W7496" i="3"/>
  <c r="X7141" i="3"/>
  <c r="W7141" i="3"/>
  <c r="K162" i="17"/>
  <c r="X6689" i="3"/>
  <c r="W6689" i="3"/>
  <c r="X6439" i="3"/>
  <c r="W6439" i="3"/>
  <c r="X6232" i="3"/>
  <c r="W6232" i="3"/>
  <c r="K159" i="17"/>
  <c r="K161" i="17"/>
  <c r="K166" i="17"/>
  <c r="K167" i="17"/>
  <c r="K155" i="17"/>
  <c r="X6050" i="3"/>
  <c r="W6050" i="3"/>
  <c r="X5946" i="3"/>
  <c r="W5946" i="3"/>
  <c r="K154" i="17"/>
  <c r="K153" i="17"/>
  <c r="X5825" i="3"/>
  <c r="W5825" i="3"/>
  <c r="K110" i="17"/>
  <c r="K53" i="17"/>
  <c r="K107" i="17"/>
  <c r="K108" i="17"/>
  <c r="K109" i="17"/>
  <c r="K39" i="17"/>
  <c r="K42" i="17"/>
  <c r="K44" i="17"/>
  <c r="W6186" i="3"/>
  <c r="Q6186" i="3"/>
  <c r="Q6187" i="3" s="1"/>
  <c r="P6186" i="3"/>
  <c r="P6187" i="3" s="1"/>
  <c r="U6186" i="3"/>
  <c r="U6187" i="3" s="1"/>
  <c r="V6186" i="3"/>
  <c r="V6187" i="3" s="1"/>
  <c r="S6186" i="3"/>
  <c r="S6187" i="3" s="1"/>
  <c r="R6186" i="3"/>
  <c r="R6187" i="3" s="1"/>
  <c r="O6186" i="3"/>
  <c r="O6187" i="3" s="1"/>
  <c r="N6186" i="3"/>
  <c r="N6187" i="3" s="1"/>
  <c r="K94" i="17"/>
  <c r="K95" i="17"/>
  <c r="K96" i="17"/>
  <c r="K99" i="17"/>
  <c r="K101" i="17"/>
  <c r="K106" i="17"/>
  <c r="W5895" i="3"/>
  <c r="K37" i="17"/>
  <c r="K38" i="17"/>
  <c r="K49" i="17"/>
  <c r="K50" i="17"/>
  <c r="K51" i="17"/>
  <c r="K52" i="17"/>
  <c r="X5830" i="3"/>
  <c r="W5830" i="3"/>
  <c r="K36" i="17"/>
  <c r="X5781" i="3"/>
  <c r="W5781" i="3"/>
  <c r="Q5784" i="3"/>
  <c r="Q5785" i="3" s="1"/>
  <c r="P5784" i="3"/>
  <c r="O5784" i="3"/>
  <c r="O5785" i="3" s="1"/>
  <c r="N5784" i="3"/>
  <c r="N5785" i="3" s="1"/>
  <c r="K92" i="17"/>
  <c r="K93" i="17"/>
  <c r="N5524" i="3"/>
  <c r="X8605" i="3"/>
  <c r="W8605" i="3"/>
  <c r="V8605" i="3"/>
  <c r="U8605" i="3"/>
  <c r="T8605" i="3"/>
  <c r="S8605" i="3"/>
  <c r="S8606" i="3" s="1"/>
  <c r="R8605" i="3"/>
  <c r="R8606" i="3" s="1"/>
  <c r="Q8605" i="3"/>
  <c r="P8605" i="3"/>
  <c r="P8606" i="3" s="1"/>
  <c r="O8605" i="3"/>
  <c r="N8605" i="3"/>
  <c r="N8606" i="3" s="1"/>
  <c r="X8554" i="3"/>
  <c r="W8554" i="3"/>
  <c r="V8554" i="3"/>
  <c r="V8555" i="3" s="1"/>
  <c r="T8554" i="3"/>
  <c r="T8555" i="3" s="1"/>
  <c r="Q8554" i="3"/>
  <c r="Q8555" i="3" s="1"/>
  <c r="N8554" i="3"/>
  <c r="N8555" i="3" s="1"/>
  <c r="U8554" i="3"/>
  <c r="U8555" i="3" s="1"/>
  <c r="S8554" i="3"/>
  <c r="S8555" i="3" s="1"/>
  <c r="R8554" i="3"/>
  <c r="R8555" i="3" s="1"/>
  <c r="P8554" i="3"/>
  <c r="P8555" i="3" s="1"/>
  <c r="O8554" i="3"/>
  <c r="O8555" i="3" s="1"/>
  <c r="X8162" i="3"/>
  <c r="W8162" i="3"/>
  <c r="U8162" i="3"/>
  <c r="S8162" i="3"/>
  <c r="N8162" i="3"/>
  <c r="N8163" i="3" s="1"/>
  <c r="V8162" i="3"/>
  <c r="V8163" i="3" s="1"/>
  <c r="T8162" i="3"/>
  <c r="R8162" i="3"/>
  <c r="R8163" i="3" s="1"/>
  <c r="Q8162" i="3"/>
  <c r="P8162" i="3"/>
  <c r="P8163" i="3" s="1"/>
  <c r="O8162" i="3"/>
  <c r="O8163" i="3" s="1"/>
  <c r="X8109" i="3"/>
  <c r="W8109" i="3"/>
  <c r="S8109" i="3"/>
  <c r="S8110" i="3" s="1"/>
  <c r="V8109" i="3"/>
  <c r="V8110" i="3" s="1"/>
  <c r="U8109" i="3"/>
  <c r="U8110" i="3" s="1"/>
  <c r="Q8109" i="3"/>
  <c r="Q8110" i="3" s="1"/>
  <c r="N8109" i="3"/>
  <c r="N8110" i="3" s="1"/>
  <c r="T8109" i="3"/>
  <c r="T8110" i="3" s="1"/>
  <c r="R8109" i="3"/>
  <c r="R8110" i="3" s="1"/>
  <c r="P8109" i="3"/>
  <c r="P8110" i="3" s="1"/>
  <c r="O8109" i="3"/>
  <c r="O8110" i="3" s="1"/>
  <c r="X8057" i="3"/>
  <c r="P8058" i="3"/>
  <c r="R8058" i="3"/>
  <c r="T8058" i="3"/>
  <c r="V8058" i="3"/>
  <c r="U8058" i="3"/>
  <c r="S8058" i="3"/>
  <c r="Q8058" i="3"/>
  <c r="O8058" i="3"/>
  <c r="N8058" i="3"/>
  <c r="W7704" i="3"/>
  <c r="W7646" i="3"/>
  <c r="T7646" i="3"/>
  <c r="T7647" i="3" s="1"/>
  <c r="Q7704" i="3"/>
  <c r="N7704" i="3"/>
  <c r="N7705" i="3" s="1"/>
  <c r="X7704" i="3"/>
  <c r="V7704" i="3"/>
  <c r="U7704" i="3"/>
  <c r="T7704" i="3"/>
  <c r="T7705" i="3" s="1"/>
  <c r="S7704" i="3"/>
  <c r="S7705" i="3" s="1"/>
  <c r="R7704" i="3"/>
  <c r="P7704" i="3"/>
  <c r="P7705" i="3" s="1"/>
  <c r="O7704" i="3"/>
  <c r="O7705" i="3" s="1"/>
  <c r="X7646" i="3"/>
  <c r="V7646" i="3"/>
  <c r="V7647" i="3" s="1"/>
  <c r="U7646" i="3"/>
  <c r="U7647" i="3" s="1"/>
  <c r="S7646" i="3"/>
  <c r="R7646" i="3"/>
  <c r="R7647" i="3" s="1"/>
  <c r="Q7646" i="3"/>
  <c r="Q7647" i="3" s="1"/>
  <c r="P7646" i="3"/>
  <c r="P7647" i="3" s="1"/>
  <c r="N7646" i="3"/>
  <c r="N7647" i="3" s="1"/>
  <c r="O7646" i="3"/>
  <c r="O7647" i="3" s="1"/>
  <c r="X7499" i="3"/>
  <c r="W7499" i="3"/>
  <c r="U7499" i="3"/>
  <c r="U7500" i="3" s="1"/>
  <c r="T7499" i="3"/>
  <c r="R7499" i="3"/>
  <c r="S7499" i="3"/>
  <c r="S7500" i="3" s="1"/>
  <c r="W7447" i="3"/>
  <c r="U7447" i="3"/>
  <c r="U7448" i="3" s="1"/>
  <c r="T7447" i="3"/>
  <c r="T7448" i="3" s="1"/>
  <c r="S7447" i="3"/>
  <c r="S7448" i="3" s="1"/>
  <c r="R7447" i="3"/>
  <c r="R7448" i="3" s="1"/>
  <c r="Q7447" i="3"/>
  <c r="Q7448" i="3" s="1"/>
  <c r="P7447" i="3"/>
  <c r="P7448" i="3" s="1"/>
  <c r="N7499" i="3"/>
  <c r="N7500" i="3" s="1"/>
  <c r="V7499" i="3"/>
  <c r="Q7499" i="3"/>
  <c r="Q7500" i="3" s="1"/>
  <c r="P7499" i="3"/>
  <c r="P7495" i="3" s="1"/>
  <c r="P7496" i="3" s="1"/>
  <c r="O7499" i="3"/>
  <c r="X7447" i="3"/>
  <c r="N7447" i="3"/>
  <c r="N7448" i="3" s="1"/>
  <c r="V7447" i="3"/>
  <c r="V7448" i="3" s="1"/>
  <c r="O7447" i="3"/>
  <c r="O7448" i="3" s="1"/>
  <c r="X7396" i="3"/>
  <c r="W7396" i="3"/>
  <c r="R7396" i="3"/>
  <c r="R7397" i="3" s="1"/>
  <c r="S7396" i="3"/>
  <c r="S7397" i="3" s="1"/>
  <c r="N7396" i="3"/>
  <c r="N7397" i="3" s="1"/>
  <c r="V7396" i="3"/>
  <c r="V7397" i="3" s="1"/>
  <c r="U7396" i="3"/>
  <c r="U7397" i="3" s="1"/>
  <c r="Q7396" i="3"/>
  <c r="Q7397" i="3" s="1"/>
  <c r="P7396" i="3"/>
  <c r="P7397" i="3" s="1"/>
  <c r="O7396" i="3"/>
  <c r="O7397" i="3" s="1"/>
  <c r="X7144" i="3"/>
  <c r="W7144" i="3"/>
  <c r="T7144" i="3"/>
  <c r="T7145" i="3" s="1"/>
  <c r="O7144" i="3"/>
  <c r="O7145" i="3" s="1"/>
  <c r="N7144" i="3"/>
  <c r="N7145" i="3" s="1"/>
  <c r="V7144" i="3"/>
  <c r="U7144" i="3"/>
  <c r="U7145" i="3" s="1"/>
  <c r="S7144" i="3"/>
  <c r="S7145" i="3" s="1"/>
  <c r="R7144" i="3"/>
  <c r="Q7144" i="3"/>
  <c r="Q7145" i="3" s="1"/>
  <c r="P7144" i="3"/>
  <c r="P7145" i="3" s="1"/>
  <c r="X7089" i="3"/>
  <c r="W7089" i="3"/>
  <c r="T7089" i="3"/>
  <c r="T7090" i="3" s="1"/>
  <c r="Q7089" i="3"/>
  <c r="Q7090" i="3" s="1"/>
  <c r="N7089" i="3"/>
  <c r="N7090" i="3" s="1"/>
  <c r="V7089" i="3"/>
  <c r="V7090" i="3" s="1"/>
  <c r="U7089" i="3"/>
  <c r="U7090" i="3" s="1"/>
  <c r="S7089" i="3"/>
  <c r="S7090" i="3" s="1"/>
  <c r="R7089" i="3"/>
  <c r="R7090" i="3" s="1"/>
  <c r="P7089" i="3"/>
  <c r="P7090" i="3" s="1"/>
  <c r="O7089" i="3"/>
  <c r="O7090" i="3" s="1"/>
  <c r="X7026" i="3"/>
  <c r="T7027" i="3"/>
  <c r="N7027" i="3"/>
  <c r="U7026" i="3"/>
  <c r="U7027" i="3" s="1"/>
  <c r="S7026" i="3"/>
  <c r="S7027" i="3" s="1"/>
  <c r="R7026" i="3"/>
  <c r="R7027" i="3" s="1"/>
  <c r="Q7026" i="3"/>
  <c r="Q7027" i="3" s="1"/>
  <c r="P7026" i="3"/>
  <c r="P7027" i="3" s="1"/>
  <c r="O7026" i="3"/>
  <c r="O7027" i="3" s="1"/>
  <c r="V7026" i="3"/>
  <c r="V7027" i="3" s="1"/>
  <c r="X6975" i="3"/>
  <c r="U6975" i="3"/>
  <c r="U6976" i="3" s="1"/>
  <c r="T6975" i="3"/>
  <c r="T6976" i="3" s="1"/>
  <c r="S6975" i="3"/>
  <c r="S6976" i="3" s="1"/>
  <c r="R6975" i="3"/>
  <c r="R6976" i="3" s="1"/>
  <c r="Q6975" i="3"/>
  <c r="Q6976" i="3" s="1"/>
  <c r="P6975" i="3"/>
  <c r="P6976" i="3" s="1"/>
  <c r="O6975" i="3"/>
  <c r="O6976" i="3" s="1"/>
  <c r="N6975" i="3"/>
  <c r="N6976" i="3" s="1"/>
  <c r="V6975" i="3"/>
  <c r="V6976" i="3" s="1"/>
  <c r="W6694" i="3"/>
  <c r="T6694" i="3"/>
  <c r="R6694" i="3"/>
  <c r="R6695" i="3" s="1"/>
  <c r="N6694" i="3"/>
  <c r="N6695" i="3" s="1"/>
  <c r="X6694" i="3"/>
  <c r="V6694" i="3"/>
  <c r="V6695" i="3" s="1"/>
  <c r="U6694" i="3"/>
  <c r="S6694" i="3"/>
  <c r="Q6694" i="3"/>
  <c r="P6694" i="3"/>
  <c r="P6695" i="3" s="1"/>
  <c r="O6694" i="3"/>
  <c r="O6695" i="3" s="1"/>
  <c r="X6637" i="3"/>
  <c r="W6637" i="3"/>
  <c r="O6583" i="3"/>
  <c r="P6583" i="3"/>
  <c r="Q6583" i="3"/>
  <c r="R6583" i="3"/>
  <c r="S6583" i="3"/>
  <c r="U6583" i="3"/>
  <c r="T6637" i="3"/>
  <c r="T6638" i="3" s="1"/>
  <c r="Q6637" i="3"/>
  <c r="Q6638" i="3" s="1"/>
  <c r="N6637" i="3"/>
  <c r="V6637" i="3"/>
  <c r="V6638" i="3" s="1"/>
  <c r="U6637" i="3"/>
  <c r="U6638" i="3" s="1"/>
  <c r="S6637" i="3"/>
  <c r="S6638" i="3" s="1"/>
  <c r="R6637" i="3"/>
  <c r="R6638" i="3" s="1"/>
  <c r="P6637" i="3"/>
  <c r="P6638" i="3" s="1"/>
  <c r="O6637" i="3"/>
  <c r="X6582" i="3"/>
  <c r="N6582" i="3"/>
  <c r="N6583" i="3" s="1"/>
  <c r="V6582" i="3"/>
  <c r="V6583" i="3" s="1"/>
  <c r="T6582" i="3"/>
  <c r="T6583" i="3" s="1"/>
  <c r="W6444" i="3"/>
  <c r="N6444" i="3"/>
  <c r="X6444" i="3"/>
  <c r="V6444" i="3"/>
  <c r="U6444" i="3"/>
  <c r="U6445" i="3" s="1"/>
  <c r="T6444" i="3"/>
  <c r="T6445" i="3" s="1"/>
  <c r="S6444" i="3"/>
  <c r="R6444" i="3"/>
  <c r="Q6444" i="3"/>
  <c r="Q6445" i="3" s="1"/>
  <c r="P6444" i="3"/>
  <c r="P6445" i="3" s="1"/>
  <c r="O6444" i="3"/>
  <c r="W6393" i="3"/>
  <c r="U6393" i="3"/>
  <c r="U6394" i="3" s="1"/>
  <c r="O6393" i="3"/>
  <c r="O6394" i="3" s="1"/>
  <c r="N6393" i="3"/>
  <c r="N6394" i="3" s="1"/>
  <c r="X6393" i="3"/>
  <c r="V6393" i="3"/>
  <c r="V6394" i="3" s="1"/>
  <c r="T6393" i="3"/>
  <c r="T6394" i="3" s="1"/>
  <c r="S6393" i="3"/>
  <c r="S6394" i="3" s="1"/>
  <c r="R6393" i="3"/>
  <c r="R6394" i="3" s="1"/>
  <c r="Q6393" i="3"/>
  <c r="Q6394" i="3" s="1"/>
  <c r="P6393" i="3"/>
  <c r="P6394" i="3" s="1"/>
  <c r="X6337" i="3"/>
  <c r="R6338" i="3"/>
  <c r="N6338" i="3"/>
  <c r="V6337" i="3"/>
  <c r="V6338" i="3" s="1"/>
  <c r="U6337" i="3"/>
  <c r="U6338" i="3" s="1"/>
  <c r="T6337" i="3"/>
  <c r="T6338" i="3" s="1"/>
  <c r="S6337" i="3"/>
  <c r="S6338" i="3" s="1"/>
  <c r="Q6337" i="3"/>
  <c r="Q6338" i="3" s="1"/>
  <c r="P6337" i="3"/>
  <c r="P6338" i="3" s="1"/>
  <c r="O6337" i="3"/>
  <c r="O6338" i="3" s="1"/>
  <c r="X6236" i="3"/>
  <c r="W6236" i="3"/>
  <c r="U6236" i="3"/>
  <c r="U6237" i="3" s="1"/>
  <c r="T6236" i="3"/>
  <c r="T6237" i="3" s="1"/>
  <c r="S6236" i="3"/>
  <c r="S6237" i="3" s="1"/>
  <c r="R6236" i="3"/>
  <c r="R6237" i="3" s="1"/>
  <c r="Q6236" i="3"/>
  <c r="Q6237" i="3" s="1"/>
  <c r="P6236" i="3"/>
  <c r="P6237" i="3" s="1"/>
  <c r="O6236" i="3"/>
  <c r="O6237" i="3" s="1"/>
  <c r="V6236" i="3"/>
  <c r="V6237" i="3" s="1"/>
  <c r="N6236" i="3"/>
  <c r="X6186" i="3"/>
  <c r="S6053" i="3"/>
  <c r="R6053" i="3"/>
  <c r="R6054" i="3" s="1"/>
  <c r="Q6135" i="3"/>
  <c r="Q6136" i="3" s="1"/>
  <c r="T6186" i="3"/>
  <c r="T6187" i="3" s="1"/>
  <c r="O6136" i="3"/>
  <c r="P6135" i="3"/>
  <c r="P6136" i="3" s="1"/>
  <c r="N6135" i="3"/>
  <c r="N6136" i="3" s="1"/>
  <c r="U6135" i="3"/>
  <c r="U6136" i="3" s="1"/>
  <c r="T6135" i="3"/>
  <c r="T6136" i="3" s="1"/>
  <c r="S6135" i="3"/>
  <c r="S6136" i="3" s="1"/>
  <c r="R6135" i="3"/>
  <c r="R6136" i="3" s="1"/>
  <c r="X6053" i="3"/>
  <c r="W6053" i="3"/>
  <c r="X6000" i="3"/>
  <c r="W6000" i="3"/>
  <c r="X5950" i="3"/>
  <c r="W5950" i="3"/>
  <c r="X5895" i="3"/>
  <c r="X5833" i="3"/>
  <c r="W5833" i="3"/>
  <c r="X5784" i="3"/>
  <c r="W5707" i="3"/>
  <c r="X5707" i="3"/>
  <c r="X5647" i="3"/>
  <c r="W5647" i="3"/>
  <c r="U6053" i="3"/>
  <c r="U6054" i="3" s="1"/>
  <c r="T6053" i="3"/>
  <c r="Q6053" i="3"/>
  <c r="P6053" i="3"/>
  <c r="O6053" i="3"/>
  <c r="N6053" i="3"/>
  <c r="N6054" i="3" s="1"/>
  <c r="U6000" i="3"/>
  <c r="U6001" i="3" s="1"/>
  <c r="T6000" i="3"/>
  <c r="T6001" i="3" s="1"/>
  <c r="S6000" i="3"/>
  <c r="S6001" i="3" s="1"/>
  <c r="R6000" i="3"/>
  <c r="R6001" i="3" s="1"/>
  <c r="Q6000" i="3"/>
  <c r="Q6001" i="3" s="1"/>
  <c r="P6000" i="3"/>
  <c r="P6001" i="3" s="1"/>
  <c r="O6000" i="3"/>
  <c r="O6001" i="3" s="1"/>
  <c r="N6000" i="3"/>
  <c r="N6001" i="3" s="1"/>
  <c r="U5950" i="3"/>
  <c r="T5950" i="3"/>
  <c r="S5950" i="3"/>
  <c r="R5950" i="3"/>
  <c r="R5951" i="3" s="1"/>
  <c r="Q5950" i="3"/>
  <c r="P5950" i="3"/>
  <c r="O5950" i="3"/>
  <c r="N5950" i="3"/>
  <c r="N5951" i="3" s="1"/>
  <c r="O5895" i="3"/>
  <c r="O5896" i="3" s="1"/>
  <c r="N5895" i="3"/>
  <c r="N5896" i="3" s="1"/>
  <c r="U5895" i="3"/>
  <c r="U5896" i="3" s="1"/>
  <c r="T5895" i="3"/>
  <c r="T5896" i="3" s="1"/>
  <c r="S5895" i="3"/>
  <c r="S5896" i="3" s="1"/>
  <c r="R5895" i="3"/>
  <c r="Q5895" i="3"/>
  <c r="Q5896" i="3" s="1"/>
  <c r="P5895" i="3"/>
  <c r="P5896" i="3" s="1"/>
  <c r="U5833" i="3"/>
  <c r="U5834" i="3" s="1"/>
  <c r="T5833" i="3"/>
  <c r="S5833" i="3"/>
  <c r="S5834" i="3" s="1"/>
  <c r="R5833" i="3"/>
  <c r="R5834" i="3" s="1"/>
  <c r="Q5833" i="3"/>
  <c r="Q5834" i="3" s="1"/>
  <c r="P5833" i="3"/>
  <c r="O5833" i="3"/>
  <c r="O5834" i="3" s="1"/>
  <c r="N5833" i="3"/>
  <c r="N5834" i="3" s="1"/>
  <c r="U5784" i="3"/>
  <c r="U5785" i="3" s="1"/>
  <c r="T5784" i="3"/>
  <c r="T5785" i="3" s="1"/>
  <c r="S5784" i="3"/>
  <c r="R5784" i="3"/>
  <c r="U5761" i="3"/>
  <c r="N5761" i="3"/>
  <c r="T5760" i="3"/>
  <c r="T5761" i="3" s="1"/>
  <c r="S5760" i="3"/>
  <c r="S5761" i="3" s="1"/>
  <c r="R5760" i="3"/>
  <c r="R5761" i="3" s="1"/>
  <c r="Q5760" i="3"/>
  <c r="Q5761" i="3" s="1"/>
  <c r="P5760" i="3"/>
  <c r="P5761" i="3" s="1"/>
  <c r="O5760" i="3"/>
  <c r="O5761" i="3" s="1"/>
  <c r="Q5707" i="3"/>
  <c r="Q5708" i="3" s="1"/>
  <c r="P5707" i="3"/>
  <c r="P5708" i="3" s="1"/>
  <c r="U5707" i="3"/>
  <c r="U5708" i="3" s="1"/>
  <c r="T5707" i="3"/>
  <c r="T5708" i="3" s="1"/>
  <c r="S5707" i="3"/>
  <c r="S5708" i="3" s="1"/>
  <c r="R5707" i="3"/>
  <c r="O5707" i="3"/>
  <c r="O5708" i="3" s="1"/>
  <c r="N5707" i="3"/>
  <c r="N5708" i="3" s="1"/>
  <c r="U5647" i="3"/>
  <c r="U5648" i="3" s="1"/>
  <c r="T5647" i="3"/>
  <c r="S5647" i="3"/>
  <c r="S5648" i="3" s="1"/>
  <c r="R5647" i="3"/>
  <c r="R5648" i="3" s="1"/>
  <c r="Q5647" i="3"/>
  <c r="Q5648" i="3" s="1"/>
  <c r="P5647" i="3"/>
  <c r="P5648" i="3" s="1"/>
  <c r="O5647" i="3"/>
  <c r="O5648" i="3" s="1"/>
  <c r="N5647" i="3"/>
  <c r="S7699" i="3" l="1"/>
  <c r="R5946" i="3"/>
  <c r="N6232" i="3"/>
  <c r="O8598" i="3"/>
  <c r="T7495" i="3"/>
  <c r="T7496" i="3" s="1"/>
  <c r="R5780" i="3"/>
  <c r="R5781" i="3" s="1"/>
  <c r="N6439" i="3"/>
  <c r="R7140" i="3"/>
  <c r="R7141" i="3" s="1"/>
  <c r="Q7699" i="3"/>
  <c r="U8598" i="3"/>
  <c r="N6049" i="3"/>
  <c r="N6050" i="3" s="1"/>
  <c r="N8598" i="3"/>
  <c r="O5946" i="3"/>
  <c r="S5946" i="3"/>
  <c r="O6049" i="3"/>
  <c r="O6050" i="3" s="1"/>
  <c r="S6689" i="3"/>
  <c r="T6689" i="3"/>
  <c r="O7495" i="3"/>
  <c r="O7496" i="3" s="1"/>
  <c r="T7500" i="3"/>
  <c r="V8598" i="3"/>
  <c r="P5946" i="3"/>
  <c r="T5946" i="3"/>
  <c r="O6689" i="3"/>
  <c r="T6695" i="3"/>
  <c r="U7140" i="3"/>
  <c r="U7141" i="3" s="1"/>
  <c r="R7495" i="3"/>
  <c r="R7496" i="3" s="1"/>
  <c r="Q8158" i="3"/>
  <c r="O8606" i="3"/>
  <c r="N7343" i="3"/>
  <c r="R5829" i="3"/>
  <c r="R5824" i="3" s="1"/>
  <c r="R5825" i="3" s="1"/>
  <c r="R5785" i="3"/>
  <c r="P5829" i="3"/>
  <c r="P5830" i="3" s="1"/>
  <c r="T5829" i="3"/>
  <c r="T5830" i="3" s="1"/>
  <c r="Q6049" i="3"/>
  <c r="Q6050" i="3" s="1"/>
  <c r="N6237" i="3"/>
  <c r="N6445" i="3"/>
  <c r="Q8163" i="3"/>
  <c r="U8606" i="3"/>
  <c r="N5829" i="3"/>
  <c r="S7140" i="3"/>
  <c r="S7141" i="3" s="1"/>
  <c r="O8158" i="3"/>
  <c r="T5780" i="3"/>
  <c r="T5781" i="3" s="1"/>
  <c r="R5708" i="3"/>
  <c r="U5829" i="3"/>
  <c r="U5830" i="3" s="1"/>
  <c r="S5951" i="3"/>
  <c r="S6695" i="3"/>
  <c r="Q7140" i="3"/>
  <c r="Q7141" i="3" s="1"/>
  <c r="V7140" i="3"/>
  <c r="V7141" i="3" s="1"/>
  <c r="V7145" i="3"/>
  <c r="V8606" i="3"/>
  <c r="U6439" i="3"/>
  <c r="P7140" i="3"/>
  <c r="P7141" i="3" s="1"/>
  <c r="O5951" i="3"/>
  <c r="S8158" i="3"/>
  <c r="U6232" i="3"/>
  <c r="Q6439" i="3"/>
  <c r="Q7495" i="3"/>
  <c r="Q7496" i="3" s="1"/>
  <c r="P7699" i="3"/>
  <c r="N8158" i="3"/>
  <c r="N5780" i="3"/>
  <c r="N5781" i="3" s="1"/>
  <c r="T5834" i="3"/>
  <c r="R6049" i="3"/>
  <c r="R6050" i="3" s="1"/>
  <c r="N6689" i="3"/>
  <c r="R6689" i="3"/>
  <c r="P7500" i="3"/>
  <c r="Q5780" i="3"/>
  <c r="Q5781" i="3" s="1"/>
  <c r="P6439" i="3"/>
  <c r="T7140" i="3"/>
  <c r="T7141" i="3" s="1"/>
  <c r="O7699" i="3"/>
  <c r="V8158" i="3"/>
  <c r="P5951" i="3"/>
  <c r="R7705" i="3"/>
  <c r="R7699" i="3"/>
  <c r="Q5951" i="3"/>
  <c r="Q5946" i="3"/>
  <c r="S7647" i="3"/>
  <c r="U8158" i="3"/>
  <c r="U8163" i="3"/>
  <c r="Q8598" i="3"/>
  <c r="Q8606" i="3"/>
  <c r="O5780" i="3"/>
  <c r="O5781" i="3" s="1"/>
  <c r="P5780" i="3"/>
  <c r="N5830" i="3"/>
  <c r="N5946" i="3"/>
  <c r="U6049" i="3"/>
  <c r="U6050" i="3" s="1"/>
  <c r="R6232" i="3"/>
  <c r="N7699" i="3"/>
  <c r="N5648" i="3"/>
  <c r="Q5829" i="3"/>
  <c r="P5834" i="3"/>
  <c r="R5896" i="3"/>
  <c r="T5951" i="3"/>
  <c r="T6049" i="3"/>
  <c r="T6050" i="3" s="1"/>
  <c r="R6445" i="3"/>
  <c r="R6439" i="3"/>
  <c r="V6445" i="3"/>
  <c r="V6439" i="3"/>
  <c r="N6638" i="3"/>
  <c r="O6638" i="3"/>
  <c r="R7145" i="3"/>
  <c r="Q7705" i="3"/>
  <c r="S8163" i="3"/>
  <c r="U5780" i="3"/>
  <c r="U5781" i="3" s="1"/>
  <c r="S5829" i="3"/>
  <c r="Q6232" i="3"/>
  <c r="T6439" i="3"/>
  <c r="P6689" i="3"/>
  <c r="N7495" i="3"/>
  <c r="N7496" i="3" s="1"/>
  <c r="T7699" i="3"/>
  <c r="S8598" i="3"/>
  <c r="T5648" i="3"/>
  <c r="S5785" i="3"/>
  <c r="S5780" i="3"/>
  <c r="S5781" i="3" s="1"/>
  <c r="P6049" i="3"/>
  <c r="P6050" i="3" s="1"/>
  <c r="P6054" i="3"/>
  <c r="S7495" i="3"/>
  <c r="S7496" i="3" s="1"/>
  <c r="O7500" i="3"/>
  <c r="V7705" i="3"/>
  <c r="V7699" i="3"/>
  <c r="T8598" i="3"/>
  <c r="T8606" i="3"/>
  <c r="O5829" i="3"/>
  <c r="U5951" i="3"/>
  <c r="U5946" i="3"/>
  <c r="Q6054" i="3"/>
  <c r="S6049" i="3"/>
  <c r="S6050" i="3" s="1"/>
  <c r="S6054" i="3"/>
  <c r="O6445" i="3"/>
  <c r="O6439" i="3"/>
  <c r="S6445" i="3"/>
  <c r="S6439" i="3"/>
  <c r="Q6695" i="3"/>
  <c r="Q6689" i="3"/>
  <c r="U6695" i="3"/>
  <c r="U6689" i="3"/>
  <c r="V7495" i="3"/>
  <c r="V7496" i="3" s="1"/>
  <c r="V7500" i="3"/>
  <c r="U7699" i="3"/>
  <c r="U7705" i="3"/>
  <c r="T8163" i="3"/>
  <c r="T8158" i="3"/>
  <c r="V6232" i="3"/>
  <c r="N7140" i="3"/>
  <c r="N7141" i="3" s="1"/>
  <c r="O7140" i="3"/>
  <c r="O7141" i="3" s="1"/>
  <c r="U7495" i="3"/>
  <c r="U7496" i="3" s="1"/>
  <c r="R8158" i="3"/>
  <c r="R8598" i="3"/>
  <c r="T6054" i="3"/>
  <c r="R7500" i="3"/>
  <c r="T6232" i="3"/>
  <c r="P6232" i="3"/>
  <c r="V6689" i="3"/>
  <c r="O6054" i="3"/>
  <c r="S6232" i="3"/>
  <c r="O6232" i="3"/>
  <c r="P8158" i="3"/>
  <c r="P8598" i="3"/>
  <c r="P5785" i="3"/>
  <c r="X5579" i="3"/>
  <c r="W5579" i="3"/>
  <c r="K152" i="17"/>
  <c r="X5584" i="3"/>
  <c r="W5584" i="3"/>
  <c r="R5586" i="3"/>
  <c r="Q5586" i="3"/>
  <c r="U5585" i="3"/>
  <c r="T5585" i="3"/>
  <c r="T5586" i="3" s="1"/>
  <c r="S5585" i="3"/>
  <c r="P5585" i="3"/>
  <c r="P5586" i="3" s="1"/>
  <c r="O5585" i="3"/>
  <c r="N5585" i="3"/>
  <c r="N5580" i="3" s="1"/>
  <c r="N5581" i="3" s="1"/>
  <c r="K35" i="17"/>
  <c r="N5525" i="3"/>
  <c r="X5524" i="3"/>
  <c r="W5524" i="3"/>
  <c r="U5524" i="3"/>
  <c r="U5525" i="3" s="1"/>
  <c r="T5524" i="3"/>
  <c r="T5525" i="3" s="1"/>
  <c r="S5524" i="3"/>
  <c r="S5525" i="3" s="1"/>
  <c r="R5524" i="3"/>
  <c r="R5580" i="3" s="1"/>
  <c r="R5581" i="3" s="1"/>
  <c r="Q5524" i="3"/>
  <c r="Q5525" i="3" s="1"/>
  <c r="P5524" i="3"/>
  <c r="O5524" i="3"/>
  <c r="O5525" i="3" s="1"/>
  <c r="R5830" i="3" l="1"/>
  <c r="N5824" i="3"/>
  <c r="N5825" i="3" s="1"/>
  <c r="P5580" i="3"/>
  <c r="P5581" i="3" s="1"/>
  <c r="O5580" i="3"/>
  <c r="O5581" i="3" s="1"/>
  <c r="U5580" i="3"/>
  <c r="U5581" i="3" s="1"/>
  <c r="T5824" i="3"/>
  <c r="T5825" i="3" s="1"/>
  <c r="U5586" i="3"/>
  <c r="S5580" i="3"/>
  <c r="S5581" i="3" s="1"/>
  <c r="Q5580" i="3"/>
  <c r="Q5581" i="3" s="1"/>
  <c r="U5824" i="3"/>
  <c r="U5825" i="3" s="1"/>
  <c r="R5525" i="3"/>
  <c r="O5586" i="3"/>
  <c r="S5586" i="3"/>
  <c r="P5781" i="3"/>
  <c r="P5824" i="3"/>
  <c r="P5825" i="3" s="1"/>
  <c r="P5525" i="3"/>
  <c r="N5586" i="3"/>
  <c r="T5580" i="3"/>
  <c r="T5581" i="3" s="1"/>
  <c r="S5824" i="3"/>
  <c r="S5825" i="3" s="1"/>
  <c r="S5830" i="3"/>
  <c r="O5830" i="3"/>
  <c r="O5824" i="3"/>
  <c r="O5825" i="3" s="1"/>
  <c r="Q5824" i="3"/>
  <c r="Q5825" i="3" s="1"/>
  <c r="Q5830" i="3"/>
  <c r="C1147" i="2" l="1"/>
  <c r="C1146" i="2"/>
  <c r="D1143" i="2" l="1"/>
  <c r="D1142" i="2"/>
  <c r="D1141" i="2"/>
  <c r="D1144" i="2" s="1"/>
  <c r="C1088" i="2"/>
  <c r="C1092" i="2"/>
  <c r="C1065" i="2"/>
  <c r="J7646" i="3"/>
  <c r="C1061" i="2"/>
  <c r="C1039" i="2" l="1"/>
  <c r="L7446" i="3"/>
  <c r="C1012" i="2" l="1"/>
  <c r="C1008" i="2"/>
  <c r="C1007" i="2" l="1"/>
  <c r="C1006" i="2"/>
  <c r="C1005" i="2" l="1"/>
  <c r="C1004" i="2"/>
  <c r="C1002" i="2" l="1"/>
  <c r="C1003" i="2"/>
  <c r="C977" i="2"/>
  <c r="C973" i="2"/>
  <c r="C972" i="2"/>
  <c r="C971" i="2"/>
  <c r="K260" i="17" l="1"/>
  <c r="K261" i="17"/>
  <c r="K262" i="17"/>
  <c r="K263" i="17"/>
  <c r="K264" i="17"/>
  <c r="K265" i="17"/>
  <c r="K270" i="17"/>
  <c r="X5451" i="3"/>
  <c r="W5451" i="3"/>
  <c r="T5451" i="3"/>
  <c r="T5452" i="3" s="1"/>
  <c r="S5451" i="3"/>
  <c r="S5452" i="3" s="1"/>
  <c r="R5451" i="3"/>
  <c r="R5452" i="3" s="1"/>
  <c r="Q5451" i="3"/>
  <c r="Q5452" i="3" s="1"/>
  <c r="P5451" i="3"/>
  <c r="P5452" i="3" s="1"/>
  <c r="O5451" i="3"/>
  <c r="O5452" i="3" s="1"/>
  <c r="N5451" i="3"/>
  <c r="N5452" i="3" s="1"/>
  <c r="U5451" i="3"/>
  <c r="U5452" i="3" s="1"/>
  <c r="X5401" i="3"/>
  <c r="W5401" i="3"/>
  <c r="O5401" i="3"/>
  <c r="O5402" i="3" s="1"/>
  <c r="N5401" i="3"/>
  <c r="N5402" i="3" s="1"/>
  <c r="K259" i="17"/>
  <c r="T5401" i="3"/>
  <c r="T5402" i="3" s="1"/>
  <c r="S5401" i="3"/>
  <c r="S5402" i="3" s="1"/>
  <c r="R5401" i="3"/>
  <c r="R5402" i="3" s="1"/>
  <c r="Q5401" i="3"/>
  <c r="Q5402" i="3" s="1"/>
  <c r="P5401" i="3"/>
  <c r="P5402" i="3" s="1"/>
  <c r="U5401" i="3"/>
  <c r="U5402" i="3" s="1"/>
  <c r="X5316" i="3" l="1"/>
  <c r="S5343" i="3"/>
  <c r="S5344" i="3" s="1"/>
  <c r="R5343" i="3"/>
  <c r="R5344" i="3" s="1"/>
  <c r="Q5343" i="3"/>
  <c r="Q5344" i="3" s="1"/>
  <c r="P5343" i="3"/>
  <c r="P5344" i="3" s="1"/>
  <c r="K210" i="17"/>
  <c r="U5343" i="3"/>
  <c r="U5344" i="3" s="1"/>
  <c r="T5343" i="3"/>
  <c r="T5344" i="3" s="1"/>
  <c r="K258" i="17"/>
  <c r="U5316" i="3"/>
  <c r="U5317" i="3" s="1"/>
  <c r="T5316" i="3"/>
  <c r="T5317" i="3" s="1"/>
  <c r="S5316" i="3"/>
  <c r="S5317" i="3" s="1"/>
  <c r="R5316" i="3"/>
  <c r="R5317" i="3" s="1"/>
  <c r="Q5316" i="3"/>
  <c r="Q5317" i="3" s="1"/>
  <c r="P5316" i="3"/>
  <c r="P5317" i="3" s="1"/>
  <c r="O5316" i="3"/>
  <c r="O5317" i="3" s="1"/>
  <c r="N5317" i="3"/>
  <c r="C879" i="2" l="1"/>
  <c r="C1142" i="2" s="1"/>
  <c r="C878" i="2"/>
  <c r="C1154" i="2" l="1"/>
  <c r="C1141" i="2"/>
  <c r="C1144" i="2" s="1"/>
  <c r="P3729" i="3"/>
  <c r="O3729" i="3"/>
  <c r="S3394" i="3"/>
  <c r="R3394" i="3"/>
  <c r="R3068" i="3"/>
  <c r="Q3068" i="3"/>
  <c r="S2745" i="3"/>
  <c r="R2745" i="3"/>
  <c r="V2145" i="3"/>
  <c r="U2145" i="3"/>
  <c r="P2146" i="3"/>
  <c r="Q2146" i="3"/>
  <c r="R2292" i="3" l="1"/>
  <c r="Q2292" i="3"/>
  <c r="E399" i="17" l="1"/>
  <c r="F399" i="17"/>
  <c r="C399" i="17"/>
  <c r="B399" i="17"/>
  <c r="D399" i="17" s="1"/>
  <c r="D421" i="17" s="1"/>
  <c r="E401" i="17" l="1"/>
  <c r="AI80" i="8"/>
  <c r="AH80" i="8"/>
  <c r="AJ80" i="8"/>
  <c r="AK80" i="8"/>
  <c r="AL80" i="8"/>
  <c r="AG81" i="8"/>
  <c r="AH81" i="8"/>
  <c r="AI81" i="8"/>
  <c r="AJ81" i="8"/>
  <c r="AK81" i="8"/>
  <c r="AL81" i="8"/>
  <c r="AG82" i="8"/>
  <c r="AH82" i="8"/>
  <c r="AI82" i="8"/>
  <c r="AJ82" i="8"/>
  <c r="AK82" i="8"/>
  <c r="AL82" i="8"/>
  <c r="AG83" i="8"/>
  <c r="AH83" i="8"/>
  <c r="AI83" i="8"/>
  <c r="AJ83" i="8"/>
  <c r="AK83" i="8"/>
  <c r="AL83" i="8"/>
  <c r="AG84" i="8"/>
  <c r="AH84" i="8"/>
  <c r="AI84" i="8"/>
  <c r="AJ84" i="8"/>
  <c r="AK84" i="8"/>
  <c r="AL84" i="8"/>
  <c r="AG85" i="8"/>
  <c r="AH85" i="8"/>
  <c r="AI85" i="8"/>
  <c r="AJ85" i="8"/>
  <c r="AK85" i="8"/>
  <c r="AL85" i="8"/>
  <c r="AG86" i="8"/>
  <c r="AH86" i="8"/>
  <c r="AI86" i="8"/>
  <c r="AJ86" i="8"/>
  <c r="AK86" i="8"/>
  <c r="AL86" i="8"/>
  <c r="AG87" i="8"/>
  <c r="AH87" i="8"/>
  <c r="AI87" i="8"/>
  <c r="AJ87" i="8"/>
  <c r="AK87" i="8"/>
  <c r="AL87" i="8"/>
  <c r="AG88" i="8"/>
  <c r="AH88" i="8"/>
  <c r="AI88" i="8"/>
  <c r="AJ88" i="8"/>
  <c r="AK88" i="8"/>
  <c r="AL88" i="8"/>
  <c r="AG89" i="8"/>
  <c r="AH89" i="8"/>
  <c r="AI89" i="8"/>
  <c r="AJ89" i="8"/>
  <c r="AK89" i="8"/>
  <c r="AL89" i="8"/>
  <c r="AG90" i="8"/>
  <c r="AH90" i="8"/>
  <c r="AI90" i="8"/>
  <c r="AJ90" i="8"/>
  <c r="AK90" i="8"/>
  <c r="AL90" i="8"/>
  <c r="AG91" i="8"/>
  <c r="AH91" i="8"/>
  <c r="AI91" i="8"/>
  <c r="AJ91" i="8"/>
  <c r="AK91" i="8"/>
  <c r="AL91" i="8"/>
  <c r="AJ92" i="8"/>
  <c r="AG68" i="8"/>
  <c r="AH68" i="8"/>
  <c r="AI68" i="8"/>
  <c r="AJ68" i="8"/>
  <c r="AK68" i="8"/>
  <c r="AL68" i="8"/>
  <c r="AG69" i="8"/>
  <c r="AH69" i="8"/>
  <c r="AI69" i="8"/>
  <c r="AJ69" i="8"/>
  <c r="AK69" i="8"/>
  <c r="AL69" i="8"/>
  <c r="AG70" i="8"/>
  <c r="AH70" i="8"/>
  <c r="AI70" i="8"/>
  <c r="AJ70" i="8"/>
  <c r="AK70" i="8"/>
  <c r="AL70" i="8"/>
  <c r="AG71" i="8"/>
  <c r="AH71" i="8"/>
  <c r="AI71" i="8"/>
  <c r="AJ71" i="8"/>
  <c r="AK71" i="8"/>
  <c r="AL71" i="8"/>
  <c r="AG72" i="8"/>
  <c r="AH72" i="8"/>
  <c r="AI72" i="8"/>
  <c r="AJ72" i="8"/>
  <c r="AK72" i="8"/>
  <c r="AL72" i="8"/>
  <c r="AG73" i="8"/>
  <c r="AH73" i="8"/>
  <c r="AI73" i="8"/>
  <c r="AJ73" i="8"/>
  <c r="AK73" i="8"/>
  <c r="AL73" i="8"/>
  <c r="AG74" i="8"/>
  <c r="AH74" i="8"/>
  <c r="AI74" i="8"/>
  <c r="AJ74" i="8"/>
  <c r="AK74" i="8"/>
  <c r="AL74" i="8"/>
  <c r="AG75" i="8"/>
  <c r="AH75" i="8"/>
  <c r="AI75" i="8"/>
  <c r="AJ75" i="8"/>
  <c r="AK75" i="8"/>
  <c r="AL75" i="8"/>
  <c r="AG76" i="8"/>
  <c r="AH76" i="8"/>
  <c r="AI76" i="8"/>
  <c r="AJ76" i="8"/>
  <c r="AK76" i="8"/>
  <c r="AL76" i="8"/>
  <c r="AG77" i="8"/>
  <c r="AH77" i="8"/>
  <c r="AI77" i="8"/>
  <c r="AJ77" i="8"/>
  <c r="AK77" i="8"/>
  <c r="AL77" i="8"/>
  <c r="AL67" i="8"/>
  <c r="AK67" i="8"/>
  <c r="AG327" i="8"/>
  <c r="AH327" i="8"/>
  <c r="AI327" i="8"/>
  <c r="AH329" i="8"/>
  <c r="AI329" i="8"/>
  <c r="W326" i="8"/>
  <c r="W327" i="8"/>
  <c r="AG326" i="8"/>
  <c r="AH316" i="8"/>
  <c r="AI316" i="8"/>
  <c r="AG317" i="8"/>
  <c r="AH302" i="8"/>
  <c r="AG302" i="8"/>
  <c r="AI326" i="8"/>
  <c r="AH326" i="8"/>
  <c r="AI325" i="8"/>
  <c r="AH325" i="8"/>
  <c r="AG325" i="8"/>
  <c r="AI324" i="8"/>
  <c r="AH324" i="8"/>
  <c r="AG324" i="8"/>
  <c r="AI323" i="8"/>
  <c r="AH323" i="8"/>
  <c r="AG323" i="8"/>
  <c r="AI322" i="8"/>
  <c r="AH322" i="8"/>
  <c r="AG322" i="8"/>
  <c r="AI321" i="8"/>
  <c r="AH321" i="8"/>
  <c r="AG321" i="8"/>
  <c r="AI320" i="8"/>
  <c r="AH320" i="8"/>
  <c r="AG320" i="8"/>
  <c r="AI319" i="8"/>
  <c r="AH319" i="8"/>
  <c r="AG319" i="8"/>
  <c r="AI318" i="8"/>
  <c r="AH318" i="8"/>
  <c r="AG318" i="8"/>
  <c r="AI317" i="8"/>
  <c r="AH317" i="8"/>
  <c r="AI311" i="8"/>
  <c r="AI310" i="8"/>
  <c r="AH310" i="8"/>
  <c r="AG310" i="8"/>
  <c r="AI309" i="8"/>
  <c r="AH309" i="8"/>
  <c r="AG309" i="8"/>
  <c r="AI308" i="8"/>
  <c r="AH308" i="8"/>
  <c r="AG308" i="8"/>
  <c r="AI307" i="8"/>
  <c r="AH307" i="8"/>
  <c r="AG307" i="8"/>
  <c r="AI306" i="8"/>
  <c r="AH306" i="8"/>
  <c r="AG306" i="8"/>
  <c r="AI305" i="8"/>
  <c r="AH305" i="8"/>
  <c r="AG305" i="8"/>
  <c r="AI304" i="8"/>
  <c r="AH304" i="8"/>
  <c r="AG304" i="8"/>
  <c r="AI303" i="8"/>
  <c r="AH303" i="8"/>
  <c r="AG303" i="8"/>
  <c r="AI302" i="8"/>
  <c r="C350" i="17" l="1"/>
  <c r="B350" i="17"/>
  <c r="D349" i="17"/>
  <c r="C349" i="17"/>
  <c r="D348" i="17"/>
  <c r="C348" i="17"/>
  <c r="B348" i="17"/>
  <c r="B347" i="17"/>
  <c r="D346" i="17"/>
  <c r="C346" i="17"/>
  <c r="D344" i="17"/>
  <c r="B342" i="17"/>
  <c r="BD34" i="4" l="1"/>
  <c r="BE34" i="4"/>
  <c r="BC135" i="8" l="1"/>
  <c r="BC134" i="8"/>
  <c r="BC133" i="8"/>
  <c r="BC132" i="8"/>
  <c r="BC131" i="8"/>
  <c r="BC130" i="8"/>
  <c r="BC129" i="8"/>
  <c r="BC128" i="8"/>
  <c r="BC127" i="8"/>
  <c r="BC126" i="8"/>
  <c r="BC125" i="8"/>
  <c r="BC124" i="8"/>
  <c r="BC123" i="8"/>
  <c r="BC120" i="8"/>
  <c r="BC119" i="8"/>
  <c r="BC118" i="8"/>
  <c r="BC117" i="8"/>
  <c r="BC116" i="8"/>
  <c r="BC115" i="8"/>
  <c r="BC114" i="8"/>
  <c r="BC113" i="8"/>
  <c r="BC112" i="8"/>
  <c r="BC111" i="8"/>
  <c r="AM135" i="8"/>
  <c r="AM134" i="8"/>
  <c r="AM133" i="8"/>
  <c r="AM132" i="8"/>
  <c r="AM131" i="8"/>
  <c r="AM130" i="8"/>
  <c r="AM129" i="8"/>
  <c r="AM128" i="8"/>
  <c r="AM127" i="8"/>
  <c r="AM126" i="8"/>
  <c r="AM125" i="8"/>
  <c r="AM124" i="8"/>
  <c r="AM123" i="8"/>
  <c r="AM120" i="8"/>
  <c r="AM119" i="8"/>
  <c r="AM118" i="8"/>
  <c r="AM117" i="8"/>
  <c r="AM116" i="8"/>
  <c r="AM115" i="8"/>
  <c r="AM114" i="8"/>
  <c r="AM113" i="8"/>
  <c r="AM112" i="8"/>
  <c r="AM111" i="8"/>
  <c r="W118" i="8"/>
  <c r="C110" i="8"/>
  <c r="D110" i="8"/>
  <c r="E110" i="8"/>
  <c r="F110" i="8"/>
  <c r="G110" i="8"/>
  <c r="I110" i="8"/>
  <c r="J110" i="8"/>
  <c r="M110" i="8"/>
  <c r="N110" i="8"/>
  <c r="P110" i="8"/>
  <c r="Q110" i="8"/>
  <c r="T110" i="8"/>
  <c r="U110" i="8"/>
  <c r="C111" i="8"/>
  <c r="E111" i="8"/>
  <c r="F111" i="8"/>
  <c r="G111" i="8"/>
  <c r="I111" i="8"/>
  <c r="J111" i="8"/>
  <c r="M111" i="8"/>
  <c r="N111" i="8"/>
  <c r="P111" i="8"/>
  <c r="Q111" i="8"/>
  <c r="T111" i="8"/>
  <c r="U111" i="8"/>
  <c r="W111" i="8"/>
  <c r="C112" i="8"/>
  <c r="F112" i="8"/>
  <c r="G112" i="8"/>
  <c r="I112" i="8"/>
  <c r="J112" i="8"/>
  <c r="M112" i="8"/>
  <c r="N112" i="8"/>
  <c r="P112" i="8"/>
  <c r="Q112" i="8"/>
  <c r="T112" i="8"/>
  <c r="U112" i="8"/>
  <c r="W112" i="8"/>
  <c r="C113" i="8"/>
  <c r="F113" i="8"/>
  <c r="G113" i="8"/>
  <c r="I113" i="8"/>
  <c r="J113" i="8"/>
  <c r="M113" i="8"/>
  <c r="N113" i="8"/>
  <c r="P113" i="8"/>
  <c r="Q113" i="8"/>
  <c r="T113" i="8"/>
  <c r="U113" i="8"/>
  <c r="W113" i="8"/>
  <c r="C114" i="8"/>
  <c r="D114" i="8"/>
  <c r="E114" i="8"/>
  <c r="F114" i="8"/>
  <c r="G114" i="8"/>
  <c r="I114" i="8"/>
  <c r="J114" i="8"/>
  <c r="K114" i="8"/>
  <c r="L114" i="8"/>
  <c r="M114" i="8"/>
  <c r="N114" i="8"/>
  <c r="P114" i="8"/>
  <c r="Q114" i="8"/>
  <c r="R114" i="8"/>
  <c r="S114" i="8"/>
  <c r="T114" i="8"/>
  <c r="U114" i="8"/>
  <c r="W114" i="8"/>
  <c r="C115" i="8"/>
  <c r="D115" i="8"/>
  <c r="E115" i="8"/>
  <c r="F115" i="8"/>
  <c r="G115" i="8"/>
  <c r="I115" i="8"/>
  <c r="J115" i="8"/>
  <c r="K115" i="8"/>
  <c r="L115" i="8"/>
  <c r="M115" i="8"/>
  <c r="N115" i="8"/>
  <c r="P115" i="8"/>
  <c r="Q115" i="8"/>
  <c r="R115" i="8"/>
  <c r="S115" i="8"/>
  <c r="T115" i="8"/>
  <c r="U115" i="8"/>
  <c r="W115" i="8"/>
  <c r="C116" i="8"/>
  <c r="D116" i="8"/>
  <c r="E116" i="8"/>
  <c r="F116" i="8"/>
  <c r="G116" i="8"/>
  <c r="I116" i="8"/>
  <c r="J116" i="8"/>
  <c r="K116" i="8"/>
  <c r="L116" i="8"/>
  <c r="M116" i="8"/>
  <c r="N116" i="8"/>
  <c r="P116" i="8"/>
  <c r="Q116" i="8"/>
  <c r="R116" i="8"/>
  <c r="S116" i="8"/>
  <c r="T116" i="8"/>
  <c r="U116" i="8"/>
  <c r="W116" i="8"/>
  <c r="C117" i="8"/>
  <c r="D117" i="8"/>
  <c r="E117" i="8"/>
  <c r="F117" i="8"/>
  <c r="G117" i="8"/>
  <c r="I117" i="8"/>
  <c r="J117" i="8"/>
  <c r="K117" i="8"/>
  <c r="L117" i="8"/>
  <c r="M117" i="8"/>
  <c r="N117" i="8"/>
  <c r="P117" i="8"/>
  <c r="Q117" i="8"/>
  <c r="R117" i="8"/>
  <c r="S117" i="8"/>
  <c r="T117" i="8"/>
  <c r="U117" i="8"/>
  <c r="W117" i="8"/>
  <c r="C118" i="8"/>
  <c r="D118" i="8"/>
  <c r="E118" i="8"/>
  <c r="F118" i="8"/>
  <c r="G118" i="8"/>
  <c r="I118" i="8"/>
  <c r="J118" i="8"/>
  <c r="K118" i="8"/>
  <c r="L118" i="8"/>
  <c r="M118" i="8"/>
  <c r="N118" i="8"/>
  <c r="P118" i="8"/>
  <c r="Q118" i="8"/>
  <c r="R118" i="8"/>
  <c r="S118" i="8"/>
  <c r="T118" i="8"/>
  <c r="U118" i="8"/>
  <c r="C119" i="8"/>
  <c r="D119" i="8"/>
  <c r="E119" i="8"/>
  <c r="F119" i="8"/>
  <c r="G119" i="8"/>
  <c r="I119" i="8"/>
  <c r="J119" i="8"/>
  <c r="K119" i="8"/>
  <c r="L119" i="8"/>
  <c r="M119" i="8"/>
  <c r="N119" i="8"/>
  <c r="P119" i="8"/>
  <c r="Q119" i="8"/>
  <c r="R119" i="8"/>
  <c r="S119" i="8"/>
  <c r="T119" i="8"/>
  <c r="U119" i="8"/>
  <c r="W119" i="8"/>
  <c r="C120" i="8"/>
  <c r="D120" i="8"/>
  <c r="E120" i="8"/>
  <c r="F120" i="8"/>
  <c r="G120" i="8"/>
  <c r="I120" i="8"/>
  <c r="J120" i="8"/>
  <c r="K120" i="8"/>
  <c r="L120" i="8"/>
  <c r="M120" i="8"/>
  <c r="N120" i="8"/>
  <c r="P120" i="8"/>
  <c r="Q120" i="8"/>
  <c r="R120" i="8"/>
  <c r="S120" i="8"/>
  <c r="T120" i="8"/>
  <c r="U120" i="8"/>
  <c r="W120" i="8"/>
  <c r="C123" i="8"/>
  <c r="F123" i="8"/>
  <c r="G123" i="8"/>
  <c r="I123" i="8"/>
  <c r="J123" i="8"/>
  <c r="M123" i="8"/>
  <c r="N123" i="8"/>
  <c r="P123" i="8"/>
  <c r="Q123" i="8"/>
  <c r="T123" i="8"/>
  <c r="U123" i="8"/>
  <c r="W123" i="8"/>
  <c r="C124" i="8"/>
  <c r="D124" i="8"/>
  <c r="E124" i="8"/>
  <c r="F124" i="8"/>
  <c r="G124" i="8"/>
  <c r="I124" i="8"/>
  <c r="J124" i="8"/>
  <c r="K124" i="8"/>
  <c r="L124" i="8"/>
  <c r="M124" i="8"/>
  <c r="N124" i="8"/>
  <c r="P124" i="8"/>
  <c r="Q124" i="8"/>
  <c r="R124" i="8"/>
  <c r="S124" i="8"/>
  <c r="T124" i="8"/>
  <c r="U124" i="8"/>
  <c r="W124" i="8"/>
  <c r="C125" i="8"/>
  <c r="D125" i="8"/>
  <c r="E125" i="8"/>
  <c r="F125" i="8"/>
  <c r="G125" i="8"/>
  <c r="I125" i="8"/>
  <c r="J125" i="8"/>
  <c r="K125" i="8"/>
  <c r="L125" i="8"/>
  <c r="M125" i="8"/>
  <c r="N125" i="8"/>
  <c r="P125" i="8"/>
  <c r="Q125" i="8"/>
  <c r="R125" i="8"/>
  <c r="S125" i="8"/>
  <c r="T125" i="8"/>
  <c r="U125" i="8"/>
  <c r="W125" i="8"/>
  <c r="C126" i="8"/>
  <c r="D126" i="8"/>
  <c r="E126" i="8"/>
  <c r="F126" i="8"/>
  <c r="G126" i="8"/>
  <c r="I126" i="8"/>
  <c r="J126" i="8"/>
  <c r="K126" i="8"/>
  <c r="L126" i="8"/>
  <c r="M126" i="8"/>
  <c r="N126" i="8"/>
  <c r="P126" i="8"/>
  <c r="Q126" i="8"/>
  <c r="R126" i="8"/>
  <c r="S126" i="8"/>
  <c r="T126" i="8"/>
  <c r="U126" i="8"/>
  <c r="W126" i="8"/>
  <c r="C127" i="8"/>
  <c r="D127" i="8"/>
  <c r="E127" i="8"/>
  <c r="F127" i="8"/>
  <c r="G127" i="8"/>
  <c r="I127" i="8"/>
  <c r="J127" i="8"/>
  <c r="K127" i="8"/>
  <c r="L127" i="8"/>
  <c r="M127" i="8"/>
  <c r="N127" i="8"/>
  <c r="P127" i="8"/>
  <c r="Q127" i="8"/>
  <c r="R127" i="8"/>
  <c r="S127" i="8"/>
  <c r="T127" i="8"/>
  <c r="U127" i="8"/>
  <c r="W127" i="8"/>
  <c r="C128" i="8"/>
  <c r="D128" i="8"/>
  <c r="E128" i="8"/>
  <c r="F128" i="8"/>
  <c r="G128" i="8"/>
  <c r="I128" i="8"/>
  <c r="J128" i="8"/>
  <c r="K128" i="8"/>
  <c r="L128" i="8"/>
  <c r="M128" i="8"/>
  <c r="N128" i="8"/>
  <c r="P128" i="8"/>
  <c r="Q128" i="8"/>
  <c r="R128" i="8"/>
  <c r="S128" i="8"/>
  <c r="T128" i="8"/>
  <c r="U128" i="8"/>
  <c r="W128" i="8"/>
  <c r="C129" i="8"/>
  <c r="D129" i="8"/>
  <c r="E129" i="8"/>
  <c r="F129" i="8"/>
  <c r="G129" i="8"/>
  <c r="I129" i="8"/>
  <c r="J129" i="8"/>
  <c r="K129" i="8"/>
  <c r="L129" i="8"/>
  <c r="M129" i="8"/>
  <c r="N129" i="8"/>
  <c r="P129" i="8"/>
  <c r="Q129" i="8"/>
  <c r="R129" i="8"/>
  <c r="S129" i="8"/>
  <c r="T129" i="8"/>
  <c r="U129" i="8"/>
  <c r="W129" i="8"/>
  <c r="C130" i="8"/>
  <c r="D130" i="8"/>
  <c r="E130" i="8"/>
  <c r="F130" i="8"/>
  <c r="G130" i="8"/>
  <c r="I130" i="8"/>
  <c r="J130" i="8"/>
  <c r="K130" i="8"/>
  <c r="L130" i="8"/>
  <c r="M130" i="8"/>
  <c r="N130" i="8"/>
  <c r="P130" i="8"/>
  <c r="Q130" i="8"/>
  <c r="R130" i="8"/>
  <c r="S130" i="8"/>
  <c r="T130" i="8"/>
  <c r="U130" i="8"/>
  <c r="W130" i="8"/>
  <c r="C131" i="8"/>
  <c r="D131" i="8"/>
  <c r="E131" i="8"/>
  <c r="F131" i="8"/>
  <c r="G131" i="8"/>
  <c r="I131" i="8"/>
  <c r="J131" i="8"/>
  <c r="K131" i="8"/>
  <c r="L131" i="8"/>
  <c r="M131" i="8"/>
  <c r="N131" i="8"/>
  <c r="P131" i="8"/>
  <c r="Q131" i="8"/>
  <c r="R131" i="8"/>
  <c r="S131" i="8"/>
  <c r="T131" i="8"/>
  <c r="U131" i="8"/>
  <c r="W131" i="8"/>
  <c r="C132" i="8"/>
  <c r="D132" i="8"/>
  <c r="E132" i="8"/>
  <c r="F132" i="8"/>
  <c r="G132" i="8"/>
  <c r="I132" i="8"/>
  <c r="J132" i="8"/>
  <c r="K132" i="8"/>
  <c r="L132" i="8"/>
  <c r="M132" i="8"/>
  <c r="N132" i="8"/>
  <c r="P132" i="8"/>
  <c r="Q132" i="8"/>
  <c r="R132" i="8"/>
  <c r="S132" i="8"/>
  <c r="T132" i="8"/>
  <c r="U132" i="8"/>
  <c r="W132" i="8"/>
  <c r="C133" i="8"/>
  <c r="D133" i="8"/>
  <c r="E133" i="8"/>
  <c r="F133" i="8"/>
  <c r="G133" i="8"/>
  <c r="I133" i="8"/>
  <c r="J133" i="8"/>
  <c r="K133" i="8"/>
  <c r="L133" i="8"/>
  <c r="M133" i="8"/>
  <c r="N133" i="8"/>
  <c r="P133" i="8"/>
  <c r="Q133" i="8"/>
  <c r="R133" i="8"/>
  <c r="S133" i="8"/>
  <c r="T133" i="8"/>
  <c r="U133" i="8"/>
  <c r="W133" i="8"/>
  <c r="C134" i="8"/>
  <c r="D134" i="8"/>
  <c r="E134" i="8"/>
  <c r="F134" i="8"/>
  <c r="G134" i="8"/>
  <c r="I134" i="8"/>
  <c r="J134" i="8"/>
  <c r="K134" i="8"/>
  <c r="L134" i="8"/>
  <c r="M134" i="8"/>
  <c r="N134" i="8"/>
  <c r="P134" i="8"/>
  <c r="Q134" i="8"/>
  <c r="R134" i="8"/>
  <c r="S134" i="8"/>
  <c r="T134" i="8"/>
  <c r="U134" i="8"/>
  <c r="W134" i="8"/>
  <c r="C135" i="8"/>
  <c r="D135" i="8"/>
  <c r="E135" i="8"/>
  <c r="F135" i="8"/>
  <c r="G135" i="8"/>
  <c r="I135" i="8"/>
  <c r="J135" i="8"/>
  <c r="K135" i="8"/>
  <c r="L135" i="8"/>
  <c r="M135" i="8"/>
  <c r="N135" i="8"/>
  <c r="P135" i="8"/>
  <c r="Q135" i="8"/>
  <c r="R135" i="8"/>
  <c r="S135" i="8"/>
  <c r="T135" i="8"/>
  <c r="U135" i="8"/>
  <c r="W135" i="8"/>
  <c r="B111" i="8"/>
  <c r="AG111" i="8" s="1"/>
  <c r="B112" i="8"/>
  <c r="B113" i="8"/>
  <c r="B114" i="8"/>
  <c r="B115" i="8"/>
  <c r="B116" i="8"/>
  <c r="B117" i="8"/>
  <c r="B118" i="8"/>
  <c r="B119" i="8"/>
  <c r="B120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10" i="8"/>
  <c r="A109" i="8"/>
  <c r="BA261" i="8"/>
  <c r="BB261" i="8"/>
  <c r="BA262" i="8"/>
  <c r="BB262" i="8"/>
  <c r="AG261" i="8"/>
  <c r="AH261" i="8"/>
  <c r="AI261" i="8"/>
  <c r="AJ261" i="8"/>
  <c r="AK261" i="8"/>
  <c r="AL261" i="8"/>
  <c r="AG262" i="8"/>
  <c r="AH262" i="8"/>
  <c r="AI262" i="8"/>
  <c r="AJ262" i="8"/>
  <c r="AK262" i="8"/>
  <c r="AL262" i="8"/>
  <c r="AG250" i="8"/>
  <c r="AH250" i="8"/>
  <c r="AI250" i="8"/>
  <c r="AJ250" i="8"/>
  <c r="AK250" i="8"/>
  <c r="AL250" i="8"/>
  <c r="AG251" i="8"/>
  <c r="AH251" i="8"/>
  <c r="AI251" i="8"/>
  <c r="AJ251" i="8"/>
  <c r="AK251" i="8"/>
  <c r="AL251" i="8"/>
  <c r="AG252" i="8"/>
  <c r="AH252" i="8"/>
  <c r="AI252" i="8"/>
  <c r="AJ252" i="8"/>
  <c r="AK252" i="8"/>
  <c r="AL252" i="8"/>
  <c r="AG253" i="8"/>
  <c r="AH253" i="8"/>
  <c r="AI253" i="8"/>
  <c r="AJ253" i="8"/>
  <c r="AK253" i="8"/>
  <c r="AL253" i="8"/>
  <c r="AG254" i="8"/>
  <c r="AH254" i="8"/>
  <c r="AI254" i="8"/>
  <c r="AJ254" i="8"/>
  <c r="AK254" i="8"/>
  <c r="AL254" i="8"/>
  <c r="AG255" i="8"/>
  <c r="AH255" i="8"/>
  <c r="AI255" i="8"/>
  <c r="AJ255" i="8"/>
  <c r="AK255" i="8"/>
  <c r="AL255" i="8"/>
  <c r="AG256" i="8"/>
  <c r="AH256" i="8"/>
  <c r="AI256" i="8"/>
  <c r="AJ256" i="8"/>
  <c r="AK256" i="8"/>
  <c r="AL256" i="8"/>
  <c r="AG257" i="8"/>
  <c r="AH257" i="8"/>
  <c r="AI257" i="8"/>
  <c r="AJ257" i="8"/>
  <c r="AK257" i="8"/>
  <c r="AL257" i="8"/>
  <c r="AG258" i="8"/>
  <c r="AH258" i="8"/>
  <c r="AI258" i="8"/>
  <c r="AJ258" i="8"/>
  <c r="AK258" i="8"/>
  <c r="AL258" i="8"/>
  <c r="AG259" i="8"/>
  <c r="AH259" i="8"/>
  <c r="AI259" i="8"/>
  <c r="AJ259" i="8"/>
  <c r="AK259" i="8"/>
  <c r="AL259" i="8"/>
  <c r="AG260" i="8"/>
  <c r="AH260" i="8"/>
  <c r="AI260" i="8"/>
  <c r="AJ260" i="8"/>
  <c r="AK260" i="8"/>
  <c r="AL260" i="8"/>
  <c r="AG247" i="8"/>
  <c r="BA196" i="8"/>
  <c r="BB196" i="8"/>
  <c r="BA197" i="8"/>
  <c r="BB197" i="8"/>
  <c r="AG196" i="8"/>
  <c r="AH196" i="8"/>
  <c r="AI196" i="8"/>
  <c r="AJ196" i="8"/>
  <c r="AK196" i="8"/>
  <c r="AL196" i="8"/>
  <c r="AG197" i="8"/>
  <c r="AH197" i="8"/>
  <c r="AI197" i="8"/>
  <c r="AJ197" i="8"/>
  <c r="AK197" i="8"/>
  <c r="AL197" i="8"/>
  <c r="AK195" i="8"/>
  <c r="AG195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185" i="8"/>
  <c r="BA91" i="8"/>
  <c r="BA28" i="8"/>
  <c r="BB28" i="8"/>
  <c r="BA29" i="8"/>
  <c r="BB29" i="8"/>
  <c r="AI29" i="8"/>
  <c r="AJ29" i="8"/>
  <c r="AI28" i="8"/>
  <c r="AJ28" i="8"/>
  <c r="BA27" i="8"/>
  <c r="AG115" i="8" l="1"/>
  <c r="BA135" i="8"/>
  <c r="BB135" i="8"/>
  <c r="AG129" i="8"/>
  <c r="AG119" i="8"/>
  <c r="AG132" i="8"/>
  <c r="AG128" i="8"/>
  <c r="AG124" i="8"/>
  <c r="AK123" i="8"/>
  <c r="AI123" i="8"/>
  <c r="AL113" i="8"/>
  <c r="AJ113" i="8"/>
  <c r="AH113" i="8"/>
  <c r="AL112" i="8"/>
  <c r="AJ112" i="8"/>
  <c r="AH112" i="8"/>
  <c r="AL111" i="8"/>
  <c r="AJ111" i="8"/>
  <c r="AL110" i="8"/>
  <c r="AJ110" i="8"/>
  <c r="AG133" i="8"/>
  <c r="AG125" i="8"/>
  <c r="AG123" i="8"/>
  <c r="AG110" i="8"/>
  <c r="AG134" i="8"/>
  <c r="AG130" i="8"/>
  <c r="AG126" i="8"/>
  <c r="AG120" i="8"/>
  <c r="AH110" i="8"/>
  <c r="AG135" i="8"/>
  <c r="AG131" i="8"/>
  <c r="AG127" i="8"/>
  <c r="AG117" i="8"/>
  <c r="AG113" i="8"/>
  <c r="BB134" i="8"/>
  <c r="BB128" i="8"/>
  <c r="BB126" i="8"/>
  <c r="AK113" i="8"/>
  <c r="AI113" i="8"/>
  <c r="AK112" i="8"/>
  <c r="AI112" i="8"/>
  <c r="AK111" i="8"/>
  <c r="AI111" i="8"/>
  <c r="AH111" i="8"/>
  <c r="AK110" i="8"/>
  <c r="AI110" i="8"/>
  <c r="AL135" i="8"/>
  <c r="AH135" i="8"/>
  <c r="AJ134" i="8"/>
  <c r="BB133" i="8"/>
  <c r="AL133" i="8"/>
  <c r="AH133" i="8"/>
  <c r="AJ132" i="8"/>
  <c r="AL131" i="8"/>
  <c r="AH131" i="8"/>
  <c r="AJ130" i="8"/>
  <c r="AL129" i="8"/>
  <c r="AH129" i="8"/>
  <c r="AJ128" i="8"/>
  <c r="AL127" i="8"/>
  <c r="AH127" i="8"/>
  <c r="AJ126" i="8"/>
  <c r="AL125" i="8"/>
  <c r="AH125" i="8"/>
  <c r="AJ124" i="8"/>
  <c r="AL120" i="8"/>
  <c r="AH120" i="8"/>
  <c r="AJ119" i="8"/>
  <c r="BA118" i="8"/>
  <c r="AK118" i="8"/>
  <c r="AI117" i="8"/>
  <c r="AK116" i="8"/>
  <c r="AI115" i="8"/>
  <c r="BA114" i="8"/>
  <c r="AK114" i="8"/>
  <c r="AG116" i="8"/>
  <c r="AG112" i="8"/>
  <c r="AK135" i="8"/>
  <c r="AI134" i="8"/>
  <c r="AK133" i="8"/>
  <c r="AI132" i="8"/>
  <c r="AK131" i="8"/>
  <c r="AI130" i="8"/>
  <c r="AK129" i="8"/>
  <c r="AI128" i="8"/>
  <c r="AK127" i="8"/>
  <c r="AI126" i="8"/>
  <c r="AK125" i="8"/>
  <c r="AI124" i="8"/>
  <c r="AK120" i="8"/>
  <c r="AI119" i="8"/>
  <c r="AJ118" i="8"/>
  <c r="AL117" i="8"/>
  <c r="AH117" i="8"/>
  <c r="AJ116" i="8"/>
  <c r="AL115" i="8"/>
  <c r="AH115" i="8"/>
  <c r="AJ114" i="8"/>
  <c r="AJ135" i="8"/>
  <c r="AL134" i="8"/>
  <c r="AH134" i="8"/>
  <c r="AJ133" i="8"/>
  <c r="AL132" i="8"/>
  <c r="AH132" i="8"/>
  <c r="AJ131" i="8"/>
  <c r="AL130" i="8"/>
  <c r="AH130" i="8"/>
  <c r="AJ129" i="8"/>
  <c r="AL128" i="8"/>
  <c r="AH128" i="8"/>
  <c r="AJ127" i="8"/>
  <c r="AL126" i="8"/>
  <c r="AH126" i="8"/>
  <c r="AJ125" i="8"/>
  <c r="AL124" i="8"/>
  <c r="AH124" i="8"/>
  <c r="AL123" i="8"/>
  <c r="AJ123" i="8"/>
  <c r="AH123" i="8"/>
  <c r="AJ120" i="8"/>
  <c r="AL119" i="8"/>
  <c r="AH119" i="8"/>
  <c r="AI118" i="8"/>
  <c r="AK117" i="8"/>
  <c r="AI116" i="8"/>
  <c r="AK115" i="8"/>
  <c r="AI114" i="8"/>
  <c r="BA110" i="8"/>
  <c r="AG118" i="8"/>
  <c r="AG114" i="8"/>
  <c r="AI135" i="8"/>
  <c r="AK134" i="8"/>
  <c r="AI133" i="8"/>
  <c r="AK132" i="8"/>
  <c r="AI131" i="8"/>
  <c r="AK130" i="8"/>
  <c r="AI129" i="8"/>
  <c r="AK128" i="8"/>
  <c r="AI127" i="8"/>
  <c r="AK126" i="8"/>
  <c r="AI125" i="8"/>
  <c r="AK124" i="8"/>
  <c r="AI120" i="8"/>
  <c r="AK119" i="8"/>
  <c r="AL118" i="8"/>
  <c r="AH118" i="8"/>
  <c r="AJ117" i="8"/>
  <c r="AL116" i="8"/>
  <c r="AH116" i="8"/>
  <c r="AJ115" i="8"/>
  <c r="AL114" i="8"/>
  <c r="AH114" i="8"/>
  <c r="BB129" i="8"/>
  <c r="BB120" i="8"/>
  <c r="BA128" i="8"/>
  <c r="BA127" i="8"/>
  <c r="BB113" i="8"/>
  <c r="BB111" i="8"/>
  <c r="BA132" i="8"/>
  <c r="BB127" i="8"/>
  <c r="BB132" i="8"/>
  <c r="BA113" i="8"/>
  <c r="BA111" i="8"/>
  <c r="BB131" i="8"/>
  <c r="BA131" i="8"/>
  <c r="BB125" i="8"/>
  <c r="BB124" i="8"/>
  <c r="BB130" i="8"/>
  <c r="BA130" i="8"/>
  <c r="BA126" i="8"/>
  <c r="BA112" i="8"/>
  <c r="BA120" i="8"/>
  <c r="BB118" i="8"/>
  <c r="BB116" i="8"/>
  <c r="BB114" i="8"/>
  <c r="BB112" i="8"/>
  <c r="BB110" i="8"/>
  <c r="BA134" i="8"/>
  <c r="BA116" i="8"/>
  <c r="BA124" i="8"/>
  <c r="BB117" i="8"/>
  <c r="BB115" i="8"/>
  <c r="BB123" i="8"/>
  <c r="BB119" i="8"/>
  <c r="BA133" i="8"/>
  <c r="BA129" i="8"/>
  <c r="BA125" i="8"/>
  <c r="BA123" i="8"/>
  <c r="BA119" i="8"/>
  <c r="BA117" i="8"/>
  <c r="BA115" i="8"/>
  <c r="I5295" i="3"/>
  <c r="H5295" i="3"/>
  <c r="I5294" i="3"/>
  <c r="H5294" i="3"/>
  <c r="Q5294" i="3"/>
  <c r="Q5295" i="3" s="1"/>
  <c r="N5295" i="3"/>
  <c r="O5294" i="3"/>
  <c r="O5295" i="3" s="1"/>
  <c r="R2297" i="3" l="1"/>
  <c r="Q2297" i="3"/>
  <c r="O2297" i="3"/>
  <c r="O2298" i="3" s="1"/>
  <c r="S995" i="3"/>
  <c r="R995" i="3"/>
  <c r="S997" i="3"/>
  <c r="R997" i="3"/>
  <c r="L998" i="3"/>
  <c r="M998" i="3"/>
  <c r="O998" i="3"/>
  <c r="N997" i="3"/>
  <c r="N998" i="3" s="1"/>
  <c r="K206" i="17" l="1"/>
  <c r="P5294" i="3"/>
  <c r="P5295" i="3" s="1"/>
  <c r="K5110" i="3"/>
  <c r="J5110" i="3"/>
  <c r="R147" i="17"/>
  <c r="N147" i="17"/>
  <c r="O147" i="17"/>
  <c r="P147" i="17"/>
  <c r="M147" i="17"/>
  <c r="K147" i="17"/>
  <c r="K5109" i="3"/>
  <c r="J5109" i="3"/>
  <c r="O5110" i="3"/>
  <c r="O5111" i="3" s="1"/>
  <c r="Q5110" i="3"/>
  <c r="Q5111" i="3" s="1"/>
  <c r="P5110" i="3"/>
  <c r="P5111" i="3" s="1"/>
  <c r="K5059" i="3"/>
  <c r="J5059" i="3"/>
  <c r="Q5059" i="3"/>
  <c r="Q5060" i="3" s="1"/>
  <c r="P5059" i="3"/>
  <c r="P5060" i="3" s="1"/>
  <c r="O5059" i="3"/>
  <c r="O5060" i="3" s="1"/>
  <c r="K5294" i="3" l="1"/>
  <c r="K5295" i="3"/>
  <c r="L5110" i="3" l="1"/>
  <c r="M5109" i="3"/>
  <c r="M5059" i="3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19" i="17"/>
  <c r="O119" i="17"/>
  <c r="I5010" i="3"/>
  <c r="H5010" i="3"/>
  <c r="L4420" i="3"/>
  <c r="K4265" i="3"/>
  <c r="V4235" i="3"/>
  <c r="S4023" i="3"/>
  <c r="S3868" i="3"/>
  <c r="R3868" i="3"/>
  <c r="T3290" i="3"/>
  <c r="T3122" i="3"/>
  <c r="T3024" i="3"/>
  <c r="W2618" i="3"/>
  <c r="R1499" i="3"/>
  <c r="I1429" i="3"/>
  <c r="R1356" i="3"/>
  <c r="T3068" i="3" l="1"/>
  <c r="X2145" i="3"/>
  <c r="R3729" i="3"/>
  <c r="S2146" i="3"/>
  <c r="U2745" i="3"/>
  <c r="U3394" i="3"/>
  <c r="T2292" i="3"/>
  <c r="I1986" i="3"/>
  <c r="U995" i="3"/>
  <c r="U997" i="3"/>
  <c r="I2772" i="3"/>
  <c r="I1231" i="3"/>
  <c r="H4817" i="3"/>
  <c r="I4547" i="3"/>
  <c r="W3791" i="3"/>
  <c r="I4687" i="3"/>
  <c r="G1535" i="3"/>
  <c r="I1145" i="3"/>
  <c r="G834" i="3"/>
  <c r="N4420" i="3"/>
  <c r="H4377" i="3"/>
  <c r="T4316" i="3"/>
  <c r="M4265" i="3"/>
  <c r="U4157" i="3"/>
  <c r="R4104" i="3"/>
  <c r="U3868" i="3"/>
  <c r="U3791" i="3"/>
  <c r="U3740" i="3"/>
  <c r="J3691" i="3"/>
  <c r="U3624" i="3"/>
  <c r="U3568" i="3"/>
  <c r="U3479" i="3"/>
  <c r="I3298" i="3"/>
  <c r="U3184" i="3"/>
  <c r="G3080" i="3"/>
  <c r="U3024" i="3"/>
  <c r="U2903" i="3"/>
  <c r="U2824" i="3"/>
  <c r="U2688" i="3"/>
  <c r="L2631" i="3"/>
  <c r="U2563" i="3"/>
  <c r="U2476" i="3"/>
  <c r="Q2402" i="3"/>
  <c r="Q2408" i="3"/>
  <c r="G1877" i="3"/>
  <c r="H1554" i="3"/>
  <c r="H1376" i="3"/>
  <c r="G1376" i="3"/>
  <c r="S1356" i="3"/>
  <c r="S1294" i="3"/>
  <c r="H1231" i="3"/>
  <c r="S1115" i="3"/>
  <c r="G1066" i="3"/>
  <c r="S960" i="3"/>
  <c r="H912" i="3"/>
  <c r="S883" i="3"/>
  <c r="G788" i="3"/>
  <c r="G721" i="3"/>
  <c r="S681" i="3"/>
  <c r="J586" i="3"/>
  <c r="S572" i="3"/>
  <c r="G524" i="3"/>
  <c r="S395" i="3"/>
  <c r="S319" i="3"/>
  <c r="S269" i="3"/>
  <c r="S219" i="3"/>
  <c r="G87" i="3"/>
  <c r="S4157" i="3"/>
  <c r="J3358" i="3"/>
  <c r="G2917" i="3"/>
  <c r="U1294" i="3"/>
  <c r="H911" i="3"/>
  <c r="S485" i="3"/>
  <c r="S142" i="3"/>
  <c r="J5009" i="3"/>
  <c r="H4935" i="3"/>
  <c r="J4926" i="3"/>
  <c r="H4816" i="3"/>
  <c r="G5010" i="3"/>
  <c r="I4935" i="3"/>
  <c r="M4487" i="3"/>
  <c r="I4377" i="3"/>
  <c r="X4232" i="3"/>
  <c r="U4028" i="3"/>
  <c r="U3347" i="3"/>
  <c r="U3239" i="3"/>
  <c r="U2465" i="3"/>
  <c r="S1499" i="3"/>
  <c r="K1429" i="3"/>
  <c r="G720" i="3"/>
  <c r="G632" i="3"/>
  <c r="G523" i="3"/>
  <c r="S377" i="3"/>
  <c r="K4870" i="3"/>
  <c r="I4730" i="3"/>
  <c r="I4725" i="3"/>
  <c r="J4634" i="3"/>
  <c r="J4635" i="3"/>
  <c r="J4547" i="3"/>
  <c r="L4542" i="3"/>
  <c r="K4487" i="3"/>
  <c r="H4364" i="3"/>
  <c r="X4235" i="3"/>
  <c r="R4097" i="3"/>
  <c r="L4045" i="3"/>
  <c r="U4023" i="3"/>
  <c r="S3917" i="3"/>
  <c r="V3922" i="3"/>
  <c r="J3819" i="3"/>
  <c r="U3811" i="3"/>
  <c r="U3678" i="3"/>
  <c r="I3616" i="3"/>
  <c r="U3515" i="3"/>
  <c r="W3479" i="3"/>
  <c r="U3406" i="3"/>
  <c r="U3290" i="3"/>
  <c r="G3243" i="3"/>
  <c r="U3122" i="3"/>
  <c r="G3078" i="3"/>
  <c r="U2968" i="3"/>
  <c r="G2918" i="3"/>
  <c r="G2847" i="3"/>
  <c r="U2753" i="3"/>
  <c r="H2708" i="3"/>
  <c r="U2614" i="3"/>
  <c r="X2618" i="3"/>
  <c r="U2512" i="3"/>
  <c r="T2297" i="3"/>
  <c r="G1986" i="3"/>
  <c r="H1936" i="3"/>
  <c r="G1936" i="3"/>
  <c r="G1878" i="3"/>
  <c r="G1787" i="3"/>
  <c r="G1785" i="3"/>
  <c r="T1691" i="3"/>
  <c r="T1692" i="3"/>
  <c r="I1554" i="3"/>
  <c r="H1535" i="3"/>
  <c r="H1450" i="3"/>
  <c r="H1349" i="3"/>
  <c r="H1186" i="3"/>
  <c r="I1146" i="3"/>
  <c r="S1012" i="3"/>
  <c r="S770" i="3"/>
  <c r="J436" i="3"/>
  <c r="H2709" i="3"/>
  <c r="J3690" i="3"/>
  <c r="H1878" i="3"/>
  <c r="H1986" i="3"/>
  <c r="J3357" i="3"/>
  <c r="H1348" i="3"/>
  <c r="BA80" i="8"/>
  <c r="BB80" i="8"/>
  <c r="BA81" i="8"/>
  <c r="BB81" i="8"/>
  <c r="BA82" i="8"/>
  <c r="BB82" i="8"/>
  <c r="BA83" i="8"/>
  <c r="BB83" i="8"/>
  <c r="BA84" i="8"/>
  <c r="BB84" i="8"/>
  <c r="BA85" i="8"/>
  <c r="BB85" i="8"/>
  <c r="BA86" i="8"/>
  <c r="BB86" i="8"/>
  <c r="BA87" i="8"/>
  <c r="BB87" i="8"/>
  <c r="BA88" i="8"/>
  <c r="BB88" i="8"/>
  <c r="BA89" i="8"/>
  <c r="BB89" i="8"/>
  <c r="BA90" i="8"/>
  <c r="BB90" i="8"/>
  <c r="BB91" i="8"/>
  <c r="H5009" i="3"/>
  <c r="G5009" i="3"/>
  <c r="C335" i="17"/>
  <c r="B335" i="17"/>
  <c r="C314" i="17"/>
  <c r="B314" i="17"/>
  <c r="Q5010" i="3"/>
  <c r="Q5011" i="3" s="1"/>
  <c r="P5010" i="3"/>
  <c r="P5011" i="3" s="1"/>
  <c r="O5010" i="3"/>
  <c r="O5011" i="3" s="1"/>
  <c r="H4930" i="3"/>
  <c r="G4930" i="3"/>
  <c r="R146" i="17"/>
  <c r="O146" i="17"/>
  <c r="N146" i="17"/>
  <c r="M146" i="17"/>
  <c r="I4870" i="3"/>
  <c r="H4870" i="3"/>
  <c r="H4927" i="3"/>
  <c r="G4927" i="3"/>
  <c r="H4926" i="3"/>
  <c r="G4926" i="3"/>
  <c r="Q4927" i="3"/>
  <c r="Q4928" i="3" s="1"/>
  <c r="P4927" i="3"/>
  <c r="P4928" i="3" s="1"/>
  <c r="O4927" i="3"/>
  <c r="O4928" i="3" s="1"/>
  <c r="R4871" i="3"/>
  <c r="R4872" i="3" s="1"/>
  <c r="Q4871" i="3"/>
  <c r="Q4872" i="3" s="1"/>
  <c r="P4871" i="3"/>
  <c r="P4872" i="3" s="1"/>
  <c r="Q340" i="17" l="1"/>
  <c r="P340" i="17"/>
  <c r="S334" i="17"/>
  <c r="S296" i="17"/>
  <c r="E295" i="17"/>
  <c r="E335" i="17"/>
  <c r="W303" i="8"/>
  <c r="W304" i="8"/>
  <c r="W305" i="8"/>
  <c r="W306" i="8"/>
  <c r="W307" i="8"/>
  <c r="W308" i="8"/>
  <c r="W309" i="8"/>
  <c r="W310" i="8"/>
  <c r="W311" i="8"/>
  <c r="W315" i="8"/>
  <c r="W316" i="8"/>
  <c r="W317" i="8"/>
  <c r="W318" i="8"/>
  <c r="W319" i="8"/>
  <c r="W320" i="8"/>
  <c r="W321" i="8"/>
  <c r="W322" i="8"/>
  <c r="W323" i="8"/>
  <c r="W324" i="8"/>
  <c r="W325" i="8"/>
  <c r="W302" i="8"/>
  <c r="BB260" i="8"/>
  <c r="BA260" i="8"/>
  <c r="BB259" i="8"/>
  <c r="BA259" i="8"/>
  <c r="BB258" i="8"/>
  <c r="BA258" i="8"/>
  <c r="BB257" i="8"/>
  <c r="BA257" i="8"/>
  <c r="BB256" i="8"/>
  <c r="BA256" i="8"/>
  <c r="BB255" i="8"/>
  <c r="BA255" i="8"/>
  <c r="BB254" i="8"/>
  <c r="BA254" i="8"/>
  <c r="BB253" i="8"/>
  <c r="BA253" i="8"/>
  <c r="BB252" i="8"/>
  <c r="BA252" i="8"/>
  <c r="BB251" i="8"/>
  <c r="BA251" i="8"/>
  <c r="BB250" i="8"/>
  <c r="BA250" i="8"/>
  <c r="BB247" i="8"/>
  <c r="BA247" i="8"/>
  <c r="BB246" i="8"/>
  <c r="BA246" i="8"/>
  <c r="BB245" i="8"/>
  <c r="BA245" i="8"/>
  <c r="BB244" i="8"/>
  <c r="BA244" i="8"/>
  <c r="BB243" i="8"/>
  <c r="BA243" i="8"/>
  <c r="BB242" i="8"/>
  <c r="BA242" i="8"/>
  <c r="BB241" i="8"/>
  <c r="BA241" i="8"/>
  <c r="BB240" i="8"/>
  <c r="BA240" i="8"/>
  <c r="BB239" i="8"/>
  <c r="BA239" i="8"/>
  <c r="BB238" i="8"/>
  <c r="BA238" i="8"/>
  <c r="BB237" i="8"/>
  <c r="BA237" i="8"/>
  <c r="BB195" i="8"/>
  <c r="BA195" i="8"/>
  <c r="BB194" i="8"/>
  <c r="BA194" i="8"/>
  <c r="BB193" i="8"/>
  <c r="BA193" i="8"/>
  <c r="BB192" i="8"/>
  <c r="BA192" i="8"/>
  <c r="BB191" i="8"/>
  <c r="BA191" i="8"/>
  <c r="BB190" i="8"/>
  <c r="BA190" i="8"/>
  <c r="BB189" i="8"/>
  <c r="BA189" i="8"/>
  <c r="BB188" i="8"/>
  <c r="BA188" i="8"/>
  <c r="BB187" i="8"/>
  <c r="BA187" i="8"/>
  <c r="BB186" i="8"/>
  <c r="BA186" i="8"/>
  <c r="BB185" i="8"/>
  <c r="BA185" i="8"/>
  <c r="BB182" i="8"/>
  <c r="BA182" i="8"/>
  <c r="BB181" i="8"/>
  <c r="BA181" i="8"/>
  <c r="BB180" i="8"/>
  <c r="BA180" i="8"/>
  <c r="BB179" i="8"/>
  <c r="BA179" i="8"/>
  <c r="BB178" i="8"/>
  <c r="BA178" i="8"/>
  <c r="BB177" i="8"/>
  <c r="BA177" i="8"/>
  <c r="BB176" i="8"/>
  <c r="BA176" i="8"/>
  <c r="BB175" i="8"/>
  <c r="BA175" i="8"/>
  <c r="BB174" i="8"/>
  <c r="BA174" i="8"/>
  <c r="BB173" i="8"/>
  <c r="BA173" i="8"/>
  <c r="BB172" i="8"/>
  <c r="BA172" i="8"/>
  <c r="BB77" i="8"/>
  <c r="BA77" i="8"/>
  <c r="BB76" i="8"/>
  <c r="BA76" i="8"/>
  <c r="BB75" i="8"/>
  <c r="BA75" i="8"/>
  <c r="BB74" i="8"/>
  <c r="BA74" i="8"/>
  <c r="BB73" i="8"/>
  <c r="BA73" i="8"/>
  <c r="BB72" i="8"/>
  <c r="BA72" i="8"/>
  <c r="BB71" i="8"/>
  <c r="BA71" i="8"/>
  <c r="BB70" i="8"/>
  <c r="BA70" i="8"/>
  <c r="BB69" i="8"/>
  <c r="BA69" i="8"/>
  <c r="BB68" i="8"/>
  <c r="BA68" i="8"/>
  <c r="BB67" i="8"/>
  <c r="BA67" i="8"/>
  <c r="BA5" i="8"/>
  <c r="BB5" i="8"/>
  <c r="BA6" i="8"/>
  <c r="BB6" i="8"/>
  <c r="BA7" i="8"/>
  <c r="BB7" i="8"/>
  <c r="BA8" i="8"/>
  <c r="BB8" i="8"/>
  <c r="BA9" i="8"/>
  <c r="BB9" i="8"/>
  <c r="BA10" i="8"/>
  <c r="BB10" i="8"/>
  <c r="BA11" i="8"/>
  <c r="BB11" i="8"/>
  <c r="BA12" i="8"/>
  <c r="BB12" i="8"/>
  <c r="BA13" i="8"/>
  <c r="BB13" i="8"/>
  <c r="BA14" i="8"/>
  <c r="BB14" i="8"/>
  <c r="BA17" i="8"/>
  <c r="BB17" i="8"/>
  <c r="BA18" i="8"/>
  <c r="BB18" i="8"/>
  <c r="BA19" i="8"/>
  <c r="BB19" i="8"/>
  <c r="BA20" i="8"/>
  <c r="BB20" i="8"/>
  <c r="BA21" i="8"/>
  <c r="BB21" i="8"/>
  <c r="BA22" i="8"/>
  <c r="BB22" i="8"/>
  <c r="BA23" i="8"/>
  <c r="BB23" i="8"/>
  <c r="BA24" i="8"/>
  <c r="BB24" i="8"/>
  <c r="BA25" i="8"/>
  <c r="BB25" i="8"/>
  <c r="BA26" i="8"/>
  <c r="BB26" i="8"/>
  <c r="BB27" i="8"/>
  <c r="BB4" i="8"/>
  <c r="BA4" i="8"/>
  <c r="AL247" i="8"/>
  <c r="AK247" i="8"/>
  <c r="AJ247" i="8"/>
  <c r="AI247" i="8"/>
  <c r="AH247" i="8"/>
  <c r="AL246" i="8"/>
  <c r="AK246" i="8"/>
  <c r="AJ246" i="8"/>
  <c r="AI246" i="8"/>
  <c r="AH246" i="8"/>
  <c r="AG246" i="8"/>
  <c r="AL245" i="8"/>
  <c r="AK245" i="8"/>
  <c r="AJ245" i="8"/>
  <c r="AI245" i="8"/>
  <c r="AH245" i="8"/>
  <c r="AG245" i="8"/>
  <c r="AL244" i="8"/>
  <c r="AK244" i="8"/>
  <c r="AJ244" i="8"/>
  <c r="AI244" i="8"/>
  <c r="AH244" i="8"/>
  <c r="AG244" i="8"/>
  <c r="AL243" i="8"/>
  <c r="AK243" i="8"/>
  <c r="AJ243" i="8"/>
  <c r="AI243" i="8"/>
  <c r="AH243" i="8"/>
  <c r="AG243" i="8"/>
  <c r="AL242" i="8"/>
  <c r="AK242" i="8"/>
  <c r="AJ242" i="8"/>
  <c r="AI242" i="8"/>
  <c r="AH242" i="8"/>
  <c r="AG242" i="8"/>
  <c r="AL241" i="8"/>
  <c r="AK241" i="8"/>
  <c r="AJ241" i="8"/>
  <c r="AI241" i="8"/>
  <c r="AH241" i="8"/>
  <c r="AG241" i="8"/>
  <c r="AL240" i="8"/>
  <c r="AK240" i="8"/>
  <c r="AJ240" i="8"/>
  <c r="AI240" i="8"/>
  <c r="AH240" i="8"/>
  <c r="AG240" i="8"/>
  <c r="AL239" i="8"/>
  <c r="AK239" i="8"/>
  <c r="AJ239" i="8"/>
  <c r="AI239" i="8"/>
  <c r="AH239" i="8"/>
  <c r="AG239" i="8"/>
  <c r="AL238" i="8"/>
  <c r="AK238" i="8"/>
  <c r="AJ238" i="8"/>
  <c r="AI238" i="8"/>
  <c r="AH238" i="8"/>
  <c r="AG238" i="8"/>
  <c r="AL237" i="8"/>
  <c r="AK237" i="8"/>
  <c r="AJ237" i="8"/>
  <c r="AI237" i="8"/>
  <c r="AH237" i="8"/>
  <c r="AG237" i="8"/>
  <c r="AH195" i="8"/>
  <c r="AJ195" i="8"/>
  <c r="AI195" i="8"/>
  <c r="AL195" i="8"/>
  <c r="AH194" i="8"/>
  <c r="AG194" i="8"/>
  <c r="AJ194" i="8"/>
  <c r="AI194" i="8"/>
  <c r="AL194" i="8"/>
  <c r="AK194" i="8"/>
  <c r="AH193" i="8"/>
  <c r="AG193" i="8"/>
  <c r="AJ193" i="8"/>
  <c r="AI193" i="8"/>
  <c r="AL193" i="8"/>
  <c r="AK193" i="8"/>
  <c r="AH192" i="8"/>
  <c r="AG192" i="8"/>
  <c r="AJ192" i="8"/>
  <c r="AI192" i="8"/>
  <c r="AL192" i="8"/>
  <c r="AK192" i="8"/>
  <c r="AH191" i="8"/>
  <c r="AG191" i="8"/>
  <c r="AJ191" i="8"/>
  <c r="AI191" i="8"/>
  <c r="AL191" i="8"/>
  <c r="AK191" i="8"/>
  <c r="AH190" i="8"/>
  <c r="AG190" i="8"/>
  <c r="AJ190" i="8"/>
  <c r="AI190" i="8"/>
  <c r="AL190" i="8"/>
  <c r="AK190" i="8"/>
  <c r="AH189" i="8"/>
  <c r="AG189" i="8"/>
  <c r="AJ189" i="8"/>
  <c r="AI189" i="8"/>
  <c r="AL189" i="8"/>
  <c r="AK189" i="8"/>
  <c r="AH188" i="8"/>
  <c r="AG188" i="8"/>
  <c r="AJ188" i="8"/>
  <c r="AI188" i="8"/>
  <c r="AL188" i="8"/>
  <c r="AK188" i="8"/>
  <c r="AH187" i="8"/>
  <c r="AG187" i="8"/>
  <c r="AJ187" i="8"/>
  <c r="AI187" i="8"/>
  <c r="AL187" i="8"/>
  <c r="AK187" i="8"/>
  <c r="AH186" i="8"/>
  <c r="AG186" i="8"/>
  <c r="AJ186" i="8"/>
  <c r="AI186" i="8"/>
  <c r="AL186" i="8"/>
  <c r="AK186" i="8"/>
  <c r="AH185" i="8"/>
  <c r="AG185" i="8"/>
  <c r="AJ185" i="8"/>
  <c r="AI185" i="8"/>
  <c r="AL185" i="8"/>
  <c r="AL182" i="8"/>
  <c r="AK182" i="8"/>
  <c r="AJ182" i="8"/>
  <c r="AI182" i="8"/>
  <c r="AH182" i="8"/>
  <c r="AG182" i="8"/>
  <c r="AL181" i="8"/>
  <c r="AK181" i="8"/>
  <c r="AJ181" i="8"/>
  <c r="AI181" i="8"/>
  <c r="AH181" i="8"/>
  <c r="AG181" i="8"/>
  <c r="AL180" i="8"/>
  <c r="AK180" i="8"/>
  <c r="AJ180" i="8"/>
  <c r="AI180" i="8"/>
  <c r="AH180" i="8"/>
  <c r="AG180" i="8"/>
  <c r="AL179" i="8"/>
  <c r="AK179" i="8"/>
  <c r="AJ179" i="8"/>
  <c r="AI179" i="8"/>
  <c r="AH179" i="8"/>
  <c r="AG179" i="8"/>
  <c r="AL178" i="8"/>
  <c r="AK178" i="8"/>
  <c r="AJ178" i="8"/>
  <c r="AI178" i="8"/>
  <c r="AH178" i="8"/>
  <c r="AG178" i="8"/>
  <c r="AL177" i="8"/>
  <c r="AK177" i="8"/>
  <c r="AJ177" i="8"/>
  <c r="AI177" i="8"/>
  <c r="AH177" i="8"/>
  <c r="AG177" i="8"/>
  <c r="AL176" i="8"/>
  <c r="AK176" i="8"/>
  <c r="AJ176" i="8"/>
  <c r="AI176" i="8"/>
  <c r="AH176" i="8"/>
  <c r="AG176" i="8"/>
  <c r="AL175" i="8"/>
  <c r="AK175" i="8"/>
  <c r="AJ175" i="8"/>
  <c r="AI175" i="8"/>
  <c r="AH175" i="8"/>
  <c r="AG175" i="8"/>
  <c r="AL174" i="8"/>
  <c r="AK174" i="8"/>
  <c r="AJ174" i="8"/>
  <c r="AI174" i="8"/>
  <c r="AH174" i="8"/>
  <c r="AG174" i="8"/>
  <c r="AL173" i="8"/>
  <c r="AK173" i="8"/>
  <c r="AJ173" i="8"/>
  <c r="AI173" i="8"/>
  <c r="AH173" i="8"/>
  <c r="AG173" i="8"/>
  <c r="AL172" i="8"/>
  <c r="AK172" i="8"/>
  <c r="AJ172" i="8"/>
  <c r="AI172" i="8"/>
  <c r="AH172" i="8"/>
  <c r="AG172" i="8"/>
  <c r="AG5" i="8"/>
  <c r="AI5" i="8"/>
  <c r="AJ5" i="8"/>
  <c r="AK5" i="8"/>
  <c r="AL5" i="8"/>
  <c r="AG6" i="8"/>
  <c r="AI6" i="8"/>
  <c r="AJ6" i="8"/>
  <c r="AK6" i="8"/>
  <c r="AL6" i="8"/>
  <c r="AG7" i="8"/>
  <c r="AI7" i="8"/>
  <c r="AJ7" i="8"/>
  <c r="AK7" i="8"/>
  <c r="AL7" i="8"/>
  <c r="AG8" i="8"/>
  <c r="AI8" i="8"/>
  <c r="AJ8" i="8"/>
  <c r="AK8" i="8"/>
  <c r="AL8" i="8"/>
  <c r="AG9" i="8"/>
  <c r="AI9" i="8"/>
  <c r="AJ9" i="8"/>
  <c r="AK9" i="8"/>
  <c r="AL9" i="8"/>
  <c r="AG10" i="8"/>
  <c r="AI10" i="8"/>
  <c r="AJ10" i="8"/>
  <c r="AK10" i="8"/>
  <c r="AL10" i="8"/>
  <c r="AG11" i="8"/>
  <c r="AI11" i="8"/>
  <c r="AJ11" i="8"/>
  <c r="AK11" i="8"/>
  <c r="AL11" i="8"/>
  <c r="AG12" i="8"/>
  <c r="AI12" i="8"/>
  <c r="AJ12" i="8"/>
  <c r="AK12" i="8"/>
  <c r="AL12" i="8"/>
  <c r="AG13" i="8"/>
  <c r="AI13" i="8"/>
  <c r="AJ13" i="8"/>
  <c r="AK13" i="8"/>
  <c r="AL13" i="8"/>
  <c r="AG14" i="8"/>
  <c r="AI14" i="8"/>
  <c r="AJ14" i="8"/>
  <c r="AK14" i="8"/>
  <c r="AL14" i="8"/>
  <c r="AI18" i="8"/>
  <c r="AJ18" i="8"/>
  <c r="AI19" i="8"/>
  <c r="AJ19" i="8"/>
  <c r="AI20" i="8"/>
  <c r="AJ20" i="8"/>
  <c r="AI21" i="8"/>
  <c r="AJ21" i="8"/>
  <c r="AI22" i="8"/>
  <c r="AJ22" i="8"/>
  <c r="AI23" i="8"/>
  <c r="AJ23" i="8"/>
  <c r="AI24" i="8"/>
  <c r="AJ24" i="8"/>
  <c r="AI25" i="8"/>
  <c r="AJ25" i="8"/>
  <c r="AI26" i="8"/>
  <c r="AJ26" i="8"/>
  <c r="AI27" i="8"/>
  <c r="AJ27" i="8"/>
  <c r="O121" i="17"/>
  <c r="O122" i="17"/>
  <c r="O123" i="17"/>
  <c r="O124" i="17"/>
  <c r="O125" i="17"/>
  <c r="O126" i="17"/>
  <c r="O127" i="17"/>
  <c r="O128" i="17"/>
  <c r="O129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N121" i="17"/>
  <c r="N122" i="17"/>
  <c r="N123" i="17"/>
  <c r="N124" i="17"/>
  <c r="N125" i="17"/>
  <c r="N126" i="17"/>
  <c r="N127" i="17"/>
  <c r="N128" i="17"/>
  <c r="N129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19" i="17"/>
  <c r="AU6" i="17"/>
  <c r="AV6" i="17"/>
  <c r="AW6" i="17"/>
  <c r="AX6" i="17"/>
  <c r="AY6" i="17"/>
  <c r="AZ6" i="17"/>
  <c r="BA6" i="17"/>
  <c r="BB6" i="17"/>
  <c r="AT6" i="17"/>
  <c r="AU5" i="17"/>
  <c r="AV5" i="17"/>
  <c r="AW5" i="17"/>
  <c r="AX5" i="17"/>
  <c r="AY5" i="17"/>
  <c r="AZ5" i="17"/>
  <c r="BA5" i="17"/>
  <c r="BB5" i="17"/>
  <c r="AT5" i="17"/>
  <c r="BB8" i="17" l="1"/>
  <c r="AX8" i="17"/>
  <c r="BA8" i="17"/>
  <c r="AW8" i="17"/>
  <c r="AT8" i="17"/>
  <c r="AY8" i="17"/>
  <c r="AU8" i="17"/>
  <c r="AZ8" i="17"/>
  <c r="AV8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115" i="17"/>
  <c r="K116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28" i="17"/>
  <c r="K229" i="17"/>
  <c r="K230" i="17"/>
  <c r="K231" i="17"/>
  <c r="K232" i="17"/>
  <c r="K233" i="17"/>
  <c r="K234" i="17"/>
  <c r="K235" i="17"/>
  <c r="K236" i="17"/>
  <c r="K237" i="17"/>
  <c r="K238" i="17"/>
  <c r="K243" i="17"/>
  <c r="K244" i="17"/>
  <c r="K245" i="17"/>
  <c r="K246" i="17"/>
  <c r="K247" i="17"/>
  <c r="K248" i="17"/>
  <c r="K249" i="17"/>
  <c r="K250" i="17"/>
  <c r="O2614" i="3"/>
  <c r="N2614" i="3"/>
  <c r="M2614" i="3"/>
  <c r="L2614" i="3"/>
  <c r="K2614" i="3"/>
  <c r="J2614" i="3"/>
  <c r="I2614" i="3"/>
  <c r="R4817" i="3" l="1"/>
  <c r="R4818" i="3" s="1"/>
  <c r="Q4817" i="3"/>
  <c r="Q4818" i="3" s="1"/>
  <c r="P4817" i="3"/>
  <c r="P4818" i="3" s="1"/>
  <c r="O4817" i="3"/>
  <c r="O4818" i="3" s="1"/>
  <c r="R145" i="17"/>
  <c r="R4728" i="3"/>
  <c r="R4729" i="3" s="1"/>
  <c r="Q4728" i="3"/>
  <c r="Q4729" i="3" s="1"/>
  <c r="P4728" i="3"/>
  <c r="P4729" i="3" s="1"/>
  <c r="O4728" i="3"/>
  <c r="O4729" i="3" s="1"/>
  <c r="M145" i="17"/>
  <c r="R4687" i="3"/>
  <c r="R4688" i="3" s="1"/>
  <c r="Q4687" i="3"/>
  <c r="Q4688" i="3" s="1"/>
  <c r="P4687" i="3"/>
  <c r="P4688" i="3" s="1"/>
  <c r="N4635" i="3" l="1"/>
  <c r="R4634" i="3"/>
  <c r="R4635" i="3" s="1"/>
  <c r="Q4634" i="3"/>
  <c r="Q4635" i="3" s="1"/>
  <c r="P4634" i="3"/>
  <c r="P4635" i="3" s="1"/>
  <c r="O4634" i="3"/>
  <c r="O4635" i="3" s="1"/>
  <c r="P4544" i="3"/>
  <c r="P4545" i="3" s="1"/>
  <c r="Q4544" i="3"/>
  <c r="Q4545" i="3" s="1"/>
  <c r="R4544" i="3"/>
  <c r="R4545" i="3" s="1"/>
  <c r="O4544" i="3"/>
  <c r="O4545" i="3" s="1"/>
  <c r="J4544" i="3"/>
  <c r="I4544" i="3"/>
  <c r="J4542" i="3"/>
  <c r="I4542" i="3"/>
  <c r="R144" i="17"/>
  <c r="M144" i="17"/>
  <c r="P4540" i="3"/>
  <c r="P4541" i="3" s="1"/>
  <c r="Q4540" i="3"/>
  <c r="Q4541" i="3" s="1"/>
  <c r="R4540" i="3"/>
  <c r="R4541" i="3" s="1"/>
  <c r="O4540" i="3"/>
  <c r="O4541" i="3" s="1"/>
  <c r="O4480" i="3"/>
  <c r="O4481" i="3" s="1"/>
  <c r="P4480" i="3"/>
  <c r="P4481" i="3" s="1"/>
  <c r="Q4480" i="3"/>
  <c r="Q4481" i="3" s="1"/>
  <c r="R4480" i="3"/>
  <c r="R4481" i="3" s="1"/>
  <c r="I4487" i="3"/>
  <c r="H4487" i="3"/>
  <c r="K4420" i="3"/>
  <c r="P4421" i="3"/>
  <c r="P4422" i="3" s="1"/>
  <c r="Q4421" i="3"/>
  <c r="Q4422" i="3" s="1"/>
  <c r="R4421" i="3"/>
  <c r="R4422" i="3" s="1"/>
  <c r="O4421" i="3"/>
  <c r="O4422" i="3" s="1"/>
  <c r="L4368" i="3"/>
  <c r="K4368" i="3"/>
  <c r="I4368" i="3"/>
  <c r="H4368" i="3"/>
  <c r="P4369" i="3"/>
  <c r="P4370" i="3" s="1"/>
  <c r="Q4369" i="3"/>
  <c r="Q4370" i="3" s="1"/>
  <c r="R4369" i="3"/>
  <c r="R4370" i="3" s="1"/>
  <c r="O4369" i="3"/>
  <c r="O4370" i="3" s="1"/>
  <c r="R143" i="17"/>
  <c r="P4365" i="3"/>
  <c r="P4366" i="3" s="1"/>
  <c r="Q4365" i="3"/>
  <c r="Q4366" i="3" s="1"/>
  <c r="R4365" i="3"/>
  <c r="R4366" i="3" s="1"/>
  <c r="O4365" i="3"/>
  <c r="O4366" i="3" s="1"/>
  <c r="M143" i="17"/>
  <c r="P4316" i="3"/>
  <c r="P4317" i="3" s="1"/>
  <c r="Q4316" i="3"/>
  <c r="Q4317" i="3" s="1"/>
  <c r="R4316" i="3"/>
  <c r="R4317" i="3" s="1"/>
  <c r="O4316" i="3"/>
  <c r="O4317" i="3" s="1"/>
  <c r="N4316" i="3"/>
  <c r="N4317" i="3" s="1"/>
  <c r="M4317" i="3"/>
  <c r="L4316" i="3"/>
  <c r="L4317" i="3" s="1"/>
  <c r="K4316" i="3"/>
  <c r="K4317" i="3" s="1"/>
  <c r="J4316" i="3"/>
  <c r="J4317" i="3" s="1"/>
  <c r="J4265" i="3"/>
  <c r="AC5" i="8"/>
  <c r="AC6" i="8"/>
  <c r="AC7" i="8"/>
  <c r="AC8" i="8"/>
  <c r="AC9" i="8"/>
  <c r="AC10" i="8"/>
  <c r="AC11" i="8"/>
  <c r="AC12" i="8"/>
  <c r="AC13" i="8"/>
  <c r="AC14" i="8"/>
  <c r="AC4" i="8"/>
  <c r="AL34" i="4"/>
  <c r="M136" i="17"/>
  <c r="V4232" i="3"/>
  <c r="U4232" i="3"/>
  <c r="U4235" i="3"/>
  <c r="L4234" i="3"/>
  <c r="L4235" i="3" s="1"/>
  <c r="M4235" i="3"/>
  <c r="N4234" i="3"/>
  <c r="N4235" i="3" s="1"/>
  <c r="O4234" i="3"/>
  <c r="O4235" i="3" s="1"/>
  <c r="P4234" i="3"/>
  <c r="P4235" i="3" s="1"/>
  <c r="Q4234" i="3"/>
  <c r="Q4235" i="3" s="1"/>
  <c r="R4234" i="3"/>
  <c r="R4235" i="3" s="1"/>
  <c r="S4234" i="3"/>
  <c r="S4235" i="3" s="1"/>
  <c r="K4234" i="3"/>
  <c r="K4235" i="3" s="1"/>
  <c r="O4157" i="3"/>
  <c r="O4158" i="3" s="1"/>
  <c r="Q4157" i="3"/>
  <c r="Q4158" i="3" s="1"/>
  <c r="P4157" i="3"/>
  <c r="P4158" i="3" s="1"/>
  <c r="N4157" i="3"/>
  <c r="N4158" i="3" s="1"/>
  <c r="M4157" i="3"/>
  <c r="M4158" i="3" s="1"/>
  <c r="K4157" i="3"/>
  <c r="K4158" i="3" s="1"/>
  <c r="L4157" i="3"/>
  <c r="L4158" i="3" s="1"/>
  <c r="J4157" i="3"/>
  <c r="J4158" i="3" s="1"/>
  <c r="R142" i="17"/>
  <c r="M142" i="17"/>
  <c r="P4097" i="3"/>
  <c r="P4098" i="3" s="1"/>
  <c r="O4097" i="3"/>
  <c r="O4098" i="3" s="1"/>
  <c r="N4097" i="3"/>
  <c r="N4098" i="3" s="1"/>
  <c r="M4097" i="3"/>
  <c r="M4098" i="3" s="1"/>
  <c r="L4097" i="3"/>
  <c r="L4098" i="3" s="1"/>
  <c r="K4097" i="3"/>
  <c r="K4098" i="3" s="1"/>
  <c r="J4097" i="3"/>
  <c r="J4098" i="3" s="1"/>
  <c r="I4097" i="3"/>
  <c r="I4098" i="3" s="1"/>
  <c r="AZ27" i="4"/>
  <c r="BD27" i="4" s="1"/>
  <c r="BA27" i="4"/>
  <c r="BE27" i="4" s="1"/>
  <c r="AZ28" i="4"/>
  <c r="BD28" i="4" s="1"/>
  <c r="BA28" i="4"/>
  <c r="BE28" i="4" s="1"/>
  <c r="AZ29" i="4"/>
  <c r="BD29" i="4" s="1"/>
  <c r="BA29" i="4"/>
  <c r="BE29" i="4" s="1"/>
  <c r="AZ30" i="4"/>
  <c r="BD30" i="4" s="1"/>
  <c r="BA30" i="4"/>
  <c r="BE30" i="4" s="1"/>
  <c r="AZ31" i="4"/>
  <c r="BD31" i="4" s="1"/>
  <c r="BA31" i="4"/>
  <c r="BE31" i="4" s="1"/>
  <c r="AZ32" i="4"/>
  <c r="BD32" i="4" s="1"/>
  <c r="BA32" i="4"/>
  <c r="BE32" i="4" s="1"/>
  <c r="AZ33" i="4"/>
  <c r="BD33" i="4" s="1"/>
  <c r="BA33" i="4"/>
  <c r="BE33" i="4" s="1"/>
  <c r="AZ3" i="4"/>
  <c r="BD3" i="4" s="1"/>
  <c r="BA3" i="4"/>
  <c r="BE3" i="4" s="1"/>
  <c r="AZ4" i="4"/>
  <c r="BD4" i="4" s="1"/>
  <c r="BA4" i="4"/>
  <c r="BE4" i="4" s="1"/>
  <c r="AZ5" i="4"/>
  <c r="BD5" i="4" s="1"/>
  <c r="BA5" i="4"/>
  <c r="BE5" i="4" s="1"/>
  <c r="AZ6" i="4"/>
  <c r="BD6" i="4" s="1"/>
  <c r="BA6" i="4"/>
  <c r="BE6" i="4" s="1"/>
  <c r="AZ7" i="4"/>
  <c r="BD7" i="4" s="1"/>
  <c r="BA7" i="4"/>
  <c r="BE7" i="4" s="1"/>
  <c r="AZ8" i="4"/>
  <c r="BD8" i="4" s="1"/>
  <c r="BA8" i="4"/>
  <c r="BE8" i="4" s="1"/>
  <c r="AZ9" i="4"/>
  <c r="BD9" i="4" s="1"/>
  <c r="BA9" i="4"/>
  <c r="BE9" i="4" s="1"/>
  <c r="BA2" i="4"/>
  <c r="BE2" i="4" s="1"/>
  <c r="AZ2" i="4"/>
  <c r="BD2" i="4" s="1"/>
  <c r="AL28" i="4"/>
  <c r="AL29" i="4"/>
  <c r="AL30" i="4"/>
  <c r="AL31" i="4"/>
  <c r="AL32" i="4"/>
  <c r="AL33" i="4"/>
  <c r="AL27" i="4"/>
  <c r="Y518" i="4"/>
  <c r="Y517" i="4"/>
  <c r="Y516" i="4"/>
  <c r="Y515" i="4"/>
  <c r="Y514" i="4"/>
  <c r="Y513" i="4"/>
  <c r="Y512" i="4"/>
  <c r="Y511" i="4"/>
  <c r="Y482" i="4"/>
  <c r="Y481" i="4"/>
  <c r="Y480" i="4"/>
  <c r="Y479" i="4"/>
  <c r="Y478" i="4"/>
  <c r="Y477" i="4"/>
  <c r="Y476" i="4"/>
  <c r="Y475" i="4"/>
  <c r="Y474" i="4"/>
  <c r="Y446" i="4"/>
  <c r="Y445" i="4"/>
  <c r="Y444" i="4"/>
  <c r="Y443" i="4"/>
  <c r="Y442" i="4"/>
  <c r="Y441" i="4"/>
  <c r="Y440" i="4"/>
  <c r="Y439" i="4"/>
  <c r="Y438" i="4"/>
  <c r="Y410" i="4"/>
  <c r="Y409" i="4"/>
  <c r="Y408" i="4"/>
  <c r="Y407" i="4"/>
  <c r="Y406" i="4"/>
  <c r="Y405" i="4"/>
  <c r="Y404" i="4"/>
  <c r="Y403" i="4"/>
  <c r="Y402" i="4"/>
  <c r="Y374" i="4"/>
  <c r="Y373" i="4"/>
  <c r="Y372" i="4"/>
  <c r="Y371" i="4"/>
  <c r="Y370" i="4"/>
  <c r="Y369" i="4"/>
  <c r="Y368" i="4"/>
  <c r="Y367" i="4"/>
  <c r="Y366" i="4"/>
  <c r="Y338" i="4"/>
  <c r="Y337" i="4"/>
  <c r="Y336" i="4"/>
  <c r="Y335" i="4"/>
  <c r="Y334" i="4"/>
  <c r="Y333" i="4"/>
  <c r="Y332" i="4"/>
  <c r="Y331" i="4"/>
  <c r="Y330" i="4"/>
  <c r="Y302" i="4"/>
  <c r="Y301" i="4"/>
  <c r="Y300" i="4"/>
  <c r="Y299" i="4"/>
  <c r="Y298" i="4"/>
  <c r="Y297" i="4"/>
  <c r="Y296" i="4"/>
  <c r="Y295" i="4"/>
  <c r="Y294" i="4"/>
  <c r="Y262" i="4"/>
  <c r="Y261" i="4"/>
  <c r="Y260" i="4"/>
  <c r="Y259" i="4"/>
  <c r="Y258" i="4"/>
  <c r="Y257" i="4"/>
  <c r="Y256" i="4"/>
  <c r="Y255" i="4"/>
  <c r="Y254" i="4"/>
  <c r="Y226" i="4"/>
  <c r="Y225" i="4"/>
  <c r="Y224" i="4"/>
  <c r="Y223" i="4"/>
  <c r="Y222" i="4"/>
  <c r="Y221" i="4"/>
  <c r="Y220" i="4"/>
  <c r="Y219" i="4"/>
  <c r="Y218" i="4"/>
  <c r="R4023" i="3"/>
  <c r="S4028" i="3"/>
  <c r="R4028" i="3"/>
  <c r="P4028" i="3"/>
  <c r="P4029" i="3" s="1"/>
  <c r="O4028" i="3"/>
  <c r="O4029" i="3" s="1"/>
  <c r="N4028" i="3"/>
  <c r="N4029" i="3" s="1"/>
  <c r="M4028" i="3"/>
  <c r="M4029" i="3" s="1"/>
  <c r="L4028" i="3"/>
  <c r="L4029" i="3" s="1"/>
  <c r="K4028" i="3"/>
  <c r="K4029" i="3" s="1"/>
  <c r="J4028" i="3"/>
  <c r="J4029" i="3" s="1"/>
  <c r="I4028" i="3"/>
  <c r="I4029" i="3" s="1"/>
  <c r="T3922" i="3"/>
  <c r="S3922" i="3"/>
  <c r="R141" i="17"/>
  <c r="T3921" i="3"/>
  <c r="S3921" i="3"/>
  <c r="P3917" i="3"/>
  <c r="O3917" i="3"/>
  <c r="N3917" i="3"/>
  <c r="M3917" i="3"/>
  <c r="L3917" i="3"/>
  <c r="K3917" i="3"/>
  <c r="J3917" i="3"/>
  <c r="I3917" i="3"/>
  <c r="M3922" i="3"/>
  <c r="M3923" i="3" s="1"/>
  <c r="P3922" i="3"/>
  <c r="P3923" i="3" s="1"/>
  <c r="O3922" i="3"/>
  <c r="O3923" i="3" s="1"/>
  <c r="N3922" i="3"/>
  <c r="N3923" i="3" s="1"/>
  <c r="L3922" i="3"/>
  <c r="L3923" i="3" s="1"/>
  <c r="K3922" i="3"/>
  <c r="K3923" i="3" s="1"/>
  <c r="J3922" i="3"/>
  <c r="J3923" i="3" s="1"/>
  <c r="I3922" i="3"/>
  <c r="I3923" i="3" s="1"/>
  <c r="P3868" i="3"/>
  <c r="P3869" i="3" s="1"/>
  <c r="O3868" i="3"/>
  <c r="O3869" i="3" s="1"/>
  <c r="N3868" i="3"/>
  <c r="N3869" i="3" s="1"/>
  <c r="M3868" i="3"/>
  <c r="M3869" i="3" s="1"/>
  <c r="L3868" i="3"/>
  <c r="L3869" i="3" s="1"/>
  <c r="K3868" i="3"/>
  <c r="K3869" i="3" s="1"/>
  <c r="J3868" i="3"/>
  <c r="J3869" i="3" s="1"/>
  <c r="I3868" i="3"/>
  <c r="I3869" i="3" s="1"/>
  <c r="M141" i="17"/>
  <c r="S3811" i="3"/>
  <c r="R3811" i="3"/>
  <c r="N3811" i="3"/>
  <c r="N3812" i="3" s="1"/>
  <c r="P3811" i="3"/>
  <c r="P3812" i="3" s="1"/>
  <c r="O3811" i="3"/>
  <c r="O3812" i="3" s="1"/>
  <c r="M3811" i="3"/>
  <c r="M3812" i="3" s="1"/>
  <c r="L3811" i="3"/>
  <c r="L3812" i="3" s="1"/>
  <c r="K3811" i="3"/>
  <c r="K3812" i="3" s="1"/>
  <c r="J3811" i="3"/>
  <c r="J3812" i="3" s="1"/>
  <c r="I3811" i="3"/>
  <c r="I3812" i="3" s="1"/>
  <c r="S3515" i="3"/>
  <c r="R3515" i="3"/>
  <c r="P3515" i="3"/>
  <c r="P3516" i="3" s="1"/>
  <c r="O3515" i="3"/>
  <c r="O3516" i="3" s="1"/>
  <c r="N3515" i="3"/>
  <c r="N3516" i="3" s="1"/>
  <c r="M3515" i="3"/>
  <c r="M3516" i="3" s="1"/>
  <c r="L3515" i="3"/>
  <c r="L3516" i="3" s="1"/>
  <c r="K3515" i="3"/>
  <c r="K3516" i="3" s="1"/>
  <c r="J3515" i="3"/>
  <c r="J3516" i="3" s="1"/>
  <c r="I3515" i="3"/>
  <c r="I3516" i="3" s="1"/>
  <c r="R3184" i="3"/>
  <c r="I3184" i="3"/>
  <c r="I3185" i="3" s="1"/>
  <c r="R2824" i="3"/>
  <c r="I2824" i="3"/>
  <c r="I2825" i="3" s="1"/>
  <c r="R2512" i="3"/>
  <c r="P377" i="3"/>
  <c r="P91" i="3"/>
  <c r="N3776" i="3"/>
  <c r="M3776" i="3"/>
  <c r="S3791" i="3"/>
  <c r="R3791" i="3"/>
  <c r="P3791" i="3"/>
  <c r="P3792" i="3" s="1"/>
  <c r="O3791" i="3"/>
  <c r="O3792" i="3" s="1"/>
  <c r="N3791" i="3"/>
  <c r="N3792" i="3" s="1"/>
  <c r="M3791" i="3"/>
  <c r="M3792" i="3" s="1"/>
  <c r="L3791" i="3"/>
  <c r="L3792" i="3" s="1"/>
  <c r="K3791" i="3"/>
  <c r="K3792" i="3" s="1"/>
  <c r="J3791" i="3"/>
  <c r="J3792" i="3" s="1"/>
  <c r="I3791" i="3"/>
  <c r="I3792" i="3" s="1"/>
  <c r="S3479" i="3"/>
  <c r="R3479" i="3"/>
  <c r="O3479" i="3"/>
  <c r="O3480" i="3" s="1"/>
  <c r="P3479" i="3"/>
  <c r="P3480" i="3" s="1"/>
  <c r="N3479" i="3"/>
  <c r="N3480" i="3" s="1"/>
  <c r="M3479" i="3"/>
  <c r="M3480" i="3" s="1"/>
  <c r="L3479" i="3"/>
  <c r="L3480" i="3" s="1"/>
  <c r="K3479" i="3"/>
  <c r="K3480" i="3" s="1"/>
  <c r="J3479" i="3"/>
  <c r="J3480" i="3" s="1"/>
  <c r="I3479" i="3"/>
  <c r="I3480" i="3" s="1"/>
  <c r="S3122" i="3"/>
  <c r="R3122" i="3"/>
  <c r="P3122" i="3"/>
  <c r="P3123" i="3" s="1"/>
  <c r="O3122" i="3"/>
  <c r="O3123" i="3" s="1"/>
  <c r="N3122" i="3"/>
  <c r="N3123" i="3" s="1"/>
  <c r="M3122" i="3"/>
  <c r="M3123" i="3" s="1"/>
  <c r="L3122" i="3"/>
  <c r="L3123" i="3" s="1"/>
  <c r="K3122" i="3"/>
  <c r="K3123" i="3" s="1"/>
  <c r="J3122" i="3"/>
  <c r="J3123" i="3" s="1"/>
  <c r="I3122" i="3"/>
  <c r="I3123" i="3" s="1"/>
  <c r="O2402" i="3"/>
  <c r="N2402" i="3"/>
  <c r="H2407" i="3"/>
  <c r="H2408" i="3" s="1"/>
  <c r="J2407" i="3"/>
  <c r="J2408" i="3" s="1"/>
  <c r="I2407" i="3"/>
  <c r="I2408" i="3" s="1"/>
  <c r="N2408" i="3"/>
  <c r="N2146" i="3"/>
  <c r="N2147" i="3" s="1"/>
  <c r="K2146" i="3"/>
  <c r="K2147" i="3" s="1"/>
  <c r="O2146" i="3"/>
  <c r="O2147" i="3" s="1"/>
  <c r="M2146" i="3"/>
  <c r="M2147" i="3" s="1"/>
  <c r="L2146" i="3"/>
  <c r="L2147" i="3" s="1"/>
  <c r="J2146" i="3"/>
  <c r="J2147" i="3" s="1"/>
  <c r="I2146" i="3"/>
  <c r="I2147" i="3" s="1"/>
  <c r="H2146" i="3"/>
  <c r="H2147" i="3" s="1"/>
  <c r="G2146" i="3"/>
  <c r="G2147" i="3" s="1"/>
  <c r="O1691" i="3"/>
  <c r="O1692" i="3" s="1"/>
  <c r="N1691" i="3"/>
  <c r="N1692" i="3" s="1"/>
  <c r="M1691" i="3"/>
  <c r="M1692" i="3" s="1"/>
  <c r="L1691" i="3"/>
  <c r="L1692" i="3" s="1"/>
  <c r="K1691" i="3"/>
  <c r="K1692" i="3" s="1"/>
  <c r="J1691" i="3"/>
  <c r="J1692" i="3" s="1"/>
  <c r="I1691" i="3"/>
  <c r="I1692" i="3" s="1"/>
  <c r="H1691" i="3"/>
  <c r="H1692" i="3" s="1"/>
  <c r="G1691" i="3"/>
  <c r="G1692" i="3" s="1"/>
  <c r="Q1692" i="3"/>
  <c r="Q1205" i="3"/>
  <c r="P1205" i="3"/>
  <c r="N1205" i="3"/>
  <c r="N1206" i="3" s="1"/>
  <c r="M1205" i="3"/>
  <c r="M1206" i="3" s="1"/>
  <c r="L1205" i="3"/>
  <c r="L1206" i="3" s="1"/>
  <c r="K1205" i="3"/>
  <c r="K1206" i="3" s="1"/>
  <c r="J1205" i="3"/>
  <c r="J1206" i="3" s="1"/>
  <c r="I1205" i="3"/>
  <c r="I1206" i="3" s="1"/>
  <c r="H1205" i="3"/>
  <c r="H1206" i="3" s="1"/>
  <c r="G1205" i="3"/>
  <c r="G1206" i="3" s="1"/>
  <c r="K997" i="3"/>
  <c r="K998" i="3" s="1"/>
  <c r="J997" i="3"/>
  <c r="J998" i="3" s="1"/>
  <c r="I997" i="3"/>
  <c r="I998" i="3" s="1"/>
  <c r="H997" i="3"/>
  <c r="H998" i="3" s="1"/>
  <c r="G997" i="3"/>
  <c r="G998" i="3" s="1"/>
  <c r="AC324" i="3"/>
  <c r="T324" i="3"/>
  <c r="T325" i="3" s="1"/>
  <c r="N2297" i="3"/>
  <c r="N2298" i="3" s="1"/>
  <c r="G2297" i="3"/>
  <c r="G2298" i="3" s="1"/>
  <c r="O1987" i="3"/>
  <c r="N1987" i="3"/>
  <c r="Q1992" i="3"/>
  <c r="P1992" i="3"/>
  <c r="O1992" i="3"/>
  <c r="O1993" i="3" s="1"/>
  <c r="N1992" i="3"/>
  <c r="N1993" i="3" s="1"/>
  <c r="M1992" i="3"/>
  <c r="M1993" i="3" s="1"/>
  <c r="L1992" i="3"/>
  <c r="L1993" i="3" s="1"/>
  <c r="K1992" i="3"/>
  <c r="K1993" i="3" s="1"/>
  <c r="J1992" i="3"/>
  <c r="J1993" i="3" s="1"/>
  <c r="I1992" i="3"/>
  <c r="I1993" i="3" s="1"/>
  <c r="H1992" i="3"/>
  <c r="H1993" i="3" s="1"/>
  <c r="G1992" i="3"/>
  <c r="G1993" i="3" s="1"/>
  <c r="H1880" i="3"/>
  <c r="G1880" i="3"/>
  <c r="Q1836" i="3"/>
  <c r="P1836" i="3"/>
  <c r="O1836" i="3"/>
  <c r="O1837" i="3" s="1"/>
  <c r="N1836" i="3"/>
  <c r="N1837" i="3" s="1"/>
  <c r="M1836" i="3"/>
  <c r="M1837" i="3" s="1"/>
  <c r="L1836" i="3"/>
  <c r="L1837" i="3" s="1"/>
  <c r="K1836" i="3"/>
  <c r="K1837" i="3" s="1"/>
  <c r="J1836" i="3"/>
  <c r="J1837" i="3" s="1"/>
  <c r="I1836" i="3"/>
  <c r="I1837" i="3" s="1"/>
  <c r="H1836" i="3"/>
  <c r="H1837" i="3" s="1"/>
  <c r="G1836" i="3"/>
  <c r="G1837" i="3" s="1"/>
  <c r="Q1499" i="3"/>
  <c r="P1499" i="3"/>
  <c r="N1499" i="3"/>
  <c r="N1500" i="3" s="1"/>
  <c r="M1499" i="3"/>
  <c r="M1500" i="3" s="1"/>
  <c r="L1499" i="3"/>
  <c r="L1500" i="3" s="1"/>
  <c r="K1499" i="3"/>
  <c r="K1500" i="3" s="1"/>
  <c r="J1499" i="3"/>
  <c r="J1500" i="3" s="1"/>
  <c r="I1499" i="3"/>
  <c r="I1500" i="3" s="1"/>
  <c r="H1499" i="3"/>
  <c r="H1500" i="3" s="1"/>
  <c r="G1499" i="3"/>
  <c r="G1500" i="3" s="1"/>
  <c r="Q1352" i="3"/>
  <c r="P1352" i="3"/>
  <c r="Q1190" i="3"/>
  <c r="P1190" i="3"/>
  <c r="Q955" i="3"/>
  <c r="P955" i="3"/>
  <c r="L955" i="3"/>
  <c r="M955" i="3"/>
  <c r="Q764" i="3"/>
  <c r="P764" i="3"/>
  <c r="L764" i="3"/>
  <c r="M764" i="3"/>
  <c r="Q567" i="3"/>
  <c r="P567" i="3"/>
  <c r="N567" i="3"/>
  <c r="N568" i="3" s="1"/>
  <c r="K567" i="3"/>
  <c r="J567" i="3"/>
  <c r="J568" i="3" s="1"/>
  <c r="I567" i="3"/>
  <c r="I568" i="3" s="1"/>
  <c r="H567" i="3"/>
  <c r="H568" i="3" s="1"/>
  <c r="G567" i="3"/>
  <c r="G568" i="3" s="1"/>
  <c r="P269" i="3"/>
  <c r="Q187" i="3"/>
  <c r="P187" i="3"/>
  <c r="N187" i="3"/>
  <c r="N188" i="3" s="1"/>
  <c r="M188" i="3"/>
  <c r="L188" i="3"/>
  <c r="K187" i="3"/>
  <c r="K188" i="3" s="1"/>
  <c r="J187" i="3"/>
  <c r="J188" i="3" s="1"/>
  <c r="I187" i="3"/>
  <c r="I188" i="3" s="1"/>
  <c r="H187" i="3"/>
  <c r="H188" i="3" s="1"/>
  <c r="G187" i="3"/>
  <c r="G188" i="3" s="1"/>
  <c r="L56" i="3"/>
  <c r="M56" i="3"/>
  <c r="Q55" i="3"/>
  <c r="P55" i="3"/>
  <c r="N55" i="3"/>
  <c r="N56" i="3" s="1"/>
  <c r="K55" i="3"/>
  <c r="K56" i="3" s="1"/>
  <c r="J55" i="3"/>
  <c r="J56" i="3" s="1"/>
  <c r="I55" i="3"/>
  <c r="I56" i="3" s="1"/>
  <c r="H55" i="3"/>
  <c r="H56" i="3" s="1"/>
  <c r="G55" i="3"/>
  <c r="G56" i="3" s="1"/>
  <c r="G61" i="3"/>
  <c r="G62" i="3" s="1"/>
  <c r="T210" i="3"/>
  <c r="K568" i="3"/>
  <c r="M568" i="3"/>
  <c r="O3736" i="3"/>
  <c r="O3737" i="3" s="1"/>
  <c r="S3736" i="3"/>
  <c r="R3736" i="3"/>
  <c r="N3736" i="3"/>
  <c r="N3737" i="3" s="1"/>
  <c r="M3736" i="3"/>
  <c r="M3737" i="3" s="1"/>
  <c r="L3736" i="3"/>
  <c r="L3737" i="3" s="1"/>
  <c r="K3736" i="3"/>
  <c r="K3737" i="3" s="1"/>
  <c r="P3736" i="3"/>
  <c r="P3737" i="3" s="1"/>
  <c r="J3736" i="3"/>
  <c r="J3737" i="3" s="1"/>
  <c r="I3736" i="3"/>
  <c r="I3737" i="3" s="1"/>
  <c r="R140" i="17"/>
  <c r="M140" i="17"/>
  <c r="S3740" i="3"/>
  <c r="R3740" i="3"/>
  <c r="J3740" i="3"/>
  <c r="J3741" i="3" s="1"/>
  <c r="I3740" i="3"/>
  <c r="I3741" i="3" s="1"/>
  <c r="P3740" i="3"/>
  <c r="P3741" i="3" s="1"/>
  <c r="O3740" i="3"/>
  <c r="O3741" i="3" s="1"/>
  <c r="N3740" i="3"/>
  <c r="N3741" i="3" s="1"/>
  <c r="M3740" i="3"/>
  <c r="M3741" i="3" s="1"/>
  <c r="L3740" i="3"/>
  <c r="L3741" i="3" s="1"/>
  <c r="K3740" i="3"/>
  <c r="K3741" i="3" s="1"/>
  <c r="R3678" i="3"/>
  <c r="K3678" i="3"/>
  <c r="K3679" i="3" s="1"/>
  <c r="J3678" i="3"/>
  <c r="J3679" i="3" s="1"/>
  <c r="L3678" i="3"/>
  <c r="L3679" i="3" s="1"/>
  <c r="I3678" i="3"/>
  <c r="I3679" i="3" s="1"/>
  <c r="S3678" i="3"/>
  <c r="P3678" i="3"/>
  <c r="P3679" i="3" s="1"/>
  <c r="O3678" i="3"/>
  <c r="O3679" i="3" s="1"/>
  <c r="N3678" i="3"/>
  <c r="N3679" i="3" s="1"/>
  <c r="M3678" i="3"/>
  <c r="M3679" i="3" s="1"/>
  <c r="S3620" i="3"/>
  <c r="R3620" i="3"/>
  <c r="P3620" i="3"/>
  <c r="P3621" i="3" s="1"/>
  <c r="O3620" i="3"/>
  <c r="O3621" i="3" s="1"/>
  <c r="N3620" i="3"/>
  <c r="N3621" i="3" s="1"/>
  <c r="M3620" i="3"/>
  <c r="M3621" i="3" s="1"/>
  <c r="L3620" i="3"/>
  <c r="L3621" i="3" s="1"/>
  <c r="K3620" i="3"/>
  <c r="K3621" i="3" s="1"/>
  <c r="J3620" i="3"/>
  <c r="J3621" i="3" s="1"/>
  <c r="I3620" i="3"/>
  <c r="I3621" i="3" s="1"/>
  <c r="R139" i="17"/>
  <c r="M139" i="17"/>
  <c r="S3624" i="3"/>
  <c r="S3568" i="3"/>
  <c r="R3568" i="3"/>
  <c r="R3624" i="3"/>
  <c r="O3624" i="3"/>
  <c r="O3625" i="3" s="1"/>
  <c r="K3624" i="3"/>
  <c r="K3625" i="3" s="1"/>
  <c r="J3624" i="3"/>
  <c r="J3625" i="3" s="1"/>
  <c r="I3624" i="3"/>
  <c r="I3625" i="3" s="1"/>
  <c r="P3624" i="3"/>
  <c r="P3625" i="3" s="1"/>
  <c r="N3624" i="3"/>
  <c r="N3625" i="3" s="1"/>
  <c r="M3624" i="3"/>
  <c r="M3625" i="3" s="1"/>
  <c r="L3624" i="3"/>
  <c r="L3625" i="3" s="1"/>
  <c r="I3568" i="3"/>
  <c r="I3569" i="3" s="1"/>
  <c r="P3568" i="3"/>
  <c r="P3569" i="3" s="1"/>
  <c r="O3568" i="3"/>
  <c r="O3569" i="3" s="1"/>
  <c r="N3568" i="3"/>
  <c r="N3569" i="3" s="1"/>
  <c r="M3568" i="3"/>
  <c r="M3569" i="3" s="1"/>
  <c r="L3568" i="3"/>
  <c r="L3569" i="3" s="1"/>
  <c r="K3568" i="3"/>
  <c r="K3569" i="3" s="1"/>
  <c r="J3568" i="3"/>
  <c r="J3569" i="3" s="1"/>
  <c r="S3402" i="3"/>
  <c r="R3402" i="3"/>
  <c r="O3402" i="3"/>
  <c r="O3403" i="3" s="1"/>
  <c r="N3402" i="3"/>
  <c r="N3403" i="3" s="1"/>
  <c r="M3402" i="3"/>
  <c r="M3403" i="3" s="1"/>
  <c r="L3402" i="3"/>
  <c r="L3403" i="3" s="1"/>
  <c r="K3402" i="3"/>
  <c r="K3403" i="3" s="1"/>
  <c r="J3402" i="3"/>
  <c r="J3403" i="3" s="1"/>
  <c r="I3402" i="3"/>
  <c r="I3403" i="3" s="1"/>
  <c r="P3402" i="3"/>
  <c r="P3403" i="3" s="1"/>
  <c r="R138" i="17"/>
  <c r="M138" i="17"/>
  <c r="R3406" i="3"/>
  <c r="I3406" i="3"/>
  <c r="I3407" i="3" s="1"/>
  <c r="S3406" i="3"/>
  <c r="P3406" i="3"/>
  <c r="P3407" i="3" s="1"/>
  <c r="O3406" i="3"/>
  <c r="O3407" i="3" s="1"/>
  <c r="N3406" i="3"/>
  <c r="N3407" i="3" s="1"/>
  <c r="M3406" i="3"/>
  <c r="M3407" i="3" s="1"/>
  <c r="L3406" i="3"/>
  <c r="L3407" i="3" s="1"/>
  <c r="K3406" i="3"/>
  <c r="K3407" i="3" s="1"/>
  <c r="J3406" i="3"/>
  <c r="J3407" i="3" s="1"/>
  <c r="R3347" i="3"/>
  <c r="N3347" i="3"/>
  <c r="N3348" i="3" s="1"/>
  <c r="J3347" i="3"/>
  <c r="J3348" i="3" s="1"/>
  <c r="I3347" i="3"/>
  <c r="I3348" i="3" s="1"/>
  <c r="S3347" i="3"/>
  <c r="P3347" i="3"/>
  <c r="P3348" i="3" s="1"/>
  <c r="O3347" i="3"/>
  <c r="O3348" i="3" s="1"/>
  <c r="M3347" i="3"/>
  <c r="M3348" i="3" s="1"/>
  <c r="L3347" i="3"/>
  <c r="L3348" i="3" s="1"/>
  <c r="K3347" i="3"/>
  <c r="K3348" i="3" s="1"/>
  <c r="O3286" i="3"/>
  <c r="O3287" i="3" s="1"/>
  <c r="S3286" i="3"/>
  <c r="R3286" i="3"/>
  <c r="N3286" i="3"/>
  <c r="N3287" i="3" s="1"/>
  <c r="M3286" i="3"/>
  <c r="M3287" i="3" s="1"/>
  <c r="L3286" i="3"/>
  <c r="L3287" i="3" s="1"/>
  <c r="K3286" i="3"/>
  <c r="K3287" i="3" s="1"/>
  <c r="J3286" i="3"/>
  <c r="J3287" i="3" s="1"/>
  <c r="I3286" i="3"/>
  <c r="I3287" i="3" s="1"/>
  <c r="P3286" i="3"/>
  <c r="P3287" i="3" s="1"/>
  <c r="R137" i="17"/>
  <c r="M137" i="17"/>
  <c r="S3290" i="3"/>
  <c r="R3290" i="3"/>
  <c r="O3290" i="3"/>
  <c r="O3291" i="3" s="1"/>
  <c r="M3290" i="3"/>
  <c r="M3291" i="3" s="1"/>
  <c r="I3290" i="3"/>
  <c r="I3291" i="3" s="1"/>
  <c r="R3239" i="3"/>
  <c r="L3239" i="3"/>
  <c r="L3240" i="3" s="1"/>
  <c r="I3239" i="3"/>
  <c r="I3240" i="3" s="1"/>
  <c r="O3239" i="3"/>
  <c r="O3240" i="3" s="1"/>
  <c r="M3239" i="3"/>
  <c r="M3240" i="3" s="1"/>
  <c r="S3076" i="3"/>
  <c r="R3076" i="3"/>
  <c r="O3076" i="3"/>
  <c r="O3077" i="3" s="1"/>
  <c r="N3076" i="3"/>
  <c r="N3077" i="3" s="1"/>
  <c r="M3076" i="3"/>
  <c r="M3077" i="3" s="1"/>
  <c r="L3076" i="3"/>
  <c r="L3077" i="3" s="1"/>
  <c r="K3076" i="3"/>
  <c r="K3077" i="3" s="1"/>
  <c r="J3076" i="3"/>
  <c r="J3077" i="3" s="1"/>
  <c r="I3076" i="3"/>
  <c r="I3077" i="3" s="1"/>
  <c r="R136" i="17"/>
  <c r="R3024" i="3"/>
  <c r="M3024" i="3"/>
  <c r="M3025" i="3" s="1"/>
  <c r="I3024" i="3"/>
  <c r="I3025" i="3" s="1"/>
  <c r="L2963" i="3"/>
  <c r="L2964" i="3" s="1"/>
  <c r="P2963" i="3"/>
  <c r="P2964" i="3" s="1"/>
  <c r="S2963" i="3"/>
  <c r="R2963" i="3"/>
  <c r="O2963" i="3"/>
  <c r="O2964" i="3" s="1"/>
  <c r="N2963" i="3"/>
  <c r="N2964" i="3" s="1"/>
  <c r="M2963" i="3"/>
  <c r="M2964" i="3" s="1"/>
  <c r="K2963" i="3"/>
  <c r="K2964" i="3" s="1"/>
  <c r="J2963" i="3"/>
  <c r="J2964" i="3" s="1"/>
  <c r="I2963" i="3"/>
  <c r="I2964" i="3" s="1"/>
  <c r="R135" i="17"/>
  <c r="M135" i="17"/>
  <c r="S2968" i="3"/>
  <c r="R2968" i="3"/>
  <c r="I2968" i="3"/>
  <c r="I2969" i="3" s="1"/>
  <c r="O2968" i="3"/>
  <c r="O2969" i="3" s="1"/>
  <c r="M2968" i="3"/>
  <c r="M2969" i="3" s="1"/>
  <c r="S2903" i="3"/>
  <c r="R2903" i="3"/>
  <c r="J2903" i="3"/>
  <c r="J2904" i="3" s="1"/>
  <c r="I2903" i="3"/>
  <c r="I2904" i="3" s="1"/>
  <c r="N2824" i="3"/>
  <c r="N2825" i="3" s="1"/>
  <c r="S2753" i="3"/>
  <c r="R2753" i="3"/>
  <c r="J2753" i="3"/>
  <c r="J2754" i="3" s="1"/>
  <c r="N2753" i="3"/>
  <c r="N2754" i="3" s="1"/>
  <c r="O2753" i="3"/>
  <c r="O2754" i="3" s="1"/>
  <c r="M2753" i="3"/>
  <c r="M2754" i="3" s="1"/>
  <c r="L2753" i="3"/>
  <c r="L2754" i="3" s="1"/>
  <c r="K2753" i="3"/>
  <c r="K2754" i="3" s="1"/>
  <c r="I2753" i="3"/>
  <c r="I2754" i="3" s="1"/>
  <c r="P2753" i="3"/>
  <c r="P2754" i="3" s="1"/>
  <c r="R134" i="17"/>
  <c r="M134" i="17"/>
  <c r="R2757" i="3"/>
  <c r="I2757" i="3"/>
  <c r="I2758" i="3" s="1"/>
  <c r="S2688" i="3"/>
  <c r="R2688" i="3"/>
  <c r="O2688" i="3"/>
  <c r="O2689" i="3" s="1"/>
  <c r="N2688" i="3"/>
  <c r="N2689" i="3" s="1"/>
  <c r="M2688" i="3"/>
  <c r="M2689" i="3" s="1"/>
  <c r="L2688" i="3"/>
  <c r="L2689" i="3" s="1"/>
  <c r="K2688" i="3"/>
  <c r="K2689" i="3" s="1"/>
  <c r="J2688" i="3"/>
  <c r="J2689" i="3" s="1"/>
  <c r="I2688" i="3"/>
  <c r="I2689" i="3" s="1"/>
  <c r="P2688" i="3"/>
  <c r="P2689" i="3" s="1"/>
  <c r="V2618" i="3"/>
  <c r="U2618" i="3"/>
  <c r="R132" i="17"/>
  <c r="R133" i="17"/>
  <c r="R119" i="17"/>
  <c r="R120" i="17"/>
  <c r="R121" i="17"/>
  <c r="R122" i="17"/>
  <c r="R123" i="17"/>
  <c r="R124" i="17"/>
  <c r="R125" i="17"/>
  <c r="R126" i="17"/>
  <c r="R127" i="17"/>
  <c r="R128" i="17"/>
  <c r="R118" i="17"/>
  <c r="S2614" i="3"/>
  <c r="R2614" i="3"/>
  <c r="O2615" i="3"/>
  <c r="N2615" i="3"/>
  <c r="M2615" i="3"/>
  <c r="L2615" i="3"/>
  <c r="K2615" i="3"/>
  <c r="J2615" i="3"/>
  <c r="I2615" i="3"/>
  <c r="P2614" i="3"/>
  <c r="P2615" i="3" s="1"/>
  <c r="M133" i="17"/>
  <c r="M132" i="17"/>
  <c r="R2618" i="3"/>
  <c r="I2618" i="3"/>
  <c r="I2619" i="3" s="1"/>
  <c r="S2563" i="3"/>
  <c r="R2563" i="3"/>
  <c r="O2563" i="3"/>
  <c r="O2564" i="3" s="1"/>
  <c r="N2563" i="3"/>
  <c r="N2564" i="3" s="1"/>
  <c r="M2563" i="3"/>
  <c r="M2564" i="3" s="1"/>
  <c r="L2563" i="3"/>
  <c r="L2564" i="3" s="1"/>
  <c r="K2563" i="3"/>
  <c r="K2564" i="3" s="1"/>
  <c r="J2563" i="3"/>
  <c r="J2564" i="3" s="1"/>
  <c r="P2563" i="3"/>
  <c r="P2564" i="3" s="1"/>
  <c r="I2563" i="3"/>
  <c r="I2564" i="3" s="1"/>
  <c r="L2476" i="3"/>
  <c r="L2477" i="3" s="1"/>
  <c r="K2476" i="3"/>
  <c r="J2476" i="3"/>
  <c r="J2477" i="3" s="1"/>
  <c r="I2476" i="3"/>
  <c r="I2477" i="3" s="1"/>
  <c r="S2476" i="3"/>
  <c r="R2476" i="3"/>
  <c r="S2465" i="3"/>
  <c r="R2465" i="3"/>
  <c r="O2465" i="3"/>
  <c r="O2466" i="3" s="1"/>
  <c r="N2465" i="3"/>
  <c r="N2466" i="3" s="1"/>
  <c r="M2465" i="3"/>
  <c r="M2466" i="3" s="1"/>
  <c r="L2465" i="3"/>
  <c r="L2466" i="3" s="1"/>
  <c r="K2465" i="3"/>
  <c r="K2466" i="3" s="1"/>
  <c r="J2465" i="3"/>
  <c r="J2466" i="3" s="1"/>
  <c r="I2465" i="3"/>
  <c r="I2466" i="3" s="1"/>
  <c r="L568" i="3"/>
  <c r="M2297" i="3"/>
  <c r="M2298" i="3" s="1"/>
  <c r="L2297" i="3"/>
  <c r="L2298" i="3" s="1"/>
  <c r="K2297" i="3"/>
  <c r="K2298" i="3" s="1"/>
  <c r="J2297" i="3"/>
  <c r="J2298" i="3" s="1"/>
  <c r="I2297" i="3"/>
  <c r="I2298" i="3" s="1"/>
  <c r="H2297" i="3"/>
  <c r="H2298" i="3" s="1"/>
  <c r="F1988" i="3"/>
  <c r="G1988" i="3"/>
  <c r="P2465" i="3"/>
  <c r="P2466" i="3" s="1"/>
  <c r="P2476" i="3"/>
  <c r="P2477" i="3" s="1"/>
  <c r="O2476" i="3"/>
  <c r="O2477" i="3" s="1"/>
  <c r="N2476" i="3"/>
  <c r="N2477" i="3" s="1"/>
  <c r="M2476" i="3"/>
  <c r="M2477" i="3" s="1"/>
  <c r="K2477" i="3"/>
  <c r="M119" i="17"/>
  <c r="M120" i="17"/>
  <c r="M121" i="17"/>
  <c r="M122" i="17"/>
  <c r="M123" i="17"/>
  <c r="M124" i="17"/>
  <c r="M125" i="17"/>
  <c r="M126" i="17"/>
  <c r="M127" i="17"/>
  <c r="M128" i="17"/>
  <c r="M118" i="17"/>
  <c r="O3184" i="3"/>
  <c r="O3185" i="3" s="1"/>
  <c r="H1429" i="3"/>
  <c r="H1428" i="3"/>
  <c r="Q61" i="3"/>
  <c r="P61" i="3"/>
  <c r="M62" i="3"/>
  <c r="L62" i="3"/>
  <c r="N61" i="3"/>
  <c r="N62" i="3" s="1"/>
  <c r="K61" i="3"/>
  <c r="K62" i="3" s="1"/>
  <c r="J61" i="3"/>
  <c r="J62" i="3" s="1"/>
  <c r="I61" i="3"/>
  <c r="I62" i="3" s="1"/>
  <c r="H61" i="3"/>
  <c r="H62" i="3" s="1"/>
  <c r="L1195" i="3"/>
  <c r="P1195" i="3"/>
  <c r="T789" i="3"/>
  <c r="T790" i="3" s="1"/>
  <c r="P485" i="3"/>
  <c r="G395" i="3"/>
  <c r="G396" i="3" s="1"/>
  <c r="T377" i="3"/>
  <c r="T378" i="3" s="1"/>
  <c r="AA324" i="3"/>
  <c r="AA325" i="3" s="1"/>
  <c r="Z324" i="3"/>
  <c r="Z325" i="3" s="1"/>
  <c r="Y324" i="3"/>
  <c r="Y325" i="3" s="1"/>
  <c r="X324" i="3"/>
  <c r="X325" i="3" s="1"/>
  <c r="W324" i="3"/>
  <c r="W325" i="3" s="1"/>
  <c r="V324" i="3"/>
  <c r="V325" i="3" s="1"/>
  <c r="U324" i="3"/>
  <c r="U325" i="3" s="1"/>
  <c r="AD324" i="3"/>
  <c r="H269" i="3"/>
  <c r="H270" i="3" s="1"/>
  <c r="G142" i="3"/>
  <c r="G143" i="3" s="1"/>
  <c r="U91" i="3"/>
  <c r="U92" i="3" s="1"/>
  <c r="N3290" i="3"/>
  <c r="N3291" i="3" s="1"/>
  <c r="K3290" i="3"/>
  <c r="K3291" i="3" s="1"/>
  <c r="P3290" i="3"/>
  <c r="P3291" i="3" s="1"/>
  <c r="L3290" i="3"/>
  <c r="L3291" i="3" s="1"/>
  <c r="J3290" i="3"/>
  <c r="J3291" i="3" s="1"/>
  <c r="S3239" i="3"/>
  <c r="J3239" i="3"/>
  <c r="J3240" i="3" s="1"/>
  <c r="P3239" i="3"/>
  <c r="P3240" i="3" s="1"/>
  <c r="N3239" i="3"/>
  <c r="N3240" i="3" s="1"/>
  <c r="K3239" i="3"/>
  <c r="K3240" i="3" s="1"/>
  <c r="S3184" i="3"/>
  <c r="N3184" i="3"/>
  <c r="N3185" i="3" s="1"/>
  <c r="M3184" i="3"/>
  <c r="M3185" i="3" s="1"/>
  <c r="L3184" i="3"/>
  <c r="L3185" i="3" s="1"/>
  <c r="K3184" i="3"/>
  <c r="K3185" i="3" s="1"/>
  <c r="J3184" i="3"/>
  <c r="J3185" i="3" s="1"/>
  <c r="P3184" i="3"/>
  <c r="P3185" i="3" s="1"/>
  <c r="P3076" i="3"/>
  <c r="P3077" i="3" s="1"/>
  <c r="S3024" i="3"/>
  <c r="L3024" i="3"/>
  <c r="L3025" i="3" s="1"/>
  <c r="K3024" i="3"/>
  <c r="K3025" i="3" s="1"/>
  <c r="J3024" i="3"/>
  <c r="J3025" i="3" s="1"/>
  <c r="P3024" i="3"/>
  <c r="P3025" i="3" s="1"/>
  <c r="O3024" i="3"/>
  <c r="O3025" i="3" s="1"/>
  <c r="N3024" i="3"/>
  <c r="N3025" i="3" s="1"/>
  <c r="N2968" i="3"/>
  <c r="N2969" i="3" s="1"/>
  <c r="M2824" i="3"/>
  <c r="M2825" i="3" s="1"/>
  <c r="L2968" i="3"/>
  <c r="L2969" i="3" s="1"/>
  <c r="K2968" i="3"/>
  <c r="K2969" i="3" s="1"/>
  <c r="J2968" i="3"/>
  <c r="J2969" i="3" s="1"/>
  <c r="O2903" i="3"/>
  <c r="O2904" i="3" s="1"/>
  <c r="N2903" i="3"/>
  <c r="N2904" i="3" s="1"/>
  <c r="M2903" i="3"/>
  <c r="M2904" i="3" s="1"/>
  <c r="L2903" i="3"/>
  <c r="L2904" i="3" s="1"/>
  <c r="K2903" i="3"/>
  <c r="K2904" i="3" s="1"/>
  <c r="P2968" i="3"/>
  <c r="P2969" i="3" s="1"/>
  <c r="P2903" i="3"/>
  <c r="P2904" i="3" s="1"/>
  <c r="O2824" i="3"/>
  <c r="O2825" i="3" s="1"/>
  <c r="L2824" i="3"/>
  <c r="L2825" i="3" s="1"/>
  <c r="K2824" i="3"/>
  <c r="K2825" i="3" s="1"/>
  <c r="J2824" i="3"/>
  <c r="J2825" i="3" s="1"/>
  <c r="S2824" i="3"/>
  <c r="P2824" i="3"/>
  <c r="P2825" i="3" s="1"/>
  <c r="O2757" i="3"/>
  <c r="O2758" i="3" s="1"/>
  <c r="N2757" i="3"/>
  <c r="N2758" i="3" s="1"/>
  <c r="M2757" i="3"/>
  <c r="M2758" i="3" s="1"/>
  <c r="L2757" i="3"/>
  <c r="L2758" i="3" s="1"/>
  <c r="K2757" i="3"/>
  <c r="K2758" i="3" s="1"/>
  <c r="J2757" i="3"/>
  <c r="J2758" i="3" s="1"/>
  <c r="S2757" i="3"/>
  <c r="P2757" i="3"/>
  <c r="P2758" i="3" s="1"/>
  <c r="Q193" i="3"/>
  <c r="P193" i="3"/>
  <c r="Q210" i="3"/>
  <c r="P210" i="3"/>
  <c r="S2618" i="3"/>
  <c r="P2618" i="3"/>
  <c r="P2619" i="3" s="1"/>
  <c r="O2618" i="3"/>
  <c r="O2619" i="3" s="1"/>
  <c r="N2618" i="3"/>
  <c r="N2619" i="3" s="1"/>
  <c r="M2618" i="3"/>
  <c r="M2619" i="3" s="1"/>
  <c r="L2618" i="3"/>
  <c r="L2619" i="3" s="1"/>
  <c r="K2618" i="3"/>
  <c r="K2619" i="3" s="1"/>
  <c r="J2618" i="3"/>
  <c r="J2619" i="3" s="1"/>
  <c r="S2512" i="3"/>
  <c r="P2512" i="3"/>
  <c r="P2513" i="3" s="1"/>
  <c r="O2512" i="3"/>
  <c r="O2513" i="3" s="1"/>
  <c r="N2512" i="3"/>
  <c r="N2513" i="3" s="1"/>
  <c r="M2512" i="3"/>
  <c r="M2513" i="3" s="1"/>
  <c r="L2512" i="3"/>
  <c r="L2513" i="3" s="1"/>
  <c r="K2512" i="3"/>
  <c r="K2513" i="3" s="1"/>
  <c r="J2513" i="3"/>
  <c r="I2513" i="3"/>
  <c r="O2408" i="3"/>
  <c r="R1692" i="3"/>
  <c r="S1573" i="3"/>
  <c r="R1573" i="3"/>
  <c r="S1534" i="3"/>
  <c r="R1534" i="3"/>
  <c r="V1370" i="3"/>
  <c r="U1370" i="3"/>
  <c r="V1355" i="3"/>
  <c r="U1355" i="3"/>
  <c r="U1230" i="3"/>
  <c r="T1230" i="3"/>
  <c r="W1194" i="3"/>
  <c r="V1194" i="3"/>
  <c r="W959" i="3"/>
  <c r="V959" i="3"/>
  <c r="V770" i="3"/>
  <c r="U770" i="3"/>
  <c r="U572" i="3"/>
  <c r="T572" i="3"/>
  <c r="Q219" i="3"/>
  <c r="P219" i="3"/>
  <c r="U193" i="3"/>
  <c r="T193" i="3"/>
  <c r="AC155" i="8"/>
  <c r="AC156" i="8"/>
  <c r="AC157" i="8"/>
  <c r="AC158" i="8"/>
  <c r="AC159" i="8"/>
  <c r="AC160" i="8"/>
  <c r="AC161" i="8"/>
  <c r="AC162" i="8"/>
  <c r="AC163" i="8"/>
  <c r="AC164" i="8"/>
  <c r="AC154" i="8"/>
  <c r="J380" i="8"/>
  <c r="L380" i="8"/>
  <c r="N380" i="8"/>
  <c r="Q380" i="8"/>
  <c r="S380" i="8"/>
  <c r="U380" i="8"/>
  <c r="E380" i="8"/>
  <c r="G380" i="8"/>
  <c r="C380" i="8"/>
  <c r="G91" i="3"/>
  <c r="G92" i="3" s="1"/>
  <c r="AE1376" i="3"/>
  <c r="AD1376" i="3"/>
  <c r="AE1375" i="3"/>
  <c r="AD1375" i="3"/>
  <c r="E292" i="4"/>
  <c r="F292" i="4"/>
  <c r="G292" i="4"/>
  <c r="I292" i="4"/>
  <c r="J292" i="4"/>
  <c r="K292" i="4"/>
  <c r="L292" i="4"/>
  <c r="N292" i="4"/>
  <c r="O292" i="4"/>
  <c r="P292" i="4"/>
  <c r="D292" i="4"/>
  <c r="Q1356" i="3"/>
  <c r="P1356" i="3"/>
  <c r="N1356" i="3"/>
  <c r="M1356" i="3"/>
  <c r="M1357" i="3" s="1"/>
  <c r="L1356" i="3"/>
  <c r="L1357" i="3" s="1"/>
  <c r="K1356" i="3"/>
  <c r="K1357" i="3" s="1"/>
  <c r="J1356" i="3"/>
  <c r="J1357" i="3" s="1"/>
  <c r="I1356" i="3"/>
  <c r="I1357" i="3" s="1"/>
  <c r="H1356" i="3"/>
  <c r="H1357" i="3" s="1"/>
  <c r="G1356" i="3"/>
  <c r="G1357" i="3" s="1"/>
  <c r="Q1294" i="3"/>
  <c r="P1294" i="3"/>
  <c r="N1294" i="3"/>
  <c r="N1295" i="3" s="1"/>
  <c r="M1294" i="3"/>
  <c r="M1295" i="3" s="1"/>
  <c r="L1294" i="3"/>
  <c r="L1295" i="3" s="1"/>
  <c r="K1294" i="3"/>
  <c r="K1295" i="3" s="1"/>
  <c r="J1294" i="3"/>
  <c r="I1294" i="3"/>
  <c r="I1295" i="3" s="1"/>
  <c r="H1294" i="3"/>
  <c r="H1295" i="3" s="1"/>
  <c r="G1294" i="3"/>
  <c r="G1295" i="3" s="1"/>
  <c r="AL8" i="4"/>
  <c r="AD11" i="4"/>
  <c r="AE11" i="4"/>
  <c r="AF11" i="4"/>
  <c r="AG11" i="4"/>
  <c r="AH11" i="4"/>
  <c r="AI11" i="4"/>
  <c r="AJ11" i="4"/>
  <c r="AK11" i="4"/>
  <c r="AC11" i="4"/>
  <c r="AD1220" i="3"/>
  <c r="AC1220" i="3"/>
  <c r="U1221" i="3"/>
  <c r="V1221" i="3"/>
  <c r="W1221" i="3"/>
  <c r="T1221" i="3"/>
  <c r="AA1220" i="3"/>
  <c r="AA1221" i="3" s="1"/>
  <c r="Z1220" i="3"/>
  <c r="Z1221" i="3" s="1"/>
  <c r="Y1220" i="3"/>
  <c r="Y1221" i="3" s="1"/>
  <c r="X1220" i="3"/>
  <c r="X1221" i="3" s="1"/>
  <c r="S1195" i="3"/>
  <c r="T1195" i="3" s="1"/>
  <c r="Q1195" i="3"/>
  <c r="N1195" i="3"/>
  <c r="N1196" i="3" s="1"/>
  <c r="M1195" i="3"/>
  <c r="M1196" i="3" s="1"/>
  <c r="K1195" i="3"/>
  <c r="K1196" i="3" s="1"/>
  <c r="J1195" i="3"/>
  <c r="J1196" i="3" s="1"/>
  <c r="J1115" i="3"/>
  <c r="J1116" i="3" s="1"/>
  <c r="I1195" i="3"/>
  <c r="H1195" i="3"/>
  <c r="H1196" i="3" s="1"/>
  <c r="G1195" i="3"/>
  <c r="G1196" i="3" s="1"/>
  <c r="T1115" i="3"/>
  <c r="U1115" i="3" s="1"/>
  <c r="P1115" i="3"/>
  <c r="M1115" i="3"/>
  <c r="M1116" i="3" s="1"/>
  <c r="L1115" i="3"/>
  <c r="L1116" i="3" s="1"/>
  <c r="Q1115" i="3"/>
  <c r="N1115" i="3"/>
  <c r="N1116" i="3" s="1"/>
  <c r="K1115" i="3"/>
  <c r="K1116" i="3" s="1"/>
  <c r="I1115" i="3"/>
  <c r="I1116" i="3" s="1"/>
  <c r="H1115" i="3"/>
  <c r="H1116" i="3" s="1"/>
  <c r="G1115" i="3"/>
  <c r="G1116" i="3" s="1"/>
  <c r="AL3" i="4"/>
  <c r="AL4" i="4"/>
  <c r="AL5" i="4"/>
  <c r="AL6" i="4"/>
  <c r="AL7" i="4"/>
  <c r="AL2" i="4"/>
  <c r="P1012" i="3"/>
  <c r="AD1012" i="3"/>
  <c r="AC1012" i="3"/>
  <c r="U1013" i="3"/>
  <c r="V1013" i="3"/>
  <c r="W1013" i="3"/>
  <c r="X1013" i="3"/>
  <c r="Y1013" i="3"/>
  <c r="Z1013" i="3"/>
  <c r="T1013" i="3"/>
  <c r="AA1012" i="3"/>
  <c r="AA1013" i="3" s="1"/>
  <c r="Q1012" i="3"/>
  <c r="N1012" i="3"/>
  <c r="N1013" i="3" s="1"/>
  <c r="M1012" i="3"/>
  <c r="M1013" i="3" s="1"/>
  <c r="L1012" i="3"/>
  <c r="L1013" i="3" s="1"/>
  <c r="K1012" i="3"/>
  <c r="K1013" i="3" s="1"/>
  <c r="J1012" i="3"/>
  <c r="J1013" i="3" s="1"/>
  <c r="I1012" i="3"/>
  <c r="I1013" i="3" s="1"/>
  <c r="H1012" i="3"/>
  <c r="H1013" i="3" s="1"/>
  <c r="G1012" i="3"/>
  <c r="G1013" i="3" s="1"/>
  <c r="T960" i="3"/>
  <c r="Q960" i="3"/>
  <c r="P960" i="3"/>
  <c r="M961" i="3"/>
  <c r="L961" i="3"/>
  <c r="N960" i="3"/>
  <c r="N961" i="3" s="1"/>
  <c r="K960" i="3"/>
  <c r="K961" i="3" s="1"/>
  <c r="J960" i="3"/>
  <c r="J961" i="3" s="1"/>
  <c r="I960" i="3"/>
  <c r="I961" i="3" s="1"/>
  <c r="H960" i="3"/>
  <c r="H961" i="3" s="1"/>
  <c r="G960" i="3"/>
  <c r="G961" i="3" s="1"/>
  <c r="Q883" i="3"/>
  <c r="P883" i="3"/>
  <c r="M884" i="3"/>
  <c r="L884" i="3"/>
  <c r="G883" i="3"/>
  <c r="G884" i="3" s="1"/>
  <c r="N883" i="3"/>
  <c r="N884" i="3" s="1"/>
  <c r="K883" i="3"/>
  <c r="K884" i="3" s="1"/>
  <c r="J883" i="3"/>
  <c r="J884" i="3" s="1"/>
  <c r="I883" i="3"/>
  <c r="I884" i="3" s="1"/>
  <c r="H883" i="3"/>
  <c r="H884" i="3" s="1"/>
  <c r="Y790" i="3"/>
  <c r="Z790" i="3"/>
  <c r="AD789" i="3"/>
  <c r="AC789" i="3"/>
  <c r="AB789" i="3"/>
  <c r="AA789" i="3"/>
  <c r="AA790" i="3" s="1"/>
  <c r="X789" i="3"/>
  <c r="X790" i="3" s="1"/>
  <c r="W789" i="3"/>
  <c r="W790" i="3" s="1"/>
  <c r="V789" i="3"/>
  <c r="V790" i="3" s="1"/>
  <c r="U789" i="3"/>
  <c r="U790" i="3" s="1"/>
  <c r="AD581" i="3"/>
  <c r="AC581" i="3"/>
  <c r="AB581" i="3"/>
  <c r="AA581" i="3"/>
  <c r="AA582" i="3" s="1"/>
  <c r="Z582" i="3"/>
  <c r="Y582" i="3"/>
  <c r="X581" i="3"/>
  <c r="X582" i="3" s="1"/>
  <c r="V581" i="3"/>
  <c r="V582" i="3" s="1"/>
  <c r="W581" i="3"/>
  <c r="W582" i="3" s="1"/>
  <c r="U581" i="3"/>
  <c r="U582" i="3" s="1"/>
  <c r="T581" i="3"/>
  <c r="T582" i="3" s="1"/>
  <c r="AC377" i="3"/>
  <c r="AD377" i="3"/>
  <c r="AB377" i="3"/>
  <c r="AA377" i="3"/>
  <c r="AA378" i="3" s="1"/>
  <c r="Z378" i="3"/>
  <c r="Y378" i="3"/>
  <c r="X377" i="3"/>
  <c r="X378" i="3" s="1"/>
  <c r="W377" i="3"/>
  <c r="W378" i="3" s="1"/>
  <c r="V377" i="3"/>
  <c r="V378" i="3" s="1"/>
  <c r="U377" i="3"/>
  <c r="U378" i="3" s="1"/>
  <c r="AD210" i="3"/>
  <c r="AC210" i="3"/>
  <c r="AB210" i="3"/>
  <c r="AA210" i="3"/>
  <c r="AA211" i="3" s="1"/>
  <c r="Z211" i="3"/>
  <c r="Y211" i="3"/>
  <c r="X210" i="3"/>
  <c r="X211" i="3" s="1"/>
  <c r="W210" i="3"/>
  <c r="W211" i="3" s="1"/>
  <c r="V210" i="3"/>
  <c r="V211" i="3" s="1"/>
  <c r="U210" i="3"/>
  <c r="U211" i="3" s="1"/>
  <c r="T211" i="3"/>
  <c r="AE91" i="3"/>
  <c r="AD91" i="3"/>
  <c r="AB91" i="3"/>
  <c r="AB92" i="3" s="1"/>
  <c r="AA92" i="3"/>
  <c r="Z92" i="3"/>
  <c r="Y91" i="3"/>
  <c r="Y92" i="3" s="1"/>
  <c r="X91" i="3"/>
  <c r="X92" i="3" s="1"/>
  <c r="W91" i="3"/>
  <c r="W92" i="3" s="1"/>
  <c r="V91" i="3"/>
  <c r="V92" i="3" s="1"/>
  <c r="Q770" i="3"/>
  <c r="P770" i="3"/>
  <c r="N770" i="3"/>
  <c r="M771" i="3"/>
  <c r="L771" i="3"/>
  <c r="K770" i="3"/>
  <c r="K771" i="3" s="1"/>
  <c r="J770" i="3"/>
  <c r="I770" i="3"/>
  <c r="I771" i="3" s="1"/>
  <c r="H770" i="3"/>
  <c r="H771" i="3" s="1"/>
  <c r="G770" i="3"/>
  <c r="Q681" i="3"/>
  <c r="P681" i="3"/>
  <c r="N681" i="3"/>
  <c r="N682" i="3" s="1"/>
  <c r="M682" i="3"/>
  <c r="L682" i="3"/>
  <c r="K681" i="3"/>
  <c r="K682" i="3" s="1"/>
  <c r="J681" i="3"/>
  <c r="J682" i="3" s="1"/>
  <c r="I681" i="3"/>
  <c r="I682" i="3" s="1"/>
  <c r="H681" i="3"/>
  <c r="H682" i="3" s="1"/>
  <c r="G681" i="3"/>
  <c r="G682" i="3" s="1"/>
  <c r="Q572" i="3"/>
  <c r="P572" i="3"/>
  <c r="N572" i="3"/>
  <c r="N573" i="3" s="1"/>
  <c r="M573" i="3"/>
  <c r="L573" i="3"/>
  <c r="K572" i="3"/>
  <c r="K573" i="3" s="1"/>
  <c r="J572" i="3"/>
  <c r="J573" i="3" s="1"/>
  <c r="I572" i="3"/>
  <c r="I573" i="3" s="1"/>
  <c r="H572" i="3"/>
  <c r="H573" i="3" s="1"/>
  <c r="G572" i="3"/>
  <c r="G573" i="3" s="1"/>
  <c r="Q485" i="3"/>
  <c r="N485" i="3"/>
  <c r="N486" i="3" s="1"/>
  <c r="M486" i="3"/>
  <c r="L486" i="3"/>
  <c r="K485" i="3"/>
  <c r="K486" i="3" s="1"/>
  <c r="J485" i="3"/>
  <c r="J486" i="3" s="1"/>
  <c r="I485" i="3"/>
  <c r="I486" i="3" s="1"/>
  <c r="H485" i="3"/>
  <c r="H486" i="3" s="1"/>
  <c r="G485" i="3"/>
  <c r="G486" i="3" s="1"/>
  <c r="Q395" i="3"/>
  <c r="P395" i="3"/>
  <c r="N395" i="3"/>
  <c r="N396" i="3" s="1"/>
  <c r="M396" i="3"/>
  <c r="L396" i="3"/>
  <c r="K395" i="3"/>
  <c r="K396" i="3" s="1"/>
  <c r="J395" i="3"/>
  <c r="J396" i="3" s="1"/>
  <c r="I395" i="3"/>
  <c r="I396" i="3" s="1"/>
  <c r="H395" i="3"/>
  <c r="H396" i="3" s="1"/>
  <c r="G377" i="3"/>
  <c r="G378" i="3" s="1"/>
  <c r="G771" i="3"/>
  <c r="Q377" i="3"/>
  <c r="N377" i="3"/>
  <c r="N378" i="3" s="1"/>
  <c r="M378" i="3"/>
  <c r="L378" i="3"/>
  <c r="K377" i="3"/>
  <c r="K378" i="3" s="1"/>
  <c r="J377" i="3"/>
  <c r="J378" i="3" s="1"/>
  <c r="I377" i="3"/>
  <c r="I378" i="3" s="1"/>
  <c r="H377" i="3"/>
  <c r="H378" i="3" s="1"/>
  <c r="N319" i="3"/>
  <c r="N320" i="3" s="1"/>
  <c r="M319" i="3"/>
  <c r="M320" i="3" s="1"/>
  <c r="L319" i="3"/>
  <c r="L320" i="3" s="1"/>
  <c r="K319" i="3"/>
  <c r="K320" i="3" s="1"/>
  <c r="J319" i="3"/>
  <c r="J320" i="3" s="1"/>
  <c r="I319" i="3"/>
  <c r="I320" i="3" s="1"/>
  <c r="H319" i="3"/>
  <c r="H320" i="3" s="1"/>
  <c r="G319" i="3"/>
  <c r="G320" i="3" s="1"/>
  <c r="Q319" i="3"/>
  <c r="P319" i="3"/>
  <c r="Q269" i="3"/>
  <c r="N269" i="3"/>
  <c r="N270" i="3" s="1"/>
  <c r="M270" i="3"/>
  <c r="L270" i="3"/>
  <c r="K269" i="3"/>
  <c r="K270" i="3" s="1"/>
  <c r="J269" i="3"/>
  <c r="J270" i="3" s="1"/>
  <c r="I269" i="3"/>
  <c r="I270" i="3" s="1"/>
  <c r="G269" i="3"/>
  <c r="G270" i="3" s="1"/>
  <c r="Y82" i="4"/>
  <c r="Y81" i="4"/>
  <c r="Y80" i="4"/>
  <c r="Y79" i="4"/>
  <c r="Y78" i="4"/>
  <c r="Y77" i="4"/>
  <c r="Y76" i="4"/>
  <c r="Y75" i="4"/>
  <c r="Y74" i="4"/>
  <c r="Y46" i="4"/>
  <c r="Y45" i="4"/>
  <c r="Y44" i="4"/>
  <c r="Y43" i="4"/>
  <c r="Y42" i="4"/>
  <c r="Y41" i="4"/>
  <c r="Y40" i="4"/>
  <c r="Y39" i="4"/>
  <c r="Y38" i="4"/>
  <c r="N210" i="3"/>
  <c r="N211" i="3" s="1"/>
  <c r="M210" i="3"/>
  <c r="M211" i="3" s="1"/>
  <c r="L210" i="3"/>
  <c r="L211" i="3" s="1"/>
  <c r="K210" i="3"/>
  <c r="K211" i="3" s="1"/>
  <c r="J210" i="3"/>
  <c r="J211" i="3" s="1"/>
  <c r="I210" i="3"/>
  <c r="I211" i="3" s="1"/>
  <c r="H210" i="3"/>
  <c r="H211" i="3" s="1"/>
  <c r="G210" i="3"/>
  <c r="G211" i="3" s="1"/>
  <c r="G193" i="3"/>
  <c r="G194" i="3" s="1"/>
  <c r="N193" i="3"/>
  <c r="N194" i="3" s="1"/>
  <c r="M194" i="3"/>
  <c r="L194" i="3"/>
  <c r="K193" i="3"/>
  <c r="K194" i="3" s="1"/>
  <c r="J193" i="3"/>
  <c r="J194" i="3" s="1"/>
  <c r="I193" i="3"/>
  <c r="I194" i="3" s="1"/>
  <c r="H193" i="3"/>
  <c r="H194" i="3" s="1"/>
  <c r="Q142" i="3"/>
  <c r="P142" i="3"/>
  <c r="N142" i="3"/>
  <c r="N143" i="3" s="1"/>
  <c r="M143" i="3"/>
  <c r="L143" i="3"/>
  <c r="K142" i="3"/>
  <c r="K143" i="3" s="1"/>
  <c r="J142" i="3"/>
  <c r="J143" i="3" s="1"/>
  <c r="I142" i="3"/>
  <c r="I143" i="3" s="1"/>
  <c r="H142" i="3"/>
  <c r="H143" i="3" s="1"/>
  <c r="I91" i="3"/>
  <c r="I92" i="3" s="1"/>
  <c r="Q91" i="3"/>
  <c r="N91" i="3"/>
  <c r="N92" i="3" s="1"/>
  <c r="M92" i="3"/>
  <c r="L92" i="3"/>
  <c r="K91" i="3"/>
  <c r="K92" i="3" s="1"/>
  <c r="J91" i="3"/>
  <c r="J92" i="3" s="1"/>
  <c r="H91" i="3"/>
  <c r="H92" i="3" s="1"/>
  <c r="Y10" i="4"/>
  <c r="Y3" i="4"/>
  <c r="Y4" i="4"/>
  <c r="Y5" i="4"/>
  <c r="Y6" i="4"/>
  <c r="Y7" i="4"/>
  <c r="Y8" i="4"/>
  <c r="Y9" i="4"/>
  <c r="Y2" i="4"/>
  <c r="BB33" i="4" l="1"/>
  <c r="BB5" i="4"/>
  <c r="AL11" i="4"/>
  <c r="BB2" i="4"/>
  <c r="BB9" i="4"/>
  <c r="BB27" i="4"/>
  <c r="BB4" i="4"/>
  <c r="BB32" i="4"/>
  <c r="BB29" i="4"/>
  <c r="BB6" i="4"/>
  <c r="BB30" i="4"/>
  <c r="BB8" i="4"/>
  <c r="BB31" i="4"/>
  <c r="BB28" i="4"/>
  <c r="BB7" i="4"/>
  <c r="BB3" i="4"/>
  <c r="H955" i="3"/>
  <c r="U192" i="3"/>
  <c r="M148" i="17"/>
  <c r="M180" i="17"/>
  <c r="R2461" i="3"/>
  <c r="N1352" i="3"/>
  <c r="S2461" i="3"/>
  <c r="L1190" i="3"/>
  <c r="L1191" i="3" s="1"/>
  <c r="J955" i="3"/>
  <c r="J1352" i="3"/>
  <c r="T192" i="3"/>
  <c r="J764" i="3"/>
  <c r="N764" i="3"/>
  <c r="M1190" i="3"/>
  <c r="M1191" i="3" s="1"/>
  <c r="N1357" i="3"/>
  <c r="H1352" i="3"/>
  <c r="N955" i="3"/>
  <c r="L1196" i="3"/>
  <c r="K1190" i="3"/>
  <c r="K1191" i="3" s="1"/>
  <c r="J771" i="3"/>
  <c r="N771" i="3"/>
  <c r="L1352" i="3"/>
  <c r="I1352" i="3"/>
  <c r="I1190" i="3"/>
  <c r="I1191" i="3" s="1"/>
  <c r="K764" i="3"/>
  <c r="J1295" i="3"/>
  <c r="I955" i="3"/>
  <c r="M1352" i="3"/>
  <c r="H764" i="3"/>
  <c r="I1196" i="3"/>
  <c r="K1352" i="3"/>
  <c r="G764" i="3"/>
  <c r="I764" i="3"/>
  <c r="H1190" i="3"/>
  <c r="H1191" i="3" s="1"/>
  <c r="J1190" i="3"/>
  <c r="J1191" i="3" s="1"/>
  <c r="G1352" i="3"/>
  <c r="K955" i="3"/>
  <c r="G955" i="3"/>
  <c r="G1190" i="3"/>
  <c r="G1191" i="3" s="1"/>
  <c r="O62" i="3"/>
  <c r="N1190" i="3"/>
  <c r="N1191" i="3" s="1"/>
  <c r="O56" i="3"/>
  <c r="N180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vul hierin de in het veld opgegeven waarden, op het einde van de monitoring tellen we hier dan nog 4 cm bij!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diepte ter hoogte van de meting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diepte kanaal ter hoogte van staalnameplaats</t>
        </r>
      </text>
    </comment>
    <comment ref="B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tijdens gravitaire lozing</t>
        </r>
      </text>
    </comment>
    <comment ref="A3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koppel dodaars voor spuischuiven</t>
        </r>
      </text>
    </comment>
    <comment ref="B3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extra meting stroomopwaarts pompgemaal</t>
        </r>
      </text>
    </comment>
    <comment ref="A5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koppel dodaars voor spuischuiven</t>
        </r>
      </text>
    </comment>
    <comment ref="B47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er werd net begonnen met lozen op moment van staalname</t>
        </r>
      </text>
    </comment>
    <comment ref="B47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op 0,7 m diepte ong.)</t>
        </r>
      </text>
    </comment>
    <comment ref="B55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onstabiele metingen</t>
        </r>
      </text>
    </comment>
    <comment ref="B55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onstabiele metingen</t>
        </r>
      </text>
    </comment>
    <comment ref="A577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net gespuid met 4 schuiven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A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vul hierin de in het veld opgegeven waarden, op het einde van de monitoring tellen we hier dan nog 4 cm bij!</t>
        </r>
      </text>
    </comment>
    <comment ref="A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diepte ter hoogte van de meting</t>
        </r>
      </text>
    </comment>
    <comment ref="AI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diepte kanaal ter hoogte van staalnameplaats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C10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168,3 g + rest
</t>
        </r>
      </text>
    </comment>
    <comment ref="C10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niet afzonderlijk geteld</t>
        </r>
      </text>
    </comment>
    <comment ref="C10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688,3 g + rest</t>
        </r>
      </text>
    </comment>
    <comment ref="C10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niet afzonderlijk geteld</t>
        </r>
      </text>
    </comment>
    <comment ref="E12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niet geteld</t>
        </r>
      </text>
    </comment>
    <comment ref="E127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niet geteld</t>
        </r>
      </text>
    </comment>
    <comment ref="C135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1801,3 g + rest
</t>
        </r>
      </text>
    </comment>
    <comment ref="C140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1685,6 g + rest</t>
        </r>
      </text>
    </comment>
    <comment ref="B162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broodresten op substraten en etende meerkoet</t>
        </r>
      </text>
    </comment>
    <comment ref="C168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578,1 g + rest</t>
        </r>
      </text>
    </comment>
    <comment ref="J168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dood in goot</t>
        </r>
      </text>
    </comment>
    <comment ref="B172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FUIKEN OP 1 LIJN GEPLAATST OP 04/04</t>
        </r>
      </text>
    </comment>
    <comment ref="C173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paar met witte inhoud in/of net achter zwemblaas
233,8 g + rest</t>
        </r>
      </text>
    </comment>
    <comment ref="C207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467,1 g + rest</t>
        </r>
      </text>
    </comment>
    <comment ref="B21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FUIKEN OP 1 LIJN GEPLAATST OP 04/04</t>
        </r>
      </text>
    </comment>
    <comment ref="C21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100,3 g + rest
</t>
        </r>
      </text>
    </comment>
    <comment ref="C240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206,8 g + rest</t>
        </r>
      </text>
    </comment>
    <comment ref="B24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FUIKEN OP 1 LIJN GEPLAATST OP 04/04</t>
        </r>
      </text>
    </comment>
    <comment ref="C24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73,5 g + rest</t>
        </r>
      </text>
    </comment>
    <comment ref="B359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meest stroomopwaarts</t>
        </r>
      </text>
    </comment>
    <comment ref="B362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pomp uitgevallen</t>
        </r>
      </text>
    </comment>
    <comment ref="B38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pomp was kapot, dus geen vangsten meer</t>
        </r>
      </text>
    </comment>
    <comment ref="J38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45 cm</t>
        </r>
      </text>
    </comment>
    <comment ref="J404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dood op substraat 75 cm</t>
        </r>
      </text>
    </comment>
    <comment ref="A466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 levende paling van 33 cm op betonplaat aan linkeroever</t>
        </r>
      </text>
    </comment>
    <comment ref="A495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na een 2-tal uur na leging waren er reeds 2 glasaaltjes de palinggoot opgeklommen... </t>
        </r>
      </text>
    </comment>
    <comment ref="A497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palinggoten hebben 's nachts 20 cm onder water gestaan</t>
        </r>
      </text>
    </comment>
    <comment ref="A526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7-tal karpers in buurt van palinggoten</t>
        </r>
      </text>
    </comment>
    <comment ref="C551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substraten waren een weekje verwijderd wegens onderhoudswerken (ontslibben) aan Ijzer</t>
        </r>
      </text>
    </comment>
    <comment ref="C555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paar dode exemplaren (wit)</t>
        </r>
      </text>
    </comment>
    <comment ref="C556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paar dode exemplarten (wit)</t>
        </r>
      </text>
    </comment>
    <comment ref="C557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599,4 g
enkele witte</t>
        </r>
      </text>
    </comment>
    <comment ref="C56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421,6 g + rest
paar witte</t>
        </r>
      </text>
    </comment>
    <comment ref="A584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palinggoten op 13/04 50 cm onder water gestaan</t>
        </r>
      </text>
    </comment>
    <comment ref="C584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400,2 g + rest</t>
        </r>
      </text>
    </comment>
    <comment ref="C588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898,1 g + rest</t>
        </r>
      </text>
    </comment>
    <comment ref="B611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grote school juveniele harders rond palinggoten</t>
        </r>
      </text>
    </comment>
    <comment ref="C611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170,1 g + rest
</t>
        </r>
      </text>
    </comment>
    <comment ref="C615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300,6 g + rest</t>
        </r>
      </text>
    </comment>
    <comment ref="C638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395,9 g + 60</t>
        </r>
      </text>
    </comment>
    <comment ref="C642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169 g + 55</t>
        </r>
      </text>
    </comment>
    <comment ref="C668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93,5 g + 84</t>
        </r>
      </text>
    </comment>
    <comment ref="P716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 grote en 1 kleintje</t>
        </r>
      </text>
    </comment>
    <comment ref="C84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witgekleurd, abuiselijk weggekieperd</t>
        </r>
      </text>
    </comment>
    <comment ref="B849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palinggoten vermoedelijk redelijk snel uitgevallen, nog zeer koud op dinsdag de week voordien</t>
        </r>
      </text>
    </comment>
    <comment ref="B85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palinggoten vermoedelijk reeds vroeg uitgevallen</t>
        </r>
      </text>
    </comment>
    <comment ref="B875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pompen stonden opnieuw uit om 21.00 s'avonds, direct geactiveerd...</t>
        </r>
      </text>
    </comment>
    <comment ref="B876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slechts vangst van 1 nachttij</t>
        </r>
      </text>
    </comment>
    <comment ref="B877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idem</t>
        </r>
      </text>
    </comment>
    <comment ref="C938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41 g</t>
        </r>
      </text>
    </comment>
    <comment ref="C939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392 g + 88</t>
        </r>
      </text>
    </comment>
    <comment ref="C942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184 g - 72 gekleurde</t>
        </r>
      </text>
    </comment>
    <comment ref="C943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165 g - 52 gekleurde</t>
        </r>
      </text>
    </comment>
    <comment ref="C944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357g - 12 gekleurde + 14</t>
        </r>
      </text>
    </comment>
    <comment ref="C948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288g - 42 gekleurde + 16</t>
        </r>
      </text>
    </comment>
    <comment ref="C971" authorId="0" shapeId="0" xr:uid="{00000000-0006-0000-0200-00003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425 g-11 gekleurde</t>
        </r>
      </text>
    </comment>
    <comment ref="C972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262 g - 9 gekleurde</t>
        </r>
      </text>
    </comment>
    <comment ref="C973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1657 g = 50</t>
        </r>
      </text>
    </comment>
    <comment ref="C97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1278 g</t>
        </r>
      </text>
    </comment>
    <comment ref="C1002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168,1 g - 10</t>
        </r>
      </text>
    </comment>
    <comment ref="C1003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751 g - 44</t>
        </r>
      </text>
    </comment>
    <comment ref="C1004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107 g - 21</t>
        </r>
      </text>
    </comment>
    <comment ref="C1005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370 g -30</t>
        </r>
      </text>
    </comment>
    <comment ref="C1006" authorId="0" shapeId="0" xr:uid="{00000000-0006-0000-0200-000040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60 g - 5</t>
        </r>
      </text>
    </comment>
    <comment ref="C1007" authorId="0" shapeId="0" xr:uid="{00000000-0006-0000-0200-00004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102 g - 7</t>
        </r>
      </text>
    </comment>
    <comment ref="C1008" authorId="0" shapeId="0" xr:uid="{00000000-0006-0000-0200-00004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136 g - 21</t>
        </r>
      </text>
    </comment>
    <comment ref="C1012" authorId="0" shapeId="0" xr:uid="{00000000-0006-0000-0200-00004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695 g - 32
</t>
        </r>
      </text>
    </comment>
    <comment ref="C1039" authorId="0" shapeId="0" xr:uid="{00000000-0006-0000-0200-00004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73g+59 stuks</t>
        </r>
      </text>
    </comment>
    <comment ref="C1061" authorId="0" shapeId="0" xr:uid="{00000000-0006-0000-0200-00004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586 g + 79</t>
        </r>
      </text>
    </comment>
    <comment ref="C1065" authorId="0" shapeId="0" xr:uid="{00000000-0006-0000-0200-00004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1392 g + 119 </t>
        </r>
      </text>
    </comment>
    <comment ref="C1088" authorId="0" shapeId="0" xr:uid="{00000000-0006-0000-0200-00004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124 g + 73</t>
        </r>
      </text>
    </comment>
    <comment ref="C1092" authorId="0" shapeId="0" xr:uid="{00000000-0006-0000-0200-00004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401 g + 50</t>
        </r>
      </text>
    </comment>
    <comment ref="C1095" authorId="0" shapeId="0" xr:uid="{00000000-0006-0000-0200-00004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drooggevallen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1: linkeroever
9: rechteroever</t>
        </r>
      </text>
    </comment>
    <comment ref="AB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koppeltje doddaars voor spuien</t>
        </r>
      </text>
    </comment>
    <comment ref="AY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koppeltje doddaars voor spuien</t>
        </r>
      </text>
    </comment>
    <comment ref="A11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koppeltje doddaars voor spuien</t>
        </r>
      </text>
    </comment>
    <comment ref="M30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groot ex.</t>
        </r>
      </text>
    </comment>
    <comment ref="U62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één van de larven was een grondel</t>
        </r>
      </text>
    </comment>
    <comment ref="D77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WAARVAN I GEKLEURD EXEMPLAAR</t>
        </r>
      </text>
    </comment>
    <comment ref="O780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LARVE</t>
        </r>
      </text>
    </comment>
    <comment ref="U832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mogelijk Kleine Koornaarsvis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E22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327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38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437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524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633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C721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lag dood bovenaan in palinggoot, in vergevorderde staat van ontbinding</t>
        </r>
      </text>
    </comment>
    <comment ref="E724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835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50% overschat</t>
        </r>
      </text>
    </comment>
    <comment ref="F885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verdikking op kieuwen,
verdikking opzij van zwemblaas</t>
        </r>
      </text>
    </comment>
    <comment ref="A1555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ALLE GLASALEN MET VOEDSEL IN DARM</t>
        </r>
      </text>
    </comment>
    <comment ref="F2465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achtergebleven in verdoving en pas 's avonds opgemeten</t>
        </r>
      </text>
    </comment>
    <comment ref="A5118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glasalen &gt;80 mm met een gewicht &gt;500 mg werden bij de potloden gerekend...</t>
        </r>
      </text>
    </comment>
    <comment ref="F6238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MEESTAL BEETJE MATERIAAL VLAK VOOR ANUS</t>
        </r>
      </text>
    </comment>
    <comment ref="A6877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VANGST VAN 03.00 UIT 24 UURS</t>
        </r>
      </text>
    </comment>
    <comment ref="A6945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VANGST VAN 04.00 UUR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A12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enkel van rechter goot</t>
        </r>
      </text>
    </comment>
    <comment ref="X120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enkel van rechter goot</t>
        </r>
      </text>
    </comment>
    <comment ref="K354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enkel van rechter goot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B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veel aanhechting van Trompetkalkkokerworm (Ficopomatus enigmaticus) en dus ook veel gruis hiervan op bodem kanaal</t>
        </r>
      </text>
    </comment>
    <comment ref="C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aantallen nog om te rekenen naar aantallen/m²</t>
        </r>
      </text>
    </comment>
    <comment ref="B6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enkel schelpen</t>
        </r>
      </text>
    </comment>
    <comment ref="G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oligochaeten werden hierna niet meer tot op soort gedetermineerd, maar het zullen vermoedelijk vnl.l de 3 taxa zijn die voordien werden gedetermineerd</t>
        </r>
      </text>
    </comment>
    <comment ref="B7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schelpen + klei</t>
        </r>
      </text>
    </comment>
    <comment ref="B8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vooral klei</t>
        </r>
      </text>
    </comment>
    <comment ref="A12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bemonsteringen aan oeverzone, wegens ontbreken boot</t>
        </r>
      </text>
    </comment>
    <comment ref="B12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veel schelpengruis</t>
        </r>
      </text>
    </comment>
    <comment ref="B13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veel schelpengruis</t>
        </r>
      </text>
    </comment>
    <comment ref="B14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schelpengruis + org. materiaal</t>
        </r>
      </text>
    </comment>
    <comment ref="B15" authorId="0" shapeId="0" xr:uid="{00000000-0006-0000-0700-00000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 schelpengruis</t>
        </r>
      </text>
    </comment>
    <comment ref="N15" authorId="0" shapeId="0" xr:uid="{00000000-0006-0000-0700-00000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mogelijk juveniele Hediste</t>
        </r>
      </text>
    </comment>
    <comment ref="B16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 slib</t>
        </r>
      </text>
    </comment>
    <comment ref="B17" authorId="0" shapeId="0" xr:uid="{00000000-0006-0000-0700-00000E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B18" authorId="0" shapeId="0" xr:uid="{00000000-0006-0000-0700-00000F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 schelpengruis</t>
        </r>
      </text>
    </comment>
    <comment ref="B19" authorId="0" shapeId="0" xr:uid="{00000000-0006-0000-0700-000010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B20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B21" authorId="0" shapeId="0" xr:uid="{00000000-0006-0000-0700-00001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 slib</t>
        </r>
      </text>
    </comment>
    <comment ref="B22" authorId="0" shapeId="0" xr:uid="{00000000-0006-0000-0700-00001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 slib</t>
        </r>
      </text>
    </comment>
    <comment ref="B23" authorId="0" shapeId="0" xr:uid="{00000000-0006-0000-0700-00001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B24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 slib</t>
        </r>
      </text>
    </comment>
    <comment ref="B25" authorId="0" shapeId="0" xr:uid="{00000000-0006-0000-0700-00001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B26" authorId="0" shapeId="0" xr:uid="{00000000-0006-0000-0700-00001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B27" authorId="0" shapeId="0" xr:uid="{00000000-0006-0000-0700-00001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 slib</t>
        </r>
      </text>
    </comment>
    <comment ref="B28" authorId="0" shapeId="0" xr:uid="{00000000-0006-0000-0700-000019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vnl. slib,  zeer weinig schelpengruis en org. materiaal</t>
        </r>
      </text>
    </comment>
    <comment ref="B29" authorId="0" shapeId="0" xr:uid="{00000000-0006-0000-0700-00001A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veel schelpengruis</t>
        </r>
      </text>
    </comment>
    <comment ref="B30" authorId="0" shapeId="0" xr:uid="{00000000-0006-0000-0700-00001B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B31" authorId="0" shapeId="0" xr:uid="{00000000-0006-0000-0700-00001C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beetje schelpengruis</t>
        </r>
      </text>
    </comment>
    <comment ref="B32" authorId="0" shapeId="0" xr:uid="{00000000-0006-0000-0700-00001D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veel schelpengruis</t>
        </r>
      </text>
    </comment>
    <comment ref="B33" authorId="0" shapeId="0" xr:uid="{00000000-0006-0000-0700-00001E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schelpengruis</t>
        </r>
      </text>
    </comment>
    <comment ref="N33" authorId="0" shapeId="0" xr:uid="{00000000-0006-0000-0700-00001F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mogelijk juveniele Hediste</t>
        </r>
      </text>
    </comment>
    <comment ref="B34" authorId="0" shapeId="0" xr:uid="{00000000-0006-0000-0700-000020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slib + veel schelpengruis</t>
        </r>
      </text>
    </comment>
    <comment ref="B35" authorId="0" shapeId="0" xr:uid="{00000000-0006-0000-0700-000021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veel slib + beetje schelpengruis</t>
        </r>
      </text>
    </comment>
    <comment ref="B36" authorId="0" shapeId="0" xr:uid="{00000000-0006-0000-0700-000022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beetje schelpengruis</t>
        </r>
      </text>
    </comment>
    <comment ref="B37" authorId="0" shapeId="0" xr:uid="{00000000-0006-0000-0700-000023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beetje schelpengruis</t>
        </r>
      </text>
    </comment>
    <comment ref="B38" authorId="0" shapeId="0" xr:uid="{00000000-0006-0000-0700-000024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veel schelpengruis en org. materiaal</t>
        </r>
      </text>
    </comment>
    <comment ref="B39" authorId="0" shapeId="0" xr:uid="{00000000-0006-0000-0700-000025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enkel beetje schelpengruis</t>
        </r>
      </text>
    </comment>
    <comment ref="N39" authorId="0" shapeId="0" xr:uid="{00000000-0006-0000-0700-000026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waarschijnlijk Hediste-larven</t>
        </r>
      </text>
    </comment>
    <comment ref="B40" authorId="0" shapeId="0" xr:uid="{00000000-0006-0000-0700-000027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veel slib, organisch materiaal, beetje schelpengruis</t>
        </r>
      </text>
    </comment>
    <comment ref="B41" authorId="0" shapeId="0" xr:uid="{00000000-0006-0000-0700-00002800000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veel schelpengruis</t>
        </r>
      </text>
    </comment>
  </commentList>
</comments>
</file>

<file path=xl/sharedStrings.xml><?xml version="1.0" encoding="utf-8"?>
<sst xmlns="http://schemas.openxmlformats.org/spreadsheetml/2006/main" count="27925" uniqueCount="965">
  <si>
    <t>Datum</t>
  </si>
  <si>
    <t>Locatie</t>
  </si>
  <si>
    <t>temperatuur (°C)</t>
  </si>
  <si>
    <t>zuurstof (%)</t>
  </si>
  <si>
    <t>zuurstof (mg/l)</t>
  </si>
  <si>
    <t>pH</t>
  </si>
  <si>
    <t>VA_OV_LO</t>
  </si>
  <si>
    <t>VA_OV_RO</t>
  </si>
  <si>
    <t>codes locaties</t>
  </si>
  <si>
    <t>VA_OV_LO: Veurne Ambachtkanaal overloop pompgemaal linkeroever</t>
  </si>
  <si>
    <t>VA_PG_LO: Veurne Ambachtkanaal pompgemaal linkeroever</t>
  </si>
  <si>
    <t>VA_PG_RO: Veurne Ambachtkanaal pompgemaal rechteroever</t>
  </si>
  <si>
    <t>VA_OV_RO: Veurne Ambachtkanaal overloop pompgemaal rechteroever</t>
  </si>
  <si>
    <t>VA_MI_LO: Veurne Ambachtkanaal midden linkeroever</t>
  </si>
  <si>
    <t>VA_MI_RO: Veurne Ambachtkanaal midden rechteroever</t>
  </si>
  <si>
    <t>VA_SC_LO: Veurne Ambachtkanaal spuicomplex Ganzepoot linkeroever</t>
  </si>
  <si>
    <t>VA_SC_RO: Veurne Ambachtkanaal spuicomplex Ganzepoot rechteroever</t>
  </si>
  <si>
    <t>IJZ</t>
  </si>
  <si>
    <t>IJZ: Ponton Ijzer</t>
  </si>
  <si>
    <t>GP: Ponton Ganzepoot</t>
  </si>
  <si>
    <t>VA_PG_NA</t>
  </si>
  <si>
    <t>VA_PG_NA: Veurne Ambachtkanaal pompgemaal nacht</t>
  </si>
  <si>
    <t>aantal glasalen</t>
  </si>
  <si>
    <t>andere taxa</t>
  </si>
  <si>
    <t xml:space="preserve">Datum </t>
  </si>
  <si>
    <t>Tijdstip</t>
  </si>
  <si>
    <t>Steurgarnaal</t>
  </si>
  <si>
    <t>Pos</t>
  </si>
  <si>
    <t>Locatie totaal</t>
  </si>
  <si>
    <t>VA_PG_LO_PA</t>
  </si>
  <si>
    <t>lengte (mm)</t>
  </si>
  <si>
    <t>pigmentatie</t>
  </si>
  <si>
    <t>VIA4</t>
  </si>
  <si>
    <t>VIA2</t>
  </si>
  <si>
    <t>VIA3</t>
  </si>
  <si>
    <t>gewicht (mg)</t>
  </si>
  <si>
    <t>VIA1</t>
  </si>
  <si>
    <t>VIB</t>
  </si>
  <si>
    <t>VA_PG_RO_PA</t>
  </si>
  <si>
    <t>VB</t>
  </si>
  <si>
    <t>VIA0</t>
  </si>
  <si>
    <t>VA_PG_KR_NA</t>
  </si>
  <si>
    <t>VA</t>
  </si>
  <si>
    <t>gem. lengte</t>
  </si>
  <si>
    <t>gem. gewicht</t>
  </si>
  <si>
    <t>secchi-diepte (cm)</t>
  </si>
  <si>
    <t>VA_PG_LO_opp</t>
  </si>
  <si>
    <t>VA_PG_LO_bod</t>
  </si>
  <si>
    <t>VA_PG_RO_opp</t>
  </si>
  <si>
    <t>VA_PG_RO_bod</t>
  </si>
  <si>
    <t>VA_MI_LO_opp</t>
  </si>
  <si>
    <t>VA_MI_LO_bod</t>
  </si>
  <si>
    <t>VA_MI_RO_opp</t>
  </si>
  <si>
    <t>VA_MI_RO_bod</t>
  </si>
  <si>
    <t>VA_SC_LO_opp</t>
  </si>
  <si>
    <t>VA_SC_LO_bod</t>
  </si>
  <si>
    <t>VA_SC_RO_opp</t>
  </si>
  <si>
    <t>VA_SC_RO_bod</t>
  </si>
  <si>
    <t>gele paling</t>
  </si>
  <si>
    <t>potlood</t>
  </si>
  <si>
    <t>21h30-23h15</t>
  </si>
  <si>
    <t>totaal</t>
  </si>
  <si>
    <t>Harder (juveniel)</t>
  </si>
  <si>
    <t>VA_PG_LO_SU</t>
  </si>
  <si>
    <t>wit dood</t>
  </si>
  <si>
    <t>wit</t>
  </si>
  <si>
    <t>VA_PG_RO_SU</t>
  </si>
  <si>
    <t>zijdelings nog afgeplat</t>
  </si>
  <si>
    <t>23h30-0h45</t>
  </si>
  <si>
    <t>0h00-1h45</t>
  </si>
  <si>
    <t>VA_MI_RO_Fu</t>
  </si>
  <si>
    <t>waterdiepte (m)</t>
  </si>
  <si>
    <t>diepte sensor (m)</t>
  </si>
  <si>
    <t>steurgarnalen</t>
  </si>
  <si>
    <t>pos</t>
  </si>
  <si>
    <t>paling</t>
  </si>
  <si>
    <t>3-d. stekelbaars f. semi-armatus</t>
  </si>
  <si>
    <t>VA_SC_Mi_bod</t>
  </si>
  <si>
    <t>VA_SC_Mi_opp</t>
  </si>
  <si>
    <t>nvt</t>
  </si>
  <si>
    <t>snoekbaars</t>
  </si>
  <si>
    <t>dikkop/brakwatergrondel</t>
  </si>
  <si>
    <t>Opmerkingen</t>
  </si>
  <si>
    <t>maandag 7 maart: bentofiet-vervuiling SO gemaal</t>
  </si>
  <si>
    <t>VA_SC_Mi-bod</t>
  </si>
  <si>
    <t>kolblei</t>
  </si>
  <si>
    <t>10doorn</t>
  </si>
  <si>
    <t>verschillende</t>
  </si>
  <si>
    <t>blankvoorn</t>
  </si>
  <si>
    <t>VA_PG_MI_opp</t>
  </si>
  <si>
    <t>VA_PG_MI_bod</t>
  </si>
  <si>
    <t>VA_MI_MI_opp</t>
  </si>
  <si>
    <t>VA_MI_MI_bod</t>
  </si>
  <si>
    <t>VA_SC_MI_opp</t>
  </si>
  <si>
    <t>aantal potloden</t>
  </si>
  <si>
    <t>21h22-23h02</t>
  </si>
  <si>
    <t>23h40-01h20</t>
  </si>
  <si>
    <t>Kolblei</t>
  </si>
  <si>
    <t>Potlood</t>
  </si>
  <si>
    <t>wit verkleuring</t>
  </si>
  <si>
    <t>GANZEPOOT_SU</t>
  </si>
  <si>
    <t>Gele paling</t>
  </si>
  <si>
    <t>VA_MI_RO_SU</t>
  </si>
  <si>
    <t>VA_SC_LO_SU</t>
  </si>
  <si>
    <t>VA_SC_RO_SU</t>
  </si>
  <si>
    <t>IJZER_SU</t>
  </si>
  <si>
    <t>3-d. stekelbaars f. trachurus</t>
  </si>
  <si>
    <t>N glasalen</t>
  </si>
  <si>
    <t>22h20-0h00</t>
  </si>
  <si>
    <t>10D-stekelbaars</t>
  </si>
  <si>
    <t>3D-stekelbaars</t>
  </si>
  <si>
    <t>dood</t>
  </si>
  <si>
    <t>grote luchtbel in staart</t>
  </si>
  <si>
    <t>VA_MI_LO_SU</t>
  </si>
  <si>
    <t>IJZ_SU</t>
  </si>
  <si>
    <t>totaal aan pompgemaal 11-12/03</t>
  </si>
  <si>
    <t>totaal aan pompgemaal 18/03</t>
  </si>
  <si>
    <t>totaal aan pompgemaal 25/03</t>
  </si>
  <si>
    <t>totaal aan pompgemaal 01/04</t>
  </si>
  <si>
    <t>totaal aan pompgemaal 08/04</t>
  </si>
  <si>
    <t>N potloden</t>
  </si>
  <si>
    <t>fuik 1</t>
  </si>
  <si>
    <t>fuik 2</t>
  </si>
  <si>
    <t>fuik 3</t>
  </si>
  <si>
    <t>fuik 4</t>
  </si>
  <si>
    <t>fuik 5</t>
  </si>
  <si>
    <t>fuik 6</t>
  </si>
  <si>
    <t>baars</t>
  </si>
  <si>
    <t>LO_opp</t>
  </si>
  <si>
    <t>LO_bod</t>
  </si>
  <si>
    <t>Mi_opp</t>
  </si>
  <si>
    <t>Mi_bod</t>
  </si>
  <si>
    <t>RO_opp</t>
  </si>
  <si>
    <t>RO_bod</t>
  </si>
  <si>
    <t xml:space="preserve">Midden </t>
  </si>
  <si>
    <t>Pompgemaal</t>
  </si>
  <si>
    <t>Spuicomplex</t>
  </si>
  <si>
    <t>Sp. Conductiviteit 25°C (µS/cm)</t>
  </si>
  <si>
    <t>Conductiviteit (µS/cm)</t>
  </si>
  <si>
    <t>Conductiviteit25 (µS/cm))</t>
  </si>
  <si>
    <t>Zuurstof (%)</t>
  </si>
  <si>
    <t>Secchi-diepte</t>
  </si>
  <si>
    <t>heeft maar 1 oog</t>
  </si>
  <si>
    <t>GA_SU</t>
  </si>
  <si>
    <t>totaal aan pompgemaal 15/04</t>
  </si>
  <si>
    <t>totaal aan pompgemaal 22/04</t>
  </si>
  <si>
    <t>spui 2</t>
  </si>
  <si>
    <t>spui 3</t>
  </si>
  <si>
    <t>spui 4</t>
  </si>
  <si>
    <t>spui 5</t>
  </si>
  <si>
    <t>spui 6</t>
  </si>
  <si>
    <t>spui 7</t>
  </si>
  <si>
    <t>spui 8</t>
  </si>
  <si>
    <t>22h42-0h30</t>
  </si>
  <si>
    <t>10-d. stekelbaars</t>
  </si>
  <si>
    <t>gem. lengte GA</t>
  </si>
  <si>
    <t>gem. gewicht GA</t>
  </si>
  <si>
    <t>V</t>
  </si>
  <si>
    <t>04h10-05h50</t>
  </si>
  <si>
    <t>VII</t>
  </si>
  <si>
    <t>S + 2 kwetsuren</t>
  </si>
  <si>
    <t>S</t>
  </si>
  <si>
    <t>dikke zwelling darm (voedsel)</t>
  </si>
  <si>
    <t>bloeduitstorting staart</t>
  </si>
  <si>
    <t>Waterdiepte</t>
  </si>
  <si>
    <t>geen voedsel in maag/darm</t>
  </si>
  <si>
    <t>glasaal</t>
  </si>
  <si>
    <t>elvers</t>
  </si>
  <si>
    <t>spui 1 (LO)</t>
  </si>
  <si>
    <t>spui 9 (RO)</t>
  </si>
  <si>
    <t>glasalen</t>
  </si>
  <si>
    <t>Polder</t>
  </si>
  <si>
    <t>oppervlakte</t>
  </si>
  <si>
    <t>bodem</t>
  </si>
  <si>
    <t>enkele glasalen hadden een gevulde maag: microscopische analyse bracht vooral juveniele en adulte copepoden (5-6 ex.) en Daphnia (longispina?, 1 ex.) aan het licht</t>
  </si>
  <si>
    <t>insluitsel in zwemblaas - voedsel in maag</t>
  </si>
  <si>
    <t>PG</t>
  </si>
  <si>
    <t>SU</t>
  </si>
  <si>
    <t>KR</t>
  </si>
  <si>
    <t>2h20-04h00</t>
  </si>
  <si>
    <t>3-d stekelbaars</t>
  </si>
  <si>
    <t>Brasem</t>
  </si>
  <si>
    <t>Paling</t>
  </si>
  <si>
    <t>SC</t>
  </si>
  <si>
    <t>Mi</t>
  </si>
  <si>
    <t>Vorktandzwemwormpje (Nais elinguis)</t>
  </si>
  <si>
    <t>Tubificoides brownae</t>
  </si>
  <si>
    <t>Kustpalmborsteltje (Baltidrilus costatus)</t>
  </si>
  <si>
    <t>N steken</t>
  </si>
  <si>
    <t>chironomidenlarven</t>
  </si>
  <si>
    <t>Gammarus</t>
  </si>
  <si>
    <t>x</t>
  </si>
  <si>
    <t>VA_PO</t>
  </si>
  <si>
    <t>1 Diepvries</t>
  </si>
  <si>
    <t>2 Diepvries</t>
  </si>
  <si>
    <t>3 Diepvries</t>
  </si>
  <si>
    <t>4 Diepvries</t>
  </si>
  <si>
    <t>5 Diepvries</t>
  </si>
  <si>
    <t>F</t>
  </si>
  <si>
    <t>Blankvoorn</t>
  </si>
  <si>
    <t>23h00-1h00</t>
  </si>
  <si>
    <t>Rietvoorn</t>
  </si>
  <si>
    <t>omgekeerd spuibeheer gestart op vrijdagavond 10 maart</t>
  </si>
  <si>
    <t>zondagmiddag 12 maart: palinggoten 40 cm onder water!</t>
  </si>
  <si>
    <t>6 Diepvries</t>
  </si>
  <si>
    <t>Diepvries 7</t>
  </si>
  <si>
    <t>Diepvries 8</t>
  </si>
  <si>
    <t>Diepvries 9</t>
  </si>
  <si>
    <t>Diepvries 10</t>
  </si>
  <si>
    <t>Diepvries 11</t>
  </si>
  <si>
    <t>bivalve (mossel)</t>
  </si>
  <si>
    <t>breuk in staartpunt</t>
  </si>
  <si>
    <t>Diepvries 12</t>
  </si>
  <si>
    <t>Diepvries 13</t>
  </si>
  <si>
    <t>Diepvries 14</t>
  </si>
  <si>
    <t>Diepvries 15</t>
  </si>
  <si>
    <t>Diepvries 16</t>
  </si>
  <si>
    <t>Diepvries 17</t>
  </si>
  <si>
    <t>Diepvries 18</t>
  </si>
  <si>
    <t>Diepvries 19</t>
  </si>
  <si>
    <t>Diepvries 20</t>
  </si>
  <si>
    <t>Diepvries 21</t>
  </si>
  <si>
    <t>witverkleuring</t>
  </si>
  <si>
    <t>Diepvries 22</t>
  </si>
  <si>
    <t>Diepvries 23</t>
  </si>
  <si>
    <t>Diepvries 24</t>
  </si>
  <si>
    <t>Diepvries 25</t>
  </si>
  <si>
    <t>Diepvries 26</t>
  </si>
  <si>
    <t>Diepvries 27</t>
  </si>
  <si>
    <t>oligochaeten  (n t d)</t>
  </si>
  <si>
    <t>3h20-5h00</t>
  </si>
  <si>
    <t>1?</t>
  </si>
  <si>
    <t>Diepvries 28</t>
  </si>
  <si>
    <t>Diepvries 29</t>
  </si>
  <si>
    <t>Diepvries 30</t>
  </si>
  <si>
    <t>Diepvries 31</t>
  </si>
  <si>
    <t>Diepvries 32</t>
  </si>
  <si>
    <t>22h15-24h00</t>
  </si>
  <si>
    <t>Diepvries 33</t>
  </si>
  <si>
    <t>Diepvries 34</t>
  </si>
  <si>
    <t>Diepvries 35</t>
  </si>
  <si>
    <t>Diepvries 36</t>
  </si>
  <si>
    <t>Diepvries 37</t>
  </si>
  <si>
    <t>kwetsuur staart</t>
  </si>
  <si>
    <t>mist stukje staart</t>
  </si>
  <si>
    <t>Diepvries 38</t>
  </si>
  <si>
    <t>Diepvries 39</t>
  </si>
  <si>
    <t>Diepvries 40</t>
  </si>
  <si>
    <t>Diepvries 41</t>
  </si>
  <si>
    <t>Diepvries 42</t>
  </si>
  <si>
    <t>Diepvries 43</t>
  </si>
  <si>
    <t>Diepvries 44</t>
  </si>
  <si>
    <t>Diepvries 45</t>
  </si>
  <si>
    <t>Diepvries 46</t>
  </si>
  <si>
    <t>Diepvries 47</t>
  </si>
  <si>
    <t>Diepvries 48</t>
  </si>
  <si>
    <t>Diepvries 49</t>
  </si>
  <si>
    <t>Diepvries 50</t>
  </si>
  <si>
    <t>Diepvries 51</t>
  </si>
  <si>
    <t>Diepvries 52</t>
  </si>
  <si>
    <t>slechte conditie (mager)</t>
  </si>
  <si>
    <t>Diepvries 53</t>
  </si>
  <si>
    <t>Diepvries 54</t>
  </si>
  <si>
    <t>Diepvries 55</t>
  </si>
  <si>
    <t>Diepvries 56</t>
  </si>
  <si>
    <t>Diepvries 57</t>
  </si>
  <si>
    <t>pad</t>
  </si>
  <si>
    <t>Diepvries 58</t>
  </si>
  <si>
    <t>Diepvries 59</t>
  </si>
  <si>
    <t>Diepvries 60</t>
  </si>
  <si>
    <t>Diepvries 61</t>
  </si>
  <si>
    <t>Diepvries 62</t>
  </si>
  <si>
    <t>kneepje in staart</t>
  </si>
  <si>
    <t>VA_PG_MI</t>
  </si>
  <si>
    <t>Veelkleurige zeeduizendpoot (Hediste diversicolor)</t>
  </si>
  <si>
    <r>
      <t>Voorbeelden van dieren die in associatie met de kokers van de trompetkalkkokerworm leven zijn de vlokreeftjes (Amphipoda) </t>
    </r>
    <r>
      <rPr>
        <i/>
        <sz val="10"/>
        <color rgb="FF000000"/>
        <rFont val="Helvetica"/>
        <family val="2"/>
      </rPr>
      <t>Leptocheirus pilosus</t>
    </r>
    <r>
      <rPr>
        <sz val="10"/>
        <color rgb="FF000000"/>
        <rFont val="Helvetica"/>
        <family val="2"/>
      </rPr>
      <t>, </t>
    </r>
    <r>
      <rPr>
        <i/>
        <sz val="10"/>
        <color rgb="FF000000"/>
        <rFont val="Helvetica"/>
        <family val="2"/>
      </rPr>
      <t>Corophium insidiosum</t>
    </r>
    <r>
      <rPr>
        <sz val="10"/>
        <color rgb="FF000000"/>
        <rFont val="Helvetica"/>
        <family val="2"/>
      </rPr>
      <t> en </t>
    </r>
    <r>
      <rPr>
        <i/>
        <sz val="10"/>
        <color rgb="FF000000"/>
        <rFont val="Helvetica"/>
        <family val="2"/>
      </rPr>
      <t>Melita palmata</t>
    </r>
    <r>
      <rPr>
        <sz val="10"/>
        <color rgb="FF000000"/>
        <rFont val="Helvetica"/>
        <family val="2"/>
      </rPr>
      <t> en de veelkleurige duizendpoot </t>
    </r>
    <r>
      <rPr>
        <i/>
        <sz val="10"/>
        <color rgb="FF000000"/>
        <rFont val="Helvetica"/>
        <family val="2"/>
      </rPr>
      <t>Hediste diversicolor</t>
    </r>
    <r>
      <rPr>
        <sz val="10"/>
        <color rgb="FF000000"/>
        <rFont val="Helvetica"/>
        <family val="2"/>
      </rPr>
      <t>, een borstelworm (Polychaeta)</t>
    </r>
  </si>
  <si>
    <t>kruisnetten</t>
  </si>
  <si>
    <t>PG links</t>
  </si>
  <si>
    <t>PG rechts</t>
  </si>
  <si>
    <t>PG SU LO</t>
  </si>
  <si>
    <t>totaal substraten</t>
  </si>
  <si>
    <t>PA-links</t>
  </si>
  <si>
    <t>PA-rechts</t>
  </si>
  <si>
    <t>PG-PA-LO</t>
  </si>
  <si>
    <t>%</t>
  </si>
  <si>
    <t>PG-PA-RO</t>
  </si>
  <si>
    <t>PG-PA-TOT</t>
  </si>
  <si>
    <t>DOOD</t>
  </si>
  <si>
    <t>Diepvries 63</t>
  </si>
  <si>
    <t>Diepvries 64</t>
  </si>
  <si>
    <t>Diepvries 65</t>
  </si>
  <si>
    <t>Diepvries 66</t>
  </si>
  <si>
    <t>Diepvries 67</t>
  </si>
  <si>
    <t>F-</t>
  </si>
  <si>
    <t>Diepvries 68</t>
  </si>
  <si>
    <t>Diepvries 69</t>
  </si>
  <si>
    <t>Diepvries 70</t>
  </si>
  <si>
    <t>Diepvries 71</t>
  </si>
  <si>
    <t>Diepvries 72</t>
  </si>
  <si>
    <t>luchtbelletjes in darm</t>
  </si>
  <si>
    <t>-</t>
  </si>
  <si>
    <t>Diepvries 78</t>
  </si>
  <si>
    <t>Diepvries 79</t>
  </si>
  <si>
    <t>Diepvries 80</t>
  </si>
  <si>
    <t>Diepvries 81</t>
  </si>
  <si>
    <t>Diepvries 82</t>
  </si>
  <si>
    <t>wit, veel knepen over lichaam</t>
  </si>
  <si>
    <t>knepen + groeven</t>
  </si>
  <si>
    <t>groeven</t>
  </si>
  <si>
    <t>zwemblaasparasiet?</t>
  </si>
  <si>
    <t>Diepvries 73</t>
  </si>
  <si>
    <t>Diepvries 74</t>
  </si>
  <si>
    <t>Diepvries 75</t>
  </si>
  <si>
    <t>Diepvries 76</t>
  </si>
  <si>
    <t>Diepvries 77</t>
  </si>
  <si>
    <t>veel knepen over lichaam, bloeduitstorting staart</t>
  </si>
  <si>
    <t>3h45-5h15</t>
  </si>
  <si>
    <t>Zeedruif</t>
  </si>
  <si>
    <t>knepen over lijf</t>
  </si>
  <si>
    <t>rugvin abnormaal gekromd aan einde</t>
  </si>
  <si>
    <t>Diepvries 83</t>
  </si>
  <si>
    <t>Diepvries 84</t>
  </si>
  <si>
    <t>Diepvries 85</t>
  </si>
  <si>
    <t>Diepvries 86</t>
  </si>
  <si>
    <t>Diepvries 87</t>
  </si>
  <si>
    <t>bloeduitstorting kieuwen</t>
  </si>
  <si>
    <t>Kneep in midden</t>
  </si>
  <si>
    <t>sneetje in staartpunt</t>
  </si>
  <si>
    <t>polychaet</t>
  </si>
  <si>
    <t>VA_SOgemaal_opp</t>
  </si>
  <si>
    <t>VA_SOgemaal_bod</t>
  </si>
  <si>
    <t>Diepvries 88</t>
  </si>
  <si>
    <t>Diepvries 89</t>
  </si>
  <si>
    <t>Diepvries 90</t>
  </si>
  <si>
    <t>Diepvries 91</t>
  </si>
  <si>
    <t>Diepvries 92</t>
  </si>
  <si>
    <t xml:space="preserve">Kneepjes op achterlijf </t>
  </si>
  <si>
    <t>Diepvries 93</t>
  </si>
  <si>
    <t>Diepvries 94</t>
  </si>
  <si>
    <t>Diepvries 95</t>
  </si>
  <si>
    <t>Diepvries 96</t>
  </si>
  <si>
    <t>Diepvries 97</t>
  </si>
  <si>
    <t>IJZ-SU</t>
  </si>
  <si>
    <t>GA-SU</t>
  </si>
  <si>
    <t>kneepjes op achterlijf + zwelling aan kop</t>
  </si>
  <si>
    <t>Diepvries 98</t>
  </si>
  <si>
    <t>Diepvries 99</t>
  </si>
  <si>
    <t>Diepvries 100</t>
  </si>
  <si>
    <t>Diepvries 101</t>
  </si>
  <si>
    <t>Diepvries 102</t>
  </si>
  <si>
    <t>Diepvries 103</t>
  </si>
  <si>
    <t>Diepvries 104</t>
  </si>
  <si>
    <t>Diepvries 105</t>
  </si>
  <si>
    <t>Diepvries 106</t>
  </si>
  <si>
    <t>Diepvries 107</t>
  </si>
  <si>
    <t>Diepvries 108</t>
  </si>
  <si>
    <t>Diepvries 109</t>
  </si>
  <si>
    <t>Diepvries 110</t>
  </si>
  <si>
    <t>Diepvries 111</t>
  </si>
  <si>
    <t>Blind oog</t>
  </si>
  <si>
    <t>F+</t>
  </si>
  <si>
    <t>misvormde bek</t>
  </si>
  <si>
    <t>23h00-0h40</t>
  </si>
  <si>
    <t>Diepvries 112</t>
  </si>
  <si>
    <t>Diepvries 113</t>
  </si>
  <si>
    <t>Diepvries 114</t>
  </si>
  <si>
    <t>Diepvries 115</t>
  </si>
  <si>
    <t>Diepvries 116</t>
  </si>
  <si>
    <t>VA-SU-TOT</t>
  </si>
  <si>
    <t>VA-KR</t>
  </si>
  <si>
    <t>palinggoten</t>
  </si>
  <si>
    <t>substraten</t>
  </si>
  <si>
    <t>PG LO</t>
  </si>
  <si>
    <t>PG RO</t>
  </si>
  <si>
    <t>Diepvries 117</t>
  </si>
  <si>
    <t>Diepvries 118</t>
  </si>
  <si>
    <t>Diepvries 119</t>
  </si>
  <si>
    <t>Diepvries 120</t>
  </si>
  <si>
    <t>Diepvries 121</t>
  </si>
  <si>
    <t>Diepvries 122</t>
  </si>
  <si>
    <t>Diepvries 123</t>
  </si>
  <si>
    <t>Diepvries 124</t>
  </si>
  <si>
    <t>Diepvries 125</t>
  </si>
  <si>
    <t>Diepvries 126</t>
  </si>
  <si>
    <t>Diepvries 127</t>
  </si>
  <si>
    <t>Diepvries 128</t>
  </si>
  <si>
    <t>Diepvries 129</t>
  </si>
  <si>
    <t>Diepvries 130</t>
  </si>
  <si>
    <t>Diepvries 131</t>
  </si>
  <si>
    <t>Diepvries 132</t>
  </si>
  <si>
    <t>Luchtbel aan darm</t>
  </si>
  <si>
    <t>Diepvries 133</t>
  </si>
  <si>
    <t>Diepvries 134</t>
  </si>
  <si>
    <t>Diepvries 135</t>
  </si>
  <si>
    <t>Diepvries 136</t>
  </si>
  <si>
    <t>Diepvries 137</t>
  </si>
  <si>
    <t>Diepvries 138</t>
  </si>
  <si>
    <t>Diepvries 139</t>
  </si>
  <si>
    <t>Diepvries 140</t>
  </si>
  <si>
    <t>Diepvries 141</t>
  </si>
  <si>
    <t>3h45-5h25</t>
  </si>
  <si>
    <t>Schijfkwal</t>
  </si>
  <si>
    <t>Diepvries 142</t>
  </si>
  <si>
    <t>Diepvries 143</t>
  </si>
  <si>
    <t>Diepvries 144</t>
  </si>
  <si>
    <t>Diepvries 145</t>
  </si>
  <si>
    <t>Diepvries 146</t>
  </si>
  <si>
    <t>gem lengte</t>
  </si>
  <si>
    <t>gem. gew.</t>
  </si>
  <si>
    <t>gravitair</t>
  </si>
  <si>
    <t>pomp</t>
  </si>
  <si>
    <t>mijt in darm?</t>
  </si>
  <si>
    <t>copepood</t>
  </si>
  <si>
    <t>cladoceren</t>
  </si>
  <si>
    <t>Diepvries 147</t>
  </si>
  <si>
    <t>Diepvries 148</t>
  </si>
  <si>
    <t>Diepvries 149</t>
  </si>
  <si>
    <t>Diepvries 150</t>
  </si>
  <si>
    <t>Diepvries 151</t>
  </si>
  <si>
    <t>kleine verdikking aan anus</t>
  </si>
  <si>
    <t>wit plekje onder huid</t>
  </si>
  <si>
    <t>foto</t>
  </si>
  <si>
    <t>krab</t>
  </si>
  <si>
    <t>Diepvries 152</t>
  </si>
  <si>
    <t>Diepvries 153</t>
  </si>
  <si>
    <t>Diepvries 154</t>
  </si>
  <si>
    <t>Diepvries 155</t>
  </si>
  <si>
    <t>Diepvries 156</t>
  </si>
  <si>
    <t>staart kwijt</t>
  </si>
  <si>
    <t>Diepvries 157</t>
  </si>
  <si>
    <t>Diepvries 158</t>
  </si>
  <si>
    <t>Diepvries 159</t>
  </si>
  <si>
    <t>Diepvries 160</t>
  </si>
  <si>
    <t>Diepvries 161</t>
  </si>
  <si>
    <t>Diepvries 162</t>
  </si>
  <si>
    <t>Diepvries 163</t>
  </si>
  <si>
    <t>Diepvries 164</t>
  </si>
  <si>
    <t>Diepvries 165</t>
  </si>
  <si>
    <t>Diepvries 166</t>
  </si>
  <si>
    <t>Diepvries 167</t>
  </si>
  <si>
    <t>Diepvries 168</t>
  </si>
  <si>
    <t>Diepvries 169</t>
  </si>
  <si>
    <t>Diepvries 170</t>
  </si>
  <si>
    <t>Diepvries 171</t>
  </si>
  <si>
    <t>22h10-23h45</t>
  </si>
  <si>
    <t>Brakwatergrondel</t>
  </si>
  <si>
    <t>Bot</t>
  </si>
  <si>
    <t>Diepvries 172</t>
  </si>
  <si>
    <t>Diepvries 173</t>
  </si>
  <si>
    <t>Diepvries 174</t>
  </si>
  <si>
    <t>Diepvries 175</t>
  </si>
  <si>
    <t>schelpen van Brakwatermossel</t>
  </si>
  <si>
    <t>Zuiderzeekrabbetje</t>
  </si>
  <si>
    <t>Diepvries 176</t>
  </si>
  <si>
    <t>Diepvries 177</t>
  </si>
  <si>
    <t>Diepvries 178</t>
  </si>
  <si>
    <t>Diepvries 179</t>
  </si>
  <si>
    <t>Diepvries 180</t>
  </si>
  <si>
    <t>larve in darm</t>
  </si>
  <si>
    <t>duidelijk Copepoden in darm</t>
  </si>
  <si>
    <t>Diepvries 181</t>
  </si>
  <si>
    <t>Diepvries 182</t>
  </si>
  <si>
    <t>Diepvries 183</t>
  </si>
  <si>
    <t>Diepvries 184</t>
  </si>
  <si>
    <t>Diepvries 185</t>
  </si>
  <si>
    <t>Diepvries 186</t>
  </si>
  <si>
    <t>Diepvries 187</t>
  </si>
  <si>
    <t>Diepvries 188</t>
  </si>
  <si>
    <t>Diepvries 189</t>
  </si>
  <si>
    <t>Diepvries 190</t>
  </si>
  <si>
    <t>Diepvries 191</t>
  </si>
  <si>
    <t>Diepvries 192</t>
  </si>
  <si>
    <t>Diepvries 193</t>
  </si>
  <si>
    <t>Diepvries 194</t>
  </si>
  <si>
    <t>Diepvries 195</t>
  </si>
  <si>
    <t>COP</t>
  </si>
  <si>
    <t>F0</t>
  </si>
  <si>
    <t>bloeding in staart</t>
  </si>
  <si>
    <t>Diepvries 196</t>
  </si>
  <si>
    <t>Diepvries 197</t>
  </si>
  <si>
    <t>Diepvries 198</t>
  </si>
  <si>
    <t>Diepvries 199</t>
  </si>
  <si>
    <t>Diepvries 200</t>
  </si>
  <si>
    <t>Diepvries 201</t>
  </si>
  <si>
    <t>Diepvries 202</t>
  </si>
  <si>
    <t>Diepvries 203</t>
  </si>
  <si>
    <t>Diepvries 204</t>
  </si>
  <si>
    <t>Diepvries 205</t>
  </si>
  <si>
    <t>Diepvries 206</t>
  </si>
  <si>
    <t>Diepvries 207</t>
  </si>
  <si>
    <t>Diepvries 208</t>
  </si>
  <si>
    <t>Diepvries 209</t>
  </si>
  <si>
    <t>Diepvries 210</t>
  </si>
  <si>
    <t>Diepvries 211</t>
  </si>
  <si>
    <t>Diepvries 212</t>
  </si>
  <si>
    <t>Diepvries 213</t>
  </si>
  <si>
    <t>Diepvries 214</t>
  </si>
  <si>
    <t>Diepvries 215</t>
  </si>
  <si>
    <t>FOTO</t>
  </si>
  <si>
    <t>garnalen</t>
  </si>
  <si>
    <t xml:space="preserve">Diepvries 216 </t>
  </si>
  <si>
    <t>Diepvries 217</t>
  </si>
  <si>
    <t>Diepvries 218</t>
  </si>
  <si>
    <t>Diepvries 219</t>
  </si>
  <si>
    <t>Diepvries 220</t>
  </si>
  <si>
    <t>Bloeding zijkant</t>
  </si>
  <si>
    <t>kneepje in midden</t>
  </si>
  <si>
    <t>Diepvries 231</t>
  </si>
  <si>
    <t>Diepvries 232</t>
  </si>
  <si>
    <t>Diepvries 233</t>
  </si>
  <si>
    <t>Diepvries 234</t>
  </si>
  <si>
    <t>Diepvries 235</t>
  </si>
  <si>
    <t>veel krabben</t>
  </si>
  <si>
    <t>spui 8 lekt op 5 mei</t>
  </si>
  <si>
    <t>spui 8 lekt op 12 mei</t>
  </si>
  <si>
    <t>Diepvries 221</t>
  </si>
  <si>
    <t>Diepvries 222</t>
  </si>
  <si>
    <t>Diepvries 223</t>
  </si>
  <si>
    <t>Diepvries 224</t>
  </si>
  <si>
    <t>Diepvries 225</t>
  </si>
  <si>
    <t>Copepoden</t>
  </si>
  <si>
    <t xml:space="preserve">Kneepje </t>
  </si>
  <si>
    <t>Diepvries 226</t>
  </si>
  <si>
    <t>Diepvries 227</t>
  </si>
  <si>
    <t>Diepvries 228</t>
  </si>
  <si>
    <t>Diepvries 229</t>
  </si>
  <si>
    <t>Diepvries 230</t>
  </si>
  <si>
    <t>Polydora cornuta</t>
  </si>
  <si>
    <t>Ficopomatus enigmaticus</t>
  </si>
  <si>
    <t>http://www.chemiasoft.com/chemd/salinity_calculator</t>
  </si>
  <si>
    <t>omrekenen conductiviteit naar saliniteit in PSU</t>
  </si>
  <si>
    <t>RG</t>
  </si>
  <si>
    <t>LG</t>
  </si>
  <si>
    <t>PS-su</t>
  </si>
  <si>
    <t>PS-bo</t>
  </si>
  <si>
    <t>SC-su</t>
  </si>
  <si>
    <t>SC-bo</t>
  </si>
  <si>
    <t>MI-su</t>
  </si>
  <si>
    <t>MI-bo</t>
  </si>
  <si>
    <t>PO-su</t>
  </si>
  <si>
    <t>Su</t>
  </si>
  <si>
    <t>Bo</t>
  </si>
  <si>
    <t>Po</t>
  </si>
  <si>
    <t>Surface</t>
  </si>
  <si>
    <t>Bottom</t>
  </si>
  <si>
    <t>Diepvries 236</t>
  </si>
  <si>
    <t>Diepvries 237</t>
  </si>
  <si>
    <t>Diepvries 238</t>
  </si>
  <si>
    <t>Diepvries 239</t>
  </si>
  <si>
    <t>Diepvries 240</t>
  </si>
  <si>
    <t>6 rode uitstulpingen op rij achter kop</t>
  </si>
  <si>
    <t>bloeding achterlijf</t>
  </si>
  <si>
    <t>s</t>
  </si>
  <si>
    <t>Diepvries 241</t>
  </si>
  <si>
    <t>Diepvries 242</t>
  </si>
  <si>
    <t>Diepvries 243</t>
  </si>
  <si>
    <t>Diepvries 244</t>
  </si>
  <si>
    <t>Diepvries 245</t>
  </si>
  <si>
    <t>Op 19 mei was er een Blauwe reiger aan palinggoot RO</t>
  </si>
  <si>
    <t>Diepvries 246</t>
  </si>
  <si>
    <t>Diepvries 247</t>
  </si>
  <si>
    <t>Diepvries 248</t>
  </si>
  <si>
    <t>Diepvries 249</t>
  </si>
  <si>
    <t>Diepvries 250</t>
  </si>
  <si>
    <t>luchtbel in bek</t>
  </si>
  <si>
    <t>Diepvries 251</t>
  </si>
  <si>
    <t>Diepvries 252</t>
  </si>
  <si>
    <t>Diepvries 253</t>
  </si>
  <si>
    <t>Diepvries 254</t>
  </si>
  <si>
    <t>Diepvries 255</t>
  </si>
  <si>
    <t>STOMPE BEK</t>
  </si>
  <si>
    <t>gem. cond.</t>
  </si>
  <si>
    <t xml:space="preserve">gem. cond. </t>
  </si>
  <si>
    <t>Daphnia in darm</t>
  </si>
  <si>
    <t>stompe kop</t>
  </si>
  <si>
    <t>Diepvries 256</t>
  </si>
  <si>
    <t>Diepvries 257</t>
  </si>
  <si>
    <t>Diepvries 258</t>
  </si>
  <si>
    <t>Diepvries 259</t>
  </si>
  <si>
    <t>Diepvries 260</t>
  </si>
  <si>
    <t>Diepvries 261</t>
  </si>
  <si>
    <t>Diepvries 262</t>
  </si>
  <si>
    <t>Diepvries 263</t>
  </si>
  <si>
    <t>Diepvries 264</t>
  </si>
  <si>
    <t>Diepvries 265</t>
  </si>
  <si>
    <t>Diepvries 266</t>
  </si>
  <si>
    <t>staart gebroken</t>
  </si>
  <si>
    <t>luchtbel in kaak</t>
  </si>
  <si>
    <t>op 12, 16, 19 mei en 24 mei was er een Kleine Zilverreiger aanwezig op de palinggoot aan de linkeroever.</t>
  </si>
  <si>
    <t>Polydora sp.</t>
  </si>
  <si>
    <t>saliniteit (PSU)</t>
  </si>
  <si>
    <t>surface</t>
  </si>
  <si>
    <t>bottom</t>
  </si>
  <si>
    <t>polder</t>
  </si>
  <si>
    <t>CPUE</t>
  </si>
  <si>
    <t>gravitary</t>
  </si>
  <si>
    <t>% met voedsel</t>
  </si>
  <si>
    <t>SC-O</t>
  </si>
  <si>
    <t>SC-B</t>
  </si>
  <si>
    <t>MI-O</t>
  </si>
  <si>
    <t>MI-B</t>
  </si>
  <si>
    <t>PS-O</t>
  </si>
  <si>
    <t>PS-B</t>
  </si>
  <si>
    <t>PO-O</t>
  </si>
  <si>
    <t>LO</t>
  </si>
  <si>
    <t>RO</t>
  </si>
  <si>
    <t>te testen: significante verschillen tussen de jaren wat betreft aantallen gevangen met substraten, palinggoten, kruisnetten</t>
  </si>
  <si>
    <t xml:space="preserve">significante verschillen tussen de 2 palinggoten en de 3 locaties met substraten </t>
  </si>
  <si>
    <t>te testen: significante verschillen tussen de gravitaire uitgangen en de pompuitgangen</t>
  </si>
  <si>
    <t xml:space="preserve">substraten in 2018 reeds ingehangen op 23 februari </t>
  </si>
  <si>
    <t>VA_PG_LO_SU1</t>
  </si>
  <si>
    <t>VA_PG_LO_SU2</t>
  </si>
  <si>
    <t>VA_PG_LO_SU3</t>
  </si>
  <si>
    <t>VA_PG_LO_FU</t>
  </si>
  <si>
    <t>VA_PG_RO_SU1</t>
  </si>
  <si>
    <t>VA_PG_RO_SU2</t>
  </si>
  <si>
    <t>VA_PG_RO_SU3</t>
  </si>
  <si>
    <t>VA_PG_RO_FU</t>
  </si>
  <si>
    <t>VA_MI_LO_SU1</t>
  </si>
  <si>
    <t>VA_MI_LO_SU2</t>
  </si>
  <si>
    <t>VA_MI_LO_SU3</t>
  </si>
  <si>
    <t>VA_MI_LO_FU</t>
  </si>
  <si>
    <t>VA_MI_RO_SU1</t>
  </si>
  <si>
    <t>VA_MI_RO_SU2</t>
  </si>
  <si>
    <t>VA_MI_RO_SU3</t>
  </si>
  <si>
    <t>VA_MI_RO_FU</t>
  </si>
  <si>
    <t>VA_SC_LO_SU1</t>
  </si>
  <si>
    <t>VA_SC_LO_SU2</t>
  </si>
  <si>
    <t>VA_SC_LO_SU3</t>
  </si>
  <si>
    <t>VA_SC_LO_FU</t>
  </si>
  <si>
    <t>VA_SC_RO_SU1</t>
  </si>
  <si>
    <t>VA_SC_RO_SU2</t>
  </si>
  <si>
    <t>VA_SC_RO_SU3</t>
  </si>
  <si>
    <t>VA_SC_RO_FU</t>
  </si>
  <si>
    <t>IJZ_SU1</t>
  </si>
  <si>
    <t>IJZ_SU2</t>
  </si>
  <si>
    <t>IJZ_SU3</t>
  </si>
  <si>
    <t>GP_SU1</t>
  </si>
  <si>
    <t>GP_SU2</t>
  </si>
  <si>
    <t>GP_SU3</t>
  </si>
  <si>
    <t>VA_MI_LO-SU1</t>
  </si>
  <si>
    <t>VA_MI_LO-SU2</t>
  </si>
  <si>
    <t>VA_MI_LO-SU3</t>
  </si>
  <si>
    <t>debiet (rechter) goot: bovenaan 8L/min, vanaf midden 15L/min, vanaf driekwart 22L/min, op einde 29L/min, laatste enkel bij laagtij, bij hoogtij zitten onderste gaten onder water.</t>
  </si>
  <si>
    <t>00h50-02h15</t>
  </si>
  <si>
    <t>kwetsuur in staart (witverkleuring)</t>
  </si>
  <si>
    <t>F--</t>
  </si>
  <si>
    <t xml:space="preserve">witte ronde insluitsels op verschillende plaatsen in het lichaam </t>
  </si>
  <si>
    <t>wit verkleurd</t>
  </si>
  <si>
    <t>wit verkleurd aan kopeinde</t>
  </si>
  <si>
    <t>volledig wit verkleurd</t>
  </si>
  <si>
    <t>lichtgroene verkleuring net echter kop</t>
  </si>
  <si>
    <t>opvallend groen verkleurd achter kop en op rug</t>
  </si>
  <si>
    <t>21h20-11h10</t>
  </si>
  <si>
    <t>vislarve</t>
  </si>
  <si>
    <t>POTLOOD</t>
  </si>
  <si>
    <t>copepood in darm, kwetsuur</t>
  </si>
  <si>
    <t>2 kwetsuren</t>
  </si>
  <si>
    <t xml:space="preserve">kwetsuur </t>
  </si>
  <si>
    <t>KWETSUUR</t>
  </si>
  <si>
    <t>STAART AF</t>
  </si>
  <si>
    <t>BLOEDUITSTORTING ONDERKAAK</t>
  </si>
  <si>
    <t>01h55-03h40</t>
  </si>
  <si>
    <t>witte kneep</t>
  </si>
  <si>
    <t>witte kneepjes</t>
  </si>
  <si>
    <t>bloeduitstorting aan snuit</t>
  </si>
  <si>
    <t>bijna in 2 geknipt</t>
  </si>
  <si>
    <t>VA_PG_KR</t>
  </si>
  <si>
    <t>GA_SN</t>
  </si>
  <si>
    <t>COPEPOOD IN MAAG/DARM</t>
  </si>
  <si>
    <t>MAAG WIT GEKLEURD</t>
  </si>
  <si>
    <t>WORM IN DARM?</t>
  </si>
  <si>
    <t>WItte kneep</t>
  </si>
  <si>
    <t>KWETSUUR NEK</t>
  </si>
  <si>
    <t>WIT VERKLEURD</t>
  </si>
  <si>
    <t>WITTE KNEEP</t>
  </si>
  <si>
    <t>Lichtgroene verkleuring net echter kop</t>
  </si>
  <si>
    <t>kneep nek</t>
  </si>
  <si>
    <t>WITTE KNEEPJES</t>
  </si>
  <si>
    <t>GELE MAAG</t>
  </si>
  <si>
    <t>CYSTEN</t>
  </si>
  <si>
    <t>OPEN WOND</t>
  </si>
  <si>
    <t>KNEEP</t>
  </si>
  <si>
    <t>KNEEPJE</t>
  </si>
  <si>
    <t>CYSTE</t>
  </si>
  <si>
    <t>KNEEPJES</t>
  </si>
  <si>
    <t>FOTO VAN COPEPOOD</t>
  </si>
  <si>
    <t>KNEEP NEK</t>
  </si>
  <si>
    <t>WONDE</t>
  </si>
  <si>
    <t>KNEEP + BLOEDUITSTORTING STAART</t>
  </si>
  <si>
    <t>21h00-22h50</t>
  </si>
  <si>
    <t>3 KNEPEN</t>
  </si>
  <si>
    <t>2 KNEPEN</t>
  </si>
  <si>
    <t>2 COPEPODEN FOTO</t>
  </si>
  <si>
    <t>BLOEDUITSTORTING STAART</t>
  </si>
  <si>
    <t>KNEPEN + OOGKWETSUUR</t>
  </si>
  <si>
    <t>WONDE STAART</t>
  </si>
  <si>
    <t>COP FOTO</t>
  </si>
  <si>
    <t>2 LUCHTBELLEN AAN KIEUWEN</t>
  </si>
  <si>
    <t>2 KNIPPEN</t>
  </si>
  <si>
    <t>KNIP</t>
  </si>
  <si>
    <t>Gekleurde GLASALEN: 2F--, 1 F0</t>
  </si>
  <si>
    <t>3 COP</t>
  </si>
  <si>
    <t>2 BREUKJES WERVELKOLOM</t>
  </si>
  <si>
    <t>6 COP</t>
  </si>
  <si>
    <t xml:space="preserve">2 COP </t>
  </si>
  <si>
    <t>1 COP</t>
  </si>
  <si>
    <t xml:space="preserve">KNEEP </t>
  </si>
  <si>
    <t>PAAR KNEEPJES</t>
  </si>
  <si>
    <t>1h05-03h00</t>
  </si>
  <si>
    <t>gekleurde glasalen: 2F0, 1F--</t>
  </si>
  <si>
    <t>2COP</t>
  </si>
  <si>
    <t>KNEEP IN MIDDEN</t>
  </si>
  <si>
    <t>10 KNEEPJES</t>
  </si>
  <si>
    <t xml:space="preserve">COP </t>
  </si>
  <si>
    <t>6 KNEPEN</t>
  </si>
  <si>
    <t>MISVORMING BEK</t>
  </si>
  <si>
    <t>2 COP</t>
  </si>
  <si>
    <t>N</t>
  </si>
  <si>
    <t>16,5</t>
  </si>
  <si>
    <t>11,16</t>
  </si>
  <si>
    <t>14,8</t>
  </si>
  <si>
    <t>111,9</t>
  </si>
  <si>
    <t>106,3</t>
  </si>
  <si>
    <t>10,85</t>
  </si>
  <si>
    <t>16,1</t>
  </si>
  <si>
    <t>120,1</t>
  </si>
  <si>
    <t>11,84</t>
  </si>
  <si>
    <t>8,18</t>
  </si>
  <si>
    <t>14,9</t>
  </si>
  <si>
    <t>11,37</t>
  </si>
  <si>
    <t>8,25</t>
  </si>
  <si>
    <t>8,16</t>
  </si>
  <si>
    <t>15,1</t>
  </si>
  <si>
    <t>116,6</t>
  </si>
  <si>
    <t>11,8</t>
  </si>
  <si>
    <t>129,4</t>
  </si>
  <si>
    <t>12,75</t>
  </si>
  <si>
    <t>122,2</t>
  </si>
  <si>
    <t>12,47</t>
  </si>
  <si>
    <t>16,2</t>
  </si>
  <si>
    <t>125,5</t>
  </si>
  <si>
    <t>12,54</t>
  </si>
  <si>
    <t>8,2</t>
  </si>
  <si>
    <t>123,9</t>
  </si>
  <si>
    <t>12,74</t>
  </si>
  <si>
    <t>16,4</t>
  </si>
  <si>
    <t>132,4</t>
  </si>
  <si>
    <t>13,21</t>
  </si>
  <si>
    <t>15,4</t>
  </si>
  <si>
    <t>117,9</t>
  </si>
  <si>
    <t>12,2</t>
  </si>
  <si>
    <t>15,5</t>
  </si>
  <si>
    <t>125,1</t>
  </si>
  <si>
    <t>12,38</t>
  </si>
  <si>
    <t>14,6</t>
  </si>
  <si>
    <t>12,8</t>
  </si>
  <si>
    <t>12,31</t>
  </si>
  <si>
    <t>14,5</t>
  </si>
  <si>
    <t>127,9</t>
  </si>
  <si>
    <t>13,2</t>
  </si>
  <si>
    <t>128,7</t>
  </si>
  <si>
    <t>13,06</t>
  </si>
  <si>
    <t>14,4</t>
  </si>
  <si>
    <t>127,6</t>
  </si>
  <si>
    <t>13,3</t>
  </si>
  <si>
    <t>112,3</t>
  </si>
  <si>
    <t>11,19</t>
  </si>
  <si>
    <t>21h30-23h30</t>
  </si>
  <si>
    <t>VA-PG-SA</t>
  </si>
  <si>
    <t>16,9</t>
  </si>
  <si>
    <t>124,5</t>
  </si>
  <si>
    <t>12,18</t>
  </si>
  <si>
    <t>VA-PG-SO</t>
  </si>
  <si>
    <t>17,9</t>
  </si>
  <si>
    <t>17,8</t>
  </si>
  <si>
    <t>8,38</t>
  </si>
  <si>
    <t>DOOD WIT</t>
  </si>
  <si>
    <t>STAART KWIJT</t>
  </si>
  <si>
    <t>4 COP</t>
  </si>
  <si>
    <t>9 COP</t>
  </si>
  <si>
    <t>19,1</t>
  </si>
  <si>
    <t>15,61</t>
  </si>
  <si>
    <t>F++</t>
  </si>
  <si>
    <t>SPLINTER</t>
  </si>
  <si>
    <t>VA_PG_PA</t>
  </si>
  <si>
    <t>8 COP</t>
  </si>
  <si>
    <t>13,7</t>
  </si>
  <si>
    <t>97,5</t>
  </si>
  <si>
    <t>10,13</t>
  </si>
  <si>
    <t>11,5</t>
  </si>
  <si>
    <t>91,3</t>
  </si>
  <si>
    <t>9,88</t>
  </si>
  <si>
    <t>01h45-04h00</t>
  </si>
  <si>
    <t>ZEEPIER</t>
  </si>
  <si>
    <t>11,7</t>
  </si>
  <si>
    <t>8,02</t>
  </si>
  <si>
    <t>11,9</t>
  </si>
  <si>
    <t>8,09</t>
  </si>
  <si>
    <t>8,04</t>
  </si>
  <si>
    <t>11,6</t>
  </si>
  <si>
    <t>GEKLEURD</t>
  </si>
  <si>
    <t>CLADOCEREN</t>
  </si>
  <si>
    <t>gekleurd</t>
  </si>
  <si>
    <t>GEKREUKELD FOTO</t>
  </si>
  <si>
    <t>OSTRACODEN FOTO</t>
  </si>
  <si>
    <t>23h45-02h30</t>
  </si>
  <si>
    <t>70,1</t>
  </si>
  <si>
    <t>7,12</t>
  </si>
  <si>
    <t>18,4</t>
  </si>
  <si>
    <t>15,7</t>
  </si>
  <si>
    <t>8,1</t>
  </si>
  <si>
    <t>18,2</t>
  </si>
  <si>
    <t>17,6</t>
  </si>
  <si>
    <t>16,3</t>
  </si>
  <si>
    <t>17,7</t>
  </si>
  <si>
    <t>14,7</t>
  </si>
  <si>
    <t>19,2</t>
  </si>
  <si>
    <t>54,1</t>
  </si>
  <si>
    <t>5,9</t>
  </si>
  <si>
    <t>15,3</t>
  </si>
  <si>
    <t>3,86</t>
  </si>
  <si>
    <t>60,4</t>
  </si>
  <si>
    <t>6,22</t>
  </si>
  <si>
    <t>43,7</t>
  </si>
  <si>
    <t>4,44</t>
  </si>
  <si>
    <t>62,8</t>
  </si>
  <si>
    <t>6,33</t>
  </si>
  <si>
    <t>47,1</t>
  </si>
  <si>
    <t>4,53</t>
  </si>
  <si>
    <t>14,3</t>
  </si>
  <si>
    <t>71,1</t>
  </si>
  <si>
    <t>7,29</t>
  </si>
  <si>
    <t>39,6</t>
  </si>
  <si>
    <t>4,11</t>
  </si>
  <si>
    <t>69,5</t>
  </si>
  <si>
    <t>7,14</t>
  </si>
  <si>
    <t>43,9</t>
  </si>
  <si>
    <t>4,6</t>
  </si>
  <si>
    <t>63,6</t>
  </si>
  <si>
    <t>6,29</t>
  </si>
  <si>
    <t>15,6</t>
  </si>
  <si>
    <t>34,1</t>
  </si>
  <si>
    <t>3,42</t>
  </si>
  <si>
    <t>13,6</t>
  </si>
  <si>
    <t>84,5</t>
  </si>
  <si>
    <t>8,8</t>
  </si>
  <si>
    <t>46,3</t>
  </si>
  <si>
    <t>4,28</t>
  </si>
  <si>
    <t>83,4</t>
  </si>
  <si>
    <t>8,57</t>
  </si>
  <si>
    <t>33,3</t>
  </si>
  <si>
    <t>3,49</t>
  </si>
  <si>
    <t>84,3</t>
  </si>
  <si>
    <t>8,77</t>
  </si>
  <si>
    <t>50,4</t>
  </si>
  <si>
    <t>5,14</t>
  </si>
  <si>
    <t>kwetsuur kop</t>
  </si>
  <si>
    <t>cOP</t>
  </si>
  <si>
    <t>WONDE OOG</t>
  </si>
  <si>
    <t>GEKRONKELD FOTO</t>
  </si>
  <si>
    <t>5,58</t>
  </si>
  <si>
    <t>12,7</t>
  </si>
  <si>
    <t>1,25</t>
  </si>
  <si>
    <t>12,9</t>
  </si>
  <si>
    <t>1,35</t>
  </si>
  <si>
    <t>16,7</t>
  </si>
  <si>
    <t>61,8</t>
  </si>
  <si>
    <t>1,54</t>
  </si>
  <si>
    <t>112,9</t>
  </si>
  <si>
    <t>10,68</t>
  </si>
  <si>
    <t>69,8</t>
  </si>
  <si>
    <t>6,59</t>
  </si>
  <si>
    <t>1,1</t>
  </si>
  <si>
    <t>18,1</t>
  </si>
  <si>
    <t>74,5</t>
  </si>
  <si>
    <t>6,95</t>
  </si>
  <si>
    <t>1,05</t>
  </si>
  <si>
    <t>72,4</t>
  </si>
  <si>
    <t>6,8</t>
  </si>
  <si>
    <t>1,45</t>
  </si>
  <si>
    <t>17,3</t>
  </si>
  <si>
    <t>56,5</t>
  </si>
  <si>
    <t>5,6</t>
  </si>
  <si>
    <t>42,8</t>
  </si>
  <si>
    <t>4,12</t>
  </si>
  <si>
    <t>38,5</t>
  </si>
  <si>
    <t>3,63</t>
  </si>
  <si>
    <t>18,6</t>
  </si>
  <si>
    <t>31,5</t>
  </si>
  <si>
    <t>17,4</t>
  </si>
  <si>
    <t>37,6</t>
  </si>
  <si>
    <t>22,4</t>
  </si>
  <si>
    <t>139,5</t>
  </si>
  <si>
    <t>20,5</t>
  </si>
  <si>
    <t>124,6</t>
  </si>
  <si>
    <t>11,28</t>
  </si>
  <si>
    <t>96,5</t>
  </si>
  <si>
    <t>8,6</t>
  </si>
  <si>
    <t>121,7</t>
  </si>
  <si>
    <t>19,9</t>
  </si>
  <si>
    <t>71,3</t>
  </si>
  <si>
    <t>6,63</t>
  </si>
  <si>
    <t>20,6</t>
  </si>
  <si>
    <t>123,8</t>
  </si>
  <si>
    <t>11,15</t>
  </si>
  <si>
    <t>20,1</t>
  </si>
  <si>
    <t>93,1</t>
  </si>
  <si>
    <t>8,45</t>
  </si>
  <si>
    <t>20,9</t>
  </si>
  <si>
    <t>128,3</t>
  </si>
  <si>
    <t>11,56</t>
  </si>
  <si>
    <t>91,5</t>
  </si>
  <si>
    <t>128,2</t>
  </si>
  <si>
    <t>11,53</t>
  </si>
  <si>
    <t>20,2</t>
  </si>
  <si>
    <t>8,91</t>
  </si>
  <si>
    <t>6,78</t>
  </si>
  <si>
    <t>121,5</t>
  </si>
  <si>
    <t>11,02</t>
  </si>
  <si>
    <t>20,4</t>
  </si>
  <si>
    <t>8,27</t>
  </si>
  <si>
    <t>92,7</t>
  </si>
  <si>
    <t>8,52</t>
  </si>
  <si>
    <t>104,7</t>
  </si>
  <si>
    <t>9,52</t>
  </si>
  <si>
    <t>117,4</t>
  </si>
  <si>
    <t>10,62</t>
  </si>
  <si>
    <t>20,7</t>
  </si>
  <si>
    <t>123,4</t>
  </si>
  <si>
    <t>11,06</t>
  </si>
  <si>
    <t>10,65</t>
  </si>
  <si>
    <t>KRONKEL FOTO</t>
  </si>
  <si>
    <t>WATERVLOOIEN</t>
  </si>
  <si>
    <t>KNIK RUG</t>
  </si>
  <si>
    <t>1 OOG BLIND</t>
  </si>
  <si>
    <t>GA-SN</t>
  </si>
  <si>
    <t xml:space="preserve">chla </t>
  </si>
  <si>
    <t>aantallen</t>
  </si>
  <si>
    <t>EL</t>
  </si>
  <si>
    <t>AS</t>
  </si>
  <si>
    <t>LN</t>
  </si>
  <si>
    <t>numbers</t>
  </si>
  <si>
    <t>mean length (mm)</t>
  </si>
  <si>
    <t>mean weight (mg)</t>
  </si>
  <si>
    <t>mean condition (Kn)</t>
  </si>
  <si>
    <t>week n°</t>
  </si>
  <si>
    <t>total</t>
  </si>
  <si>
    <t>N dagen afvoer week voordien</t>
  </si>
  <si>
    <t xml:space="preserve">week n° </t>
  </si>
  <si>
    <t>GG</t>
  </si>
  <si>
    <t>pumping station</t>
  </si>
  <si>
    <t>middle canal</t>
  </si>
  <si>
    <t>tidal barrier</t>
  </si>
  <si>
    <t>estuary</t>
  </si>
  <si>
    <t>Kruisnetten</t>
  </si>
  <si>
    <t>Palinggoten</t>
  </si>
  <si>
    <t>Sleepnetten Ijzer</t>
  </si>
  <si>
    <t>Substraten-GA</t>
  </si>
  <si>
    <t>Substraten-VA</t>
  </si>
  <si>
    <t>SN</t>
  </si>
  <si>
    <t>juv. Brasem</t>
  </si>
  <si>
    <t>2016 PA</t>
  </si>
  <si>
    <t>2017 PA</t>
  </si>
  <si>
    <t>2018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</si>
</sst>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Helvetica"/>
      <family val="2"/>
    </font>
    <font>
      <i/>
      <sz val="10"/>
      <color rgb="FF000000"/>
      <name val="Helvetic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Border="1"/>
    <xf numFmtId="1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5" fillId="0" borderId="0" xfId="0" applyFont="1"/>
    <xf numFmtId="14" fontId="0" fillId="0" borderId="0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4" fontId="0" fillId="0" borderId="1" xfId="0" applyNumberFormat="1" applyFont="1" applyBorder="1"/>
    <xf numFmtId="0" fontId="1" fillId="0" borderId="0" xfId="0" applyFont="1" applyFill="1" applyBorder="1"/>
    <xf numFmtId="0" fontId="6" fillId="0" borderId="1" xfId="0" applyFont="1" applyBorder="1"/>
    <xf numFmtId="14" fontId="0" fillId="0" borderId="2" xfId="0" applyNumberForma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Border="1"/>
    <xf numFmtId="0" fontId="7" fillId="0" borderId="0" xfId="0" applyFont="1"/>
    <xf numFmtId="0" fontId="0" fillId="0" borderId="0" xfId="0" quotePrefix="1"/>
    <xf numFmtId="0" fontId="8" fillId="0" borderId="1" xfId="0" applyFont="1" applyBorder="1"/>
    <xf numFmtId="0" fontId="0" fillId="0" borderId="1" xfId="0" applyFont="1" applyFill="1" applyBorder="1"/>
    <xf numFmtId="0" fontId="7" fillId="0" borderId="0" xfId="0" applyFont="1" applyBorder="1"/>
    <xf numFmtId="1" fontId="7" fillId="0" borderId="1" xfId="0" applyNumberFormat="1" applyFont="1" applyBorder="1"/>
    <xf numFmtId="14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4" fillId="2" borderId="0" xfId="0" applyFont="1" applyFill="1"/>
    <xf numFmtId="0" fontId="4" fillId="2" borderId="0" xfId="0" applyFont="1" applyFill="1" applyBorder="1"/>
    <xf numFmtId="1" fontId="0" fillId="0" borderId="0" xfId="0" applyNumberFormat="1" applyBorder="1"/>
    <xf numFmtId="0" fontId="7" fillId="0" borderId="1" xfId="0" applyFont="1" applyFill="1" applyBorder="1"/>
    <xf numFmtId="0" fontId="0" fillId="0" borderId="0" xfId="0" applyFon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14" fontId="0" fillId="0" borderId="0" xfId="0" applyNumberFormat="1" applyFont="1" applyBorder="1"/>
    <xf numFmtId="0" fontId="0" fillId="0" borderId="0" xfId="0" applyFont="1" applyBorder="1"/>
    <xf numFmtId="0" fontId="9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Font="1" applyBorder="1"/>
    <xf numFmtId="0" fontId="11" fillId="0" borderId="0" xfId="0" applyFont="1"/>
    <xf numFmtId="1" fontId="4" fillId="0" borderId="0" xfId="0" applyNumberFormat="1" applyFont="1"/>
    <xf numFmtId="0" fontId="12" fillId="0" borderId="0" xfId="0" applyFont="1"/>
    <xf numFmtId="0" fontId="7" fillId="0" borderId="1" xfId="0" applyFont="1" applyBorder="1"/>
    <xf numFmtId="0" fontId="13" fillId="0" borderId="0" xfId="0" applyFont="1"/>
    <xf numFmtId="2" fontId="0" fillId="0" borderId="0" xfId="0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0" fontId="5" fillId="0" borderId="0" xfId="0" applyFont="1" applyFill="1" applyBorder="1"/>
    <xf numFmtId="2" fontId="0" fillId="0" borderId="0" xfId="0" applyNumberFormat="1" applyBorder="1"/>
    <xf numFmtId="0" fontId="7" fillId="0" borderId="0" xfId="0" applyFont="1" applyFill="1" applyBorder="1"/>
    <xf numFmtId="165" fontId="0" fillId="0" borderId="0" xfId="0" applyNumberFormat="1" applyBorder="1"/>
    <xf numFmtId="14" fontId="14" fillId="0" borderId="0" xfId="0" applyNumberFormat="1" applyFont="1"/>
    <xf numFmtId="14" fontId="14" fillId="0" borderId="0" xfId="0" applyNumberFormat="1" applyFont="1" applyBorder="1"/>
    <xf numFmtId="16" fontId="0" fillId="0" borderId="0" xfId="0" applyNumberFormat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Border="1"/>
    <xf numFmtId="0" fontId="1" fillId="0" borderId="6" xfId="0" applyFont="1" applyFill="1" applyBorder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5" xfId="0" applyBorder="1"/>
    <xf numFmtId="0" fontId="0" fillId="0" borderId="2" xfId="0" applyFill="1" applyBorder="1" applyAlignment="1">
      <alignment horizontal="right"/>
    </xf>
    <xf numFmtId="3" fontId="0" fillId="0" borderId="2" xfId="0" applyNumberFormat="1" applyBorder="1"/>
    <xf numFmtId="3" fontId="0" fillId="0" borderId="0" xfId="0" applyNumberFormat="1"/>
    <xf numFmtId="1" fontId="7" fillId="0" borderId="0" xfId="0" applyNumberFormat="1" applyFont="1"/>
    <xf numFmtId="15" fontId="0" fillId="0" borderId="0" xfId="0" applyNumberFormat="1"/>
    <xf numFmtId="1" fontId="1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15" fillId="0" borderId="0" xfId="0" applyNumberFormat="1" applyFont="1"/>
    <xf numFmtId="164" fontId="7" fillId="0" borderId="0" xfId="0" applyNumberFormat="1" applyFont="1" applyFill="1" applyBorder="1"/>
    <xf numFmtId="165" fontId="7" fillId="0" borderId="0" xfId="0" applyNumberFormat="1" applyFont="1" applyBorder="1"/>
    <xf numFmtId="4" fontId="0" fillId="0" borderId="0" xfId="0" applyNumberFormat="1" applyFill="1" applyBorder="1" applyAlignment="1">
      <alignment horizontal="right"/>
    </xf>
    <xf numFmtId="4" fontId="0" fillId="0" borderId="0" xfId="0" applyNumberFormat="1" applyFill="1" applyBorder="1"/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Border="1" applyAlignment="1">
      <alignment horizontal="right"/>
    </xf>
    <xf numFmtId="4" fontId="7" fillId="0" borderId="0" xfId="0" applyNumberFormat="1" applyFont="1" applyFill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" fontId="0" fillId="0" borderId="4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1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1" fontId="0" fillId="0" borderId="4" xfId="0" applyNumberFormat="1" applyBorder="1" applyAlignment="1">
      <alignment horizontal="center"/>
    </xf>
    <xf numFmtId="0" fontId="11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11" fillId="0" borderId="4" xfId="0" applyNumberFormat="1" applyFont="1" applyBorder="1" applyAlignment="1">
      <alignment horizontal="right"/>
    </xf>
    <xf numFmtId="0" fontId="0" fillId="0" borderId="0" xfId="0" applyFont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" fontId="11" fillId="0" borderId="5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11" fillId="0" borderId="5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66FF"/>
      <color rgb="FFEC70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6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72787496595123091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fysico-chemie'!$B$4:$B$43</c:f>
              <c:numCache>
                <c:formatCode>General</c:formatCode>
                <c:ptCount val="40"/>
                <c:pt idx="0">
                  <c:v>6.06</c:v>
                </c:pt>
                <c:pt idx="1">
                  <c:v>6.6</c:v>
                </c:pt>
                <c:pt idx="2">
                  <c:v>6.71</c:v>
                </c:pt>
                <c:pt idx="3">
                  <c:v>9.51</c:v>
                </c:pt>
                <c:pt idx="4">
                  <c:v>9.68</c:v>
                </c:pt>
                <c:pt idx="5">
                  <c:v>10.48</c:v>
                </c:pt>
                <c:pt idx="6">
                  <c:v>12.8</c:v>
                </c:pt>
                <c:pt idx="7">
                  <c:v>14.47</c:v>
                </c:pt>
                <c:pt idx="8">
                  <c:v>11.3</c:v>
                </c:pt>
                <c:pt idx="9">
                  <c:v>13.24</c:v>
                </c:pt>
                <c:pt idx="10">
                  <c:v>18.239999999999998</c:v>
                </c:pt>
                <c:pt idx="13">
                  <c:v>6.3</c:v>
                </c:pt>
                <c:pt idx="14">
                  <c:v>8.6</c:v>
                </c:pt>
                <c:pt idx="15">
                  <c:v>11</c:v>
                </c:pt>
                <c:pt idx="16">
                  <c:v>10.1</c:v>
                </c:pt>
                <c:pt idx="17">
                  <c:v>13</c:v>
                </c:pt>
                <c:pt idx="18">
                  <c:v>12.7</c:v>
                </c:pt>
                <c:pt idx="19">
                  <c:v>12.2</c:v>
                </c:pt>
                <c:pt idx="20">
                  <c:v>13.3</c:v>
                </c:pt>
                <c:pt idx="21">
                  <c:v>12.7</c:v>
                </c:pt>
                <c:pt idx="22">
                  <c:v>13.7</c:v>
                </c:pt>
                <c:pt idx="23">
                  <c:v>16.100000000000001</c:v>
                </c:pt>
                <c:pt idx="24">
                  <c:v>16.600000000000001</c:v>
                </c:pt>
                <c:pt idx="25">
                  <c:v>20</c:v>
                </c:pt>
                <c:pt idx="28" formatCode="0.0">
                  <c:v>7</c:v>
                </c:pt>
                <c:pt idx="29">
                  <c:v>4.9000000000000004</c:v>
                </c:pt>
                <c:pt idx="30">
                  <c:v>6.6</c:v>
                </c:pt>
                <c:pt idx="31">
                  <c:v>9.3000000000000007</c:v>
                </c:pt>
                <c:pt idx="32">
                  <c:v>11.8</c:v>
                </c:pt>
                <c:pt idx="33">
                  <c:v>13.5</c:v>
                </c:pt>
                <c:pt idx="34">
                  <c:v>15</c:v>
                </c:pt>
                <c:pt idx="35">
                  <c:v>11.7</c:v>
                </c:pt>
                <c:pt idx="36">
                  <c:v>16.399999999999999</c:v>
                </c:pt>
                <c:pt idx="37">
                  <c:v>14.7</c:v>
                </c:pt>
                <c:pt idx="38">
                  <c:v>18.600000000000001</c:v>
                </c:pt>
                <c:pt idx="39">
                  <c:v>20.5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5-48B5-B77E-566CE66B6797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fysico-chemie'!$F$4:$F$43</c:f>
              <c:numCache>
                <c:formatCode>General</c:formatCode>
                <c:ptCount val="40"/>
                <c:pt idx="0">
                  <c:v>6.2</c:v>
                </c:pt>
                <c:pt idx="1">
                  <c:v>6.6</c:v>
                </c:pt>
                <c:pt idx="2">
                  <c:v>6.68</c:v>
                </c:pt>
                <c:pt idx="3">
                  <c:v>9.4700000000000006</c:v>
                </c:pt>
                <c:pt idx="4">
                  <c:v>10.039999999999999</c:v>
                </c:pt>
                <c:pt idx="5">
                  <c:v>10.4</c:v>
                </c:pt>
                <c:pt idx="6">
                  <c:v>12.78</c:v>
                </c:pt>
                <c:pt idx="7">
                  <c:v>14.56</c:v>
                </c:pt>
                <c:pt idx="8">
                  <c:v>11.08</c:v>
                </c:pt>
                <c:pt idx="9">
                  <c:v>12.95</c:v>
                </c:pt>
                <c:pt idx="10">
                  <c:v>16.489999999999998</c:v>
                </c:pt>
                <c:pt idx="13">
                  <c:v>6.4</c:v>
                </c:pt>
                <c:pt idx="14">
                  <c:v>8.6</c:v>
                </c:pt>
                <c:pt idx="15">
                  <c:v>11.1</c:v>
                </c:pt>
                <c:pt idx="16">
                  <c:v>10.1</c:v>
                </c:pt>
                <c:pt idx="17">
                  <c:v>12.7</c:v>
                </c:pt>
                <c:pt idx="18">
                  <c:v>12.7</c:v>
                </c:pt>
                <c:pt idx="19">
                  <c:v>12.3</c:v>
                </c:pt>
                <c:pt idx="20">
                  <c:v>13.2</c:v>
                </c:pt>
                <c:pt idx="21">
                  <c:v>12.9</c:v>
                </c:pt>
                <c:pt idx="22">
                  <c:v>13.5</c:v>
                </c:pt>
                <c:pt idx="23">
                  <c:v>16</c:v>
                </c:pt>
                <c:pt idx="24">
                  <c:v>16.5</c:v>
                </c:pt>
                <c:pt idx="25">
                  <c:v>19.899999999999999</c:v>
                </c:pt>
                <c:pt idx="28" formatCode="0.0">
                  <c:v>7</c:v>
                </c:pt>
                <c:pt idx="29">
                  <c:v>4.9000000000000004</c:v>
                </c:pt>
                <c:pt idx="30">
                  <c:v>6.2</c:v>
                </c:pt>
                <c:pt idx="31">
                  <c:v>9.5</c:v>
                </c:pt>
                <c:pt idx="32">
                  <c:v>12</c:v>
                </c:pt>
                <c:pt idx="33">
                  <c:v>13.3</c:v>
                </c:pt>
                <c:pt idx="34">
                  <c:v>15.5</c:v>
                </c:pt>
                <c:pt idx="35">
                  <c:v>11.7</c:v>
                </c:pt>
                <c:pt idx="36">
                  <c:v>17.7</c:v>
                </c:pt>
                <c:pt idx="37">
                  <c:v>14.7</c:v>
                </c:pt>
                <c:pt idx="38">
                  <c:v>18.2</c:v>
                </c:pt>
                <c:pt idx="39">
                  <c:v>20.5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5-48B5-B77E-566CE66B6797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fysico-chemie'!$C$4:$C$43</c:f>
              <c:numCache>
                <c:formatCode>General</c:formatCode>
                <c:ptCount val="40"/>
                <c:pt idx="0">
                  <c:v>5.92</c:v>
                </c:pt>
                <c:pt idx="1">
                  <c:v>6.42</c:v>
                </c:pt>
                <c:pt idx="2">
                  <c:v>6.83</c:v>
                </c:pt>
                <c:pt idx="3">
                  <c:v>8.8800000000000008</c:v>
                </c:pt>
                <c:pt idx="4">
                  <c:v>9.56</c:v>
                </c:pt>
                <c:pt idx="5">
                  <c:v>10.48</c:v>
                </c:pt>
                <c:pt idx="6">
                  <c:v>12.5</c:v>
                </c:pt>
                <c:pt idx="7">
                  <c:v>12.99</c:v>
                </c:pt>
                <c:pt idx="8">
                  <c:v>10.62</c:v>
                </c:pt>
                <c:pt idx="9">
                  <c:v>12.17</c:v>
                </c:pt>
                <c:pt idx="10">
                  <c:v>16.579999999999998</c:v>
                </c:pt>
                <c:pt idx="13">
                  <c:v>6.3</c:v>
                </c:pt>
                <c:pt idx="14">
                  <c:v>8.6</c:v>
                </c:pt>
                <c:pt idx="15">
                  <c:v>11</c:v>
                </c:pt>
                <c:pt idx="16">
                  <c:v>9.6999999999999993</c:v>
                </c:pt>
                <c:pt idx="17">
                  <c:v>11.5</c:v>
                </c:pt>
                <c:pt idx="18">
                  <c:v>13</c:v>
                </c:pt>
                <c:pt idx="19">
                  <c:v>13.9</c:v>
                </c:pt>
                <c:pt idx="20">
                  <c:v>13.7</c:v>
                </c:pt>
                <c:pt idx="21">
                  <c:v>13</c:v>
                </c:pt>
                <c:pt idx="22">
                  <c:v>13.7</c:v>
                </c:pt>
                <c:pt idx="23">
                  <c:v>15.1</c:v>
                </c:pt>
                <c:pt idx="24">
                  <c:v>16.7</c:v>
                </c:pt>
                <c:pt idx="25">
                  <c:v>18.899999999999999</c:v>
                </c:pt>
                <c:pt idx="28" formatCode="0.0">
                  <c:v>7</c:v>
                </c:pt>
                <c:pt idx="29">
                  <c:v>4.8</c:v>
                </c:pt>
                <c:pt idx="30">
                  <c:v>6.5</c:v>
                </c:pt>
                <c:pt idx="31">
                  <c:v>9.4</c:v>
                </c:pt>
                <c:pt idx="32">
                  <c:v>11.7</c:v>
                </c:pt>
                <c:pt idx="33">
                  <c:v>13.4</c:v>
                </c:pt>
                <c:pt idx="34">
                  <c:v>14.4</c:v>
                </c:pt>
                <c:pt idx="35">
                  <c:v>11.6</c:v>
                </c:pt>
                <c:pt idx="36">
                  <c:v>14.6</c:v>
                </c:pt>
                <c:pt idx="37">
                  <c:v>15.4</c:v>
                </c:pt>
                <c:pt idx="38">
                  <c:v>17.399999999999999</c:v>
                </c:pt>
                <c:pt idx="3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E5-48B5-B77E-566CE66B6797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fysico-chemie'!$G$4:$G$43</c:f>
              <c:numCache>
                <c:formatCode>General</c:formatCode>
                <c:ptCount val="40"/>
                <c:pt idx="0">
                  <c:v>5.98</c:v>
                </c:pt>
                <c:pt idx="1">
                  <c:v>6.35</c:v>
                </c:pt>
                <c:pt idx="2">
                  <c:v>6.8</c:v>
                </c:pt>
                <c:pt idx="3">
                  <c:v>8.8000000000000007</c:v>
                </c:pt>
                <c:pt idx="4">
                  <c:v>9.66</c:v>
                </c:pt>
                <c:pt idx="5">
                  <c:v>10.67</c:v>
                </c:pt>
                <c:pt idx="6">
                  <c:v>12.49</c:v>
                </c:pt>
                <c:pt idx="7">
                  <c:v>12.9</c:v>
                </c:pt>
                <c:pt idx="8">
                  <c:v>10.4</c:v>
                </c:pt>
                <c:pt idx="9">
                  <c:v>11.8</c:v>
                </c:pt>
                <c:pt idx="10">
                  <c:v>16.2</c:v>
                </c:pt>
                <c:pt idx="13">
                  <c:v>6.4</c:v>
                </c:pt>
                <c:pt idx="14">
                  <c:v>8.6</c:v>
                </c:pt>
                <c:pt idx="15">
                  <c:v>11.1</c:v>
                </c:pt>
                <c:pt idx="16">
                  <c:v>9.6999999999999993</c:v>
                </c:pt>
                <c:pt idx="17">
                  <c:v>11.3</c:v>
                </c:pt>
                <c:pt idx="18">
                  <c:v>13.1</c:v>
                </c:pt>
                <c:pt idx="19">
                  <c:v>13.9</c:v>
                </c:pt>
                <c:pt idx="20">
                  <c:v>13.7</c:v>
                </c:pt>
                <c:pt idx="21">
                  <c:v>12.8</c:v>
                </c:pt>
                <c:pt idx="22">
                  <c:v>13.9</c:v>
                </c:pt>
                <c:pt idx="23">
                  <c:v>15</c:v>
                </c:pt>
                <c:pt idx="24">
                  <c:v>16.399999999999999</c:v>
                </c:pt>
                <c:pt idx="25">
                  <c:v>19.399999999999999</c:v>
                </c:pt>
                <c:pt idx="28" formatCode="0.0">
                  <c:v>7</c:v>
                </c:pt>
                <c:pt idx="29">
                  <c:v>4.8</c:v>
                </c:pt>
                <c:pt idx="30">
                  <c:v>6.3</c:v>
                </c:pt>
                <c:pt idx="31">
                  <c:v>9.4</c:v>
                </c:pt>
                <c:pt idx="32">
                  <c:v>11.5</c:v>
                </c:pt>
                <c:pt idx="33">
                  <c:v>13.3</c:v>
                </c:pt>
                <c:pt idx="34">
                  <c:v>14.6</c:v>
                </c:pt>
                <c:pt idx="35">
                  <c:v>11.7</c:v>
                </c:pt>
                <c:pt idx="36">
                  <c:v>14.7</c:v>
                </c:pt>
                <c:pt idx="37">
                  <c:v>15.3</c:v>
                </c:pt>
                <c:pt idx="38">
                  <c:v>17.3</c:v>
                </c:pt>
                <c:pt idx="39">
                  <c:v>19.899999999999999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5-48B5-B77E-566CE66B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702080"/>
        <c:axId val="142703616"/>
      </c:lineChart>
      <c:catAx>
        <c:axId val="142702080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3180000"/>
          <a:lstStyle/>
          <a:p>
            <a:pPr>
              <a:defRPr/>
            </a:pPr>
            <a:endParaRPr lang="nl-BE"/>
          </a:p>
        </c:txPr>
        <c:crossAx val="142703616"/>
        <c:crossesAt val="4"/>
        <c:auto val="0"/>
        <c:lblAlgn val="ctr"/>
        <c:lblOffset val="100"/>
        <c:noMultiLvlLbl val="1"/>
      </c:catAx>
      <c:valAx>
        <c:axId val="142703616"/>
        <c:scaling>
          <c:orientation val="minMax"/>
          <c:max val="22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°C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702080"/>
        <c:crosses val="autoZero"/>
        <c:crossBetween val="between"/>
        <c:majorUnit val="3"/>
        <c:minorUnit val="1"/>
      </c:valAx>
    </c:plotArea>
    <c:legend>
      <c:legendPos val="r"/>
      <c:layout>
        <c:manualLayout>
          <c:xMode val="edge"/>
          <c:yMode val="edge"/>
          <c:x val="0.15664962954383474"/>
          <c:y val="6.0370323350441291E-2"/>
          <c:w val="0.15863532006602626"/>
          <c:h val="0.2642126642505029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7047869463609554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fysico-chemie'!$I$4:$I$43</c:f>
              <c:numCache>
                <c:formatCode>General</c:formatCode>
                <c:ptCount val="40"/>
                <c:pt idx="0">
                  <c:v>6</c:v>
                </c:pt>
                <c:pt idx="1">
                  <c:v>6.6</c:v>
                </c:pt>
                <c:pt idx="2">
                  <c:v>6.7</c:v>
                </c:pt>
                <c:pt idx="3">
                  <c:v>9.35</c:v>
                </c:pt>
                <c:pt idx="4">
                  <c:v>9.8000000000000007</c:v>
                </c:pt>
                <c:pt idx="5">
                  <c:v>10.28</c:v>
                </c:pt>
                <c:pt idx="6">
                  <c:v>12.17</c:v>
                </c:pt>
                <c:pt idx="7">
                  <c:v>14.45</c:v>
                </c:pt>
                <c:pt idx="8">
                  <c:v>10.8</c:v>
                </c:pt>
                <c:pt idx="9">
                  <c:v>13.41</c:v>
                </c:pt>
                <c:pt idx="10">
                  <c:v>17.71</c:v>
                </c:pt>
                <c:pt idx="13">
                  <c:v>6.4</c:v>
                </c:pt>
                <c:pt idx="14">
                  <c:v>8.8000000000000007</c:v>
                </c:pt>
                <c:pt idx="15">
                  <c:v>11</c:v>
                </c:pt>
                <c:pt idx="16">
                  <c:v>9.9</c:v>
                </c:pt>
                <c:pt idx="17">
                  <c:v>12.6</c:v>
                </c:pt>
                <c:pt idx="18">
                  <c:v>12.4</c:v>
                </c:pt>
                <c:pt idx="19">
                  <c:v>13.5</c:v>
                </c:pt>
                <c:pt idx="20">
                  <c:v>13.4</c:v>
                </c:pt>
                <c:pt idx="21">
                  <c:v>12.4</c:v>
                </c:pt>
                <c:pt idx="22">
                  <c:v>13.2</c:v>
                </c:pt>
                <c:pt idx="23">
                  <c:v>16</c:v>
                </c:pt>
                <c:pt idx="24">
                  <c:v>16.399999999999999</c:v>
                </c:pt>
                <c:pt idx="25">
                  <c:v>19.7</c:v>
                </c:pt>
                <c:pt idx="28" formatCode="0.0">
                  <c:v>7</c:v>
                </c:pt>
                <c:pt idx="29">
                  <c:v>4.9000000000000004</c:v>
                </c:pt>
                <c:pt idx="30">
                  <c:v>6.5</c:v>
                </c:pt>
                <c:pt idx="31">
                  <c:v>9.3000000000000007</c:v>
                </c:pt>
                <c:pt idx="32">
                  <c:v>11.9</c:v>
                </c:pt>
                <c:pt idx="33">
                  <c:v>13.5</c:v>
                </c:pt>
                <c:pt idx="34">
                  <c:v>16.399999999999999</c:v>
                </c:pt>
                <c:pt idx="35">
                  <c:v>11.8</c:v>
                </c:pt>
                <c:pt idx="36">
                  <c:v>16.3</c:v>
                </c:pt>
                <c:pt idx="37">
                  <c:v>14.4</c:v>
                </c:pt>
                <c:pt idx="38">
                  <c:v>18.2</c:v>
                </c:pt>
                <c:pt idx="39">
                  <c:v>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F-4718-83E6-7FFDA96313B0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fysico-chemie'!$M$4:$M$43</c:f>
              <c:numCache>
                <c:formatCode>General</c:formatCode>
                <c:ptCount val="40"/>
                <c:pt idx="0">
                  <c:v>6.14</c:v>
                </c:pt>
                <c:pt idx="1">
                  <c:v>6.67</c:v>
                </c:pt>
                <c:pt idx="2">
                  <c:v>6.7</c:v>
                </c:pt>
                <c:pt idx="3">
                  <c:v>9.39</c:v>
                </c:pt>
                <c:pt idx="4">
                  <c:v>9.7899999999999991</c:v>
                </c:pt>
                <c:pt idx="5">
                  <c:v>10.17</c:v>
                </c:pt>
                <c:pt idx="6">
                  <c:v>12.79</c:v>
                </c:pt>
                <c:pt idx="7">
                  <c:v>14</c:v>
                </c:pt>
                <c:pt idx="8">
                  <c:v>10.8</c:v>
                </c:pt>
                <c:pt idx="9">
                  <c:v>13.21</c:v>
                </c:pt>
                <c:pt idx="10">
                  <c:v>17.77</c:v>
                </c:pt>
                <c:pt idx="13">
                  <c:v>6.3</c:v>
                </c:pt>
                <c:pt idx="14">
                  <c:v>8.8000000000000007</c:v>
                </c:pt>
                <c:pt idx="15">
                  <c:v>11.1</c:v>
                </c:pt>
                <c:pt idx="16">
                  <c:v>9.9</c:v>
                </c:pt>
                <c:pt idx="17">
                  <c:v>12.6</c:v>
                </c:pt>
                <c:pt idx="18">
                  <c:v>12.3</c:v>
                </c:pt>
                <c:pt idx="19">
                  <c:v>12.9</c:v>
                </c:pt>
                <c:pt idx="20">
                  <c:v>13.5</c:v>
                </c:pt>
                <c:pt idx="21">
                  <c:v>12.5</c:v>
                </c:pt>
                <c:pt idx="22">
                  <c:v>13.2</c:v>
                </c:pt>
                <c:pt idx="23">
                  <c:v>16.2</c:v>
                </c:pt>
                <c:pt idx="24">
                  <c:v>16.5</c:v>
                </c:pt>
                <c:pt idx="25">
                  <c:v>19.5</c:v>
                </c:pt>
                <c:pt idx="28" formatCode="0.0">
                  <c:v>7</c:v>
                </c:pt>
                <c:pt idx="29">
                  <c:v>4.8</c:v>
                </c:pt>
                <c:pt idx="30">
                  <c:v>6.6</c:v>
                </c:pt>
                <c:pt idx="31">
                  <c:v>9.5</c:v>
                </c:pt>
                <c:pt idx="32">
                  <c:v>11.9</c:v>
                </c:pt>
                <c:pt idx="33">
                  <c:v>13.5</c:v>
                </c:pt>
                <c:pt idx="34">
                  <c:v>16.100000000000001</c:v>
                </c:pt>
                <c:pt idx="35">
                  <c:v>11.7</c:v>
                </c:pt>
                <c:pt idx="36">
                  <c:v>18.2</c:v>
                </c:pt>
                <c:pt idx="37">
                  <c:v>14.3</c:v>
                </c:pt>
                <c:pt idx="38">
                  <c:v>18.2</c:v>
                </c:pt>
                <c:pt idx="39">
                  <c:v>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F-4718-83E6-7FFDA96313B0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fysico-chemie'!$J$4:$J$43</c:f>
              <c:numCache>
                <c:formatCode>General</c:formatCode>
                <c:ptCount val="40"/>
                <c:pt idx="0">
                  <c:v>5.86</c:v>
                </c:pt>
                <c:pt idx="1">
                  <c:v>6.4</c:v>
                </c:pt>
                <c:pt idx="2">
                  <c:v>6.98</c:v>
                </c:pt>
                <c:pt idx="3">
                  <c:v>8.76</c:v>
                </c:pt>
                <c:pt idx="4">
                  <c:v>9.51</c:v>
                </c:pt>
                <c:pt idx="5">
                  <c:v>10.76</c:v>
                </c:pt>
                <c:pt idx="6">
                  <c:v>12.33</c:v>
                </c:pt>
                <c:pt idx="7">
                  <c:v>12.81</c:v>
                </c:pt>
                <c:pt idx="8">
                  <c:v>10.5</c:v>
                </c:pt>
                <c:pt idx="9">
                  <c:v>11.86</c:v>
                </c:pt>
                <c:pt idx="10">
                  <c:v>16.329999999999998</c:v>
                </c:pt>
                <c:pt idx="13">
                  <c:v>6.4</c:v>
                </c:pt>
                <c:pt idx="14">
                  <c:v>8.6</c:v>
                </c:pt>
                <c:pt idx="15">
                  <c:v>10.9</c:v>
                </c:pt>
                <c:pt idx="16">
                  <c:v>9.8000000000000007</c:v>
                </c:pt>
                <c:pt idx="17">
                  <c:v>11.2</c:v>
                </c:pt>
                <c:pt idx="18">
                  <c:v>13.2</c:v>
                </c:pt>
                <c:pt idx="19">
                  <c:v>14</c:v>
                </c:pt>
                <c:pt idx="20">
                  <c:v>13.7</c:v>
                </c:pt>
                <c:pt idx="21">
                  <c:v>13.2</c:v>
                </c:pt>
                <c:pt idx="22">
                  <c:v>13.9</c:v>
                </c:pt>
                <c:pt idx="23">
                  <c:v>15.3</c:v>
                </c:pt>
                <c:pt idx="24">
                  <c:v>17</c:v>
                </c:pt>
                <c:pt idx="25">
                  <c:v>18.100000000000001</c:v>
                </c:pt>
                <c:pt idx="28" formatCode="0.0">
                  <c:v>7</c:v>
                </c:pt>
                <c:pt idx="29">
                  <c:v>4.9000000000000004</c:v>
                </c:pt>
                <c:pt idx="30">
                  <c:v>6.7</c:v>
                </c:pt>
                <c:pt idx="31">
                  <c:v>9.1999999999999993</c:v>
                </c:pt>
                <c:pt idx="32">
                  <c:v>11.3</c:v>
                </c:pt>
                <c:pt idx="33">
                  <c:v>13.4</c:v>
                </c:pt>
                <c:pt idx="34">
                  <c:v>15.4</c:v>
                </c:pt>
                <c:pt idx="35">
                  <c:v>11.7</c:v>
                </c:pt>
                <c:pt idx="36">
                  <c:v>14.9</c:v>
                </c:pt>
                <c:pt idx="37">
                  <c:v>15.5</c:v>
                </c:pt>
                <c:pt idx="38">
                  <c:v>12.2</c:v>
                </c:pt>
                <c:pt idx="39">
                  <c:v>20.100000000000001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F-4718-83E6-7FFDA96313B0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fysico-chemie'!$N$4:$N$43</c:f>
              <c:numCache>
                <c:formatCode>General</c:formatCode>
                <c:ptCount val="40"/>
                <c:pt idx="0">
                  <c:v>5.83</c:v>
                </c:pt>
                <c:pt idx="1">
                  <c:v>6.41</c:v>
                </c:pt>
                <c:pt idx="2">
                  <c:v>6.84</c:v>
                </c:pt>
                <c:pt idx="3">
                  <c:v>9.1199999999999992</c:v>
                </c:pt>
                <c:pt idx="4">
                  <c:v>9.81</c:v>
                </c:pt>
                <c:pt idx="5">
                  <c:v>10.52</c:v>
                </c:pt>
                <c:pt idx="6">
                  <c:v>12.81</c:v>
                </c:pt>
                <c:pt idx="7">
                  <c:v>12.66</c:v>
                </c:pt>
                <c:pt idx="8">
                  <c:v>10.61</c:v>
                </c:pt>
                <c:pt idx="9">
                  <c:v>11.58</c:v>
                </c:pt>
                <c:pt idx="10">
                  <c:v>16.43</c:v>
                </c:pt>
                <c:pt idx="13">
                  <c:v>6.3</c:v>
                </c:pt>
                <c:pt idx="14">
                  <c:v>8.6</c:v>
                </c:pt>
                <c:pt idx="15">
                  <c:v>11</c:v>
                </c:pt>
                <c:pt idx="16">
                  <c:v>9.6999999999999993</c:v>
                </c:pt>
                <c:pt idx="17">
                  <c:v>11</c:v>
                </c:pt>
                <c:pt idx="18">
                  <c:v>13.1</c:v>
                </c:pt>
                <c:pt idx="19">
                  <c:v>14.1</c:v>
                </c:pt>
                <c:pt idx="20">
                  <c:v>13.7</c:v>
                </c:pt>
                <c:pt idx="21">
                  <c:v>13.1</c:v>
                </c:pt>
                <c:pt idx="22">
                  <c:v>13.7</c:v>
                </c:pt>
                <c:pt idx="23">
                  <c:v>15.2</c:v>
                </c:pt>
                <c:pt idx="24">
                  <c:v>16.100000000000001</c:v>
                </c:pt>
                <c:pt idx="25">
                  <c:v>18.2</c:v>
                </c:pt>
                <c:pt idx="28" formatCode="0.0">
                  <c:v>7</c:v>
                </c:pt>
                <c:pt idx="29">
                  <c:v>4.8</c:v>
                </c:pt>
                <c:pt idx="30">
                  <c:v>6.7</c:v>
                </c:pt>
                <c:pt idx="31">
                  <c:v>9.4</c:v>
                </c:pt>
                <c:pt idx="32">
                  <c:v>11.3</c:v>
                </c:pt>
                <c:pt idx="33">
                  <c:v>13.3</c:v>
                </c:pt>
                <c:pt idx="34">
                  <c:v>15.1</c:v>
                </c:pt>
                <c:pt idx="35">
                  <c:v>11.8</c:v>
                </c:pt>
                <c:pt idx="36">
                  <c:v>14.9</c:v>
                </c:pt>
                <c:pt idx="37">
                  <c:v>15.5</c:v>
                </c:pt>
                <c:pt idx="38">
                  <c:v>16.7</c:v>
                </c:pt>
                <c:pt idx="39">
                  <c:v>20.2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8F-4718-83E6-7FFDA9631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50528"/>
        <c:axId val="142552064"/>
      </c:lineChart>
      <c:catAx>
        <c:axId val="142550528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2552064"/>
        <c:crosses val="autoZero"/>
        <c:auto val="0"/>
        <c:lblAlgn val="ctr"/>
        <c:lblOffset val="100"/>
        <c:noMultiLvlLbl val="1"/>
      </c:catAx>
      <c:valAx>
        <c:axId val="142552064"/>
        <c:scaling>
          <c:orientation val="minMax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°C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550528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15664962954383474"/>
          <c:y val="4.497831029025761E-2"/>
          <c:w val="0.15863532006602626"/>
          <c:h val="0.2404905083091116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7432669790114145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fysico-chemie'!$P$4:$P$43</c:f>
              <c:numCache>
                <c:formatCode>General</c:formatCode>
                <c:ptCount val="40"/>
                <c:pt idx="0">
                  <c:v>6.24</c:v>
                </c:pt>
                <c:pt idx="1">
                  <c:v>6.65</c:v>
                </c:pt>
                <c:pt idx="2">
                  <c:v>6.7</c:v>
                </c:pt>
                <c:pt idx="3">
                  <c:v>9.3000000000000007</c:v>
                </c:pt>
                <c:pt idx="4">
                  <c:v>9.85</c:v>
                </c:pt>
                <c:pt idx="5">
                  <c:v>10.23</c:v>
                </c:pt>
                <c:pt idx="6">
                  <c:v>12.88</c:v>
                </c:pt>
                <c:pt idx="7">
                  <c:v>14.01</c:v>
                </c:pt>
                <c:pt idx="8">
                  <c:v>10.8</c:v>
                </c:pt>
                <c:pt idx="9">
                  <c:v>13.94</c:v>
                </c:pt>
                <c:pt idx="10">
                  <c:v>17.920000000000002</c:v>
                </c:pt>
                <c:pt idx="13">
                  <c:v>6.4</c:v>
                </c:pt>
                <c:pt idx="14">
                  <c:v>8.9</c:v>
                </c:pt>
                <c:pt idx="15">
                  <c:v>10.8</c:v>
                </c:pt>
                <c:pt idx="16">
                  <c:v>10</c:v>
                </c:pt>
                <c:pt idx="17">
                  <c:v>11.1</c:v>
                </c:pt>
                <c:pt idx="18">
                  <c:v>12.8</c:v>
                </c:pt>
                <c:pt idx="19">
                  <c:v>14.1</c:v>
                </c:pt>
                <c:pt idx="20">
                  <c:v>13.4</c:v>
                </c:pt>
                <c:pt idx="21">
                  <c:v>11.7</c:v>
                </c:pt>
                <c:pt idx="22">
                  <c:v>12.9</c:v>
                </c:pt>
                <c:pt idx="23">
                  <c:v>15.9</c:v>
                </c:pt>
                <c:pt idx="24">
                  <c:v>16.7</c:v>
                </c:pt>
                <c:pt idx="25">
                  <c:v>19.3</c:v>
                </c:pt>
                <c:pt idx="28">
                  <c:v>7.2</c:v>
                </c:pt>
                <c:pt idx="29">
                  <c:v>4.9000000000000004</c:v>
                </c:pt>
                <c:pt idx="30">
                  <c:v>6.6</c:v>
                </c:pt>
                <c:pt idx="31">
                  <c:v>9.1999999999999993</c:v>
                </c:pt>
                <c:pt idx="32">
                  <c:v>11.9</c:v>
                </c:pt>
                <c:pt idx="33">
                  <c:v>13.4</c:v>
                </c:pt>
                <c:pt idx="34">
                  <c:v>16.100000000000001</c:v>
                </c:pt>
                <c:pt idx="35">
                  <c:v>11.8</c:v>
                </c:pt>
                <c:pt idx="36">
                  <c:v>16.5</c:v>
                </c:pt>
                <c:pt idx="37">
                  <c:v>13.6</c:v>
                </c:pt>
                <c:pt idx="38">
                  <c:v>16.7</c:v>
                </c:pt>
                <c:pt idx="39">
                  <c:v>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9-4986-9D3E-B499AFDE65BD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fysico-chemie'!$T$4:$T$43</c:f>
              <c:numCache>
                <c:formatCode>General</c:formatCode>
                <c:ptCount val="40"/>
                <c:pt idx="0">
                  <c:v>6.32</c:v>
                </c:pt>
                <c:pt idx="1">
                  <c:v>6.55</c:v>
                </c:pt>
                <c:pt idx="2">
                  <c:v>6.9</c:v>
                </c:pt>
                <c:pt idx="3">
                  <c:v>9.6</c:v>
                </c:pt>
                <c:pt idx="4">
                  <c:v>9.64</c:v>
                </c:pt>
                <c:pt idx="5">
                  <c:v>10.58</c:v>
                </c:pt>
                <c:pt idx="6">
                  <c:v>13.12</c:v>
                </c:pt>
                <c:pt idx="7">
                  <c:v>13.76</c:v>
                </c:pt>
                <c:pt idx="8">
                  <c:v>10.84</c:v>
                </c:pt>
                <c:pt idx="9">
                  <c:v>13.44</c:v>
                </c:pt>
                <c:pt idx="10">
                  <c:v>17.309999999999999</c:v>
                </c:pt>
                <c:pt idx="13">
                  <c:v>6.4</c:v>
                </c:pt>
                <c:pt idx="14">
                  <c:v>8.6</c:v>
                </c:pt>
                <c:pt idx="15">
                  <c:v>11</c:v>
                </c:pt>
                <c:pt idx="16">
                  <c:v>9.4</c:v>
                </c:pt>
                <c:pt idx="17">
                  <c:v>11.6</c:v>
                </c:pt>
                <c:pt idx="18">
                  <c:v>13.1</c:v>
                </c:pt>
                <c:pt idx="19">
                  <c:v>14.1</c:v>
                </c:pt>
                <c:pt idx="20">
                  <c:v>13.3</c:v>
                </c:pt>
                <c:pt idx="21">
                  <c:v>11.9</c:v>
                </c:pt>
                <c:pt idx="22">
                  <c:v>13.1</c:v>
                </c:pt>
                <c:pt idx="23">
                  <c:v>14.9</c:v>
                </c:pt>
                <c:pt idx="24">
                  <c:v>16.7</c:v>
                </c:pt>
                <c:pt idx="25">
                  <c:v>19.8</c:v>
                </c:pt>
                <c:pt idx="28">
                  <c:v>7.2</c:v>
                </c:pt>
                <c:pt idx="29">
                  <c:v>4.5</c:v>
                </c:pt>
                <c:pt idx="30">
                  <c:v>6.6</c:v>
                </c:pt>
                <c:pt idx="31">
                  <c:v>8.9</c:v>
                </c:pt>
                <c:pt idx="32">
                  <c:v>11.9</c:v>
                </c:pt>
                <c:pt idx="33">
                  <c:v>13.3</c:v>
                </c:pt>
                <c:pt idx="34">
                  <c:v>16.5</c:v>
                </c:pt>
                <c:pt idx="35">
                  <c:v>11.7</c:v>
                </c:pt>
                <c:pt idx="36">
                  <c:v>15.7</c:v>
                </c:pt>
                <c:pt idx="37">
                  <c:v>13.6</c:v>
                </c:pt>
                <c:pt idx="38">
                  <c:v>16.399999999999999</c:v>
                </c:pt>
                <c:pt idx="39">
                  <c:v>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79-4986-9D3E-B499AFDE65BD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fysico-chemie'!$Q$4:$Q$43</c:f>
              <c:numCache>
                <c:formatCode>General</c:formatCode>
                <c:ptCount val="40"/>
                <c:pt idx="0">
                  <c:v>5.9</c:v>
                </c:pt>
                <c:pt idx="1">
                  <c:v>6.42</c:v>
                </c:pt>
                <c:pt idx="2">
                  <c:v>6.9</c:v>
                </c:pt>
                <c:pt idx="3">
                  <c:v>9.24</c:v>
                </c:pt>
                <c:pt idx="4">
                  <c:v>9.86</c:v>
                </c:pt>
                <c:pt idx="5">
                  <c:v>10.78</c:v>
                </c:pt>
                <c:pt idx="6">
                  <c:v>12.6</c:v>
                </c:pt>
                <c:pt idx="7">
                  <c:v>12.4</c:v>
                </c:pt>
                <c:pt idx="8">
                  <c:v>10.74</c:v>
                </c:pt>
                <c:pt idx="9">
                  <c:v>12.07</c:v>
                </c:pt>
                <c:pt idx="10">
                  <c:v>15.74</c:v>
                </c:pt>
                <c:pt idx="13">
                  <c:v>6.2</c:v>
                </c:pt>
                <c:pt idx="14">
                  <c:v>8.6</c:v>
                </c:pt>
                <c:pt idx="15">
                  <c:v>10.8</c:v>
                </c:pt>
                <c:pt idx="16">
                  <c:v>9.6999999999999993</c:v>
                </c:pt>
                <c:pt idx="17">
                  <c:v>11</c:v>
                </c:pt>
                <c:pt idx="18">
                  <c:v>13</c:v>
                </c:pt>
                <c:pt idx="19">
                  <c:v>13.6</c:v>
                </c:pt>
                <c:pt idx="20">
                  <c:v>13.3</c:v>
                </c:pt>
                <c:pt idx="21">
                  <c:v>12.7</c:v>
                </c:pt>
                <c:pt idx="22">
                  <c:v>13.5</c:v>
                </c:pt>
                <c:pt idx="23">
                  <c:v>14.8</c:v>
                </c:pt>
                <c:pt idx="24">
                  <c:v>16.100000000000001</c:v>
                </c:pt>
                <c:pt idx="25">
                  <c:v>17.5</c:v>
                </c:pt>
                <c:pt idx="28">
                  <c:v>7.2</c:v>
                </c:pt>
                <c:pt idx="29">
                  <c:v>4.9000000000000004</c:v>
                </c:pt>
                <c:pt idx="30">
                  <c:v>6.5</c:v>
                </c:pt>
                <c:pt idx="31">
                  <c:v>9</c:v>
                </c:pt>
                <c:pt idx="32">
                  <c:v>11.1</c:v>
                </c:pt>
                <c:pt idx="33">
                  <c:v>13.3</c:v>
                </c:pt>
                <c:pt idx="34">
                  <c:v>15.1</c:v>
                </c:pt>
                <c:pt idx="35">
                  <c:v>11.8</c:v>
                </c:pt>
                <c:pt idx="36">
                  <c:v>14.4</c:v>
                </c:pt>
                <c:pt idx="37">
                  <c:v>15.4</c:v>
                </c:pt>
                <c:pt idx="38">
                  <c:v>16</c:v>
                </c:pt>
                <c:pt idx="39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79-4986-9D3E-B499AFDE65BD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fysico-chemie'!$U$4:$U$43</c:f>
              <c:numCache>
                <c:formatCode>General</c:formatCode>
                <c:ptCount val="40"/>
                <c:pt idx="0">
                  <c:v>6.2</c:v>
                </c:pt>
                <c:pt idx="1">
                  <c:v>6.42</c:v>
                </c:pt>
                <c:pt idx="2">
                  <c:v>7</c:v>
                </c:pt>
                <c:pt idx="3">
                  <c:v>9.3000000000000007</c:v>
                </c:pt>
                <c:pt idx="4">
                  <c:v>9.9</c:v>
                </c:pt>
                <c:pt idx="5">
                  <c:v>10.8</c:v>
                </c:pt>
                <c:pt idx="6">
                  <c:v>13</c:v>
                </c:pt>
                <c:pt idx="7">
                  <c:v>12.3</c:v>
                </c:pt>
                <c:pt idx="8">
                  <c:v>10.76</c:v>
                </c:pt>
                <c:pt idx="9">
                  <c:v>11.49</c:v>
                </c:pt>
                <c:pt idx="10">
                  <c:v>15.86</c:v>
                </c:pt>
                <c:pt idx="13">
                  <c:v>6.6</c:v>
                </c:pt>
                <c:pt idx="14">
                  <c:v>8.6</c:v>
                </c:pt>
                <c:pt idx="15">
                  <c:v>11</c:v>
                </c:pt>
                <c:pt idx="16">
                  <c:v>9.6999999999999993</c:v>
                </c:pt>
                <c:pt idx="17">
                  <c:v>11.1</c:v>
                </c:pt>
                <c:pt idx="18">
                  <c:v>12.9</c:v>
                </c:pt>
                <c:pt idx="19">
                  <c:v>13.6</c:v>
                </c:pt>
                <c:pt idx="20">
                  <c:v>13.3</c:v>
                </c:pt>
                <c:pt idx="21">
                  <c:v>12.9</c:v>
                </c:pt>
                <c:pt idx="22">
                  <c:v>13.3</c:v>
                </c:pt>
                <c:pt idx="23">
                  <c:v>14.4</c:v>
                </c:pt>
                <c:pt idx="24">
                  <c:v>15.9</c:v>
                </c:pt>
                <c:pt idx="25">
                  <c:v>17.600000000000001</c:v>
                </c:pt>
                <c:pt idx="28">
                  <c:v>7.1</c:v>
                </c:pt>
                <c:pt idx="29">
                  <c:v>4.7</c:v>
                </c:pt>
                <c:pt idx="30">
                  <c:v>6.5</c:v>
                </c:pt>
                <c:pt idx="31">
                  <c:v>8.8000000000000007</c:v>
                </c:pt>
                <c:pt idx="32">
                  <c:v>11.3</c:v>
                </c:pt>
                <c:pt idx="33">
                  <c:v>13.3</c:v>
                </c:pt>
                <c:pt idx="34">
                  <c:v>14.8</c:v>
                </c:pt>
                <c:pt idx="35">
                  <c:v>11.7</c:v>
                </c:pt>
                <c:pt idx="36">
                  <c:v>14.6</c:v>
                </c:pt>
                <c:pt idx="37">
                  <c:v>15.4</c:v>
                </c:pt>
                <c:pt idx="38">
                  <c:v>16</c:v>
                </c:pt>
                <c:pt idx="39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79-4986-9D3E-B499AFDE6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03776"/>
        <c:axId val="142605312"/>
      </c:lineChart>
      <c:catAx>
        <c:axId val="142603776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2605312"/>
        <c:crosses val="autoZero"/>
        <c:auto val="0"/>
        <c:lblAlgn val="ctr"/>
        <c:lblOffset val="100"/>
        <c:noMultiLvlLbl val="1"/>
      </c:catAx>
      <c:valAx>
        <c:axId val="142605312"/>
        <c:scaling>
          <c:orientation val="minMax"/>
          <c:max val="22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°C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</c:spPr>
        <c:crossAx val="142603776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14762537846785267"/>
          <c:y val="4.497831029025761E-2"/>
          <c:w val="0.15863532006602626"/>
          <c:h val="0.2674265311644330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34376640974789"/>
          <c:y val="4.2722531998268094E-2"/>
          <c:w val="0.7729503758565045"/>
          <c:h val="0.7548109888065524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fysico-chemie'!$B$67:$B$106</c:f>
              <c:numCache>
                <c:formatCode>General</c:formatCode>
                <c:ptCount val="40"/>
                <c:pt idx="0">
                  <c:v>1863</c:v>
                </c:pt>
                <c:pt idx="1">
                  <c:v>1337</c:v>
                </c:pt>
                <c:pt idx="2">
                  <c:v>1981</c:v>
                </c:pt>
                <c:pt idx="3">
                  <c:v>1801</c:v>
                </c:pt>
                <c:pt idx="4">
                  <c:v>1957</c:v>
                </c:pt>
                <c:pt idx="5">
                  <c:v>2080</c:v>
                </c:pt>
                <c:pt idx="6">
                  <c:v>2219</c:v>
                </c:pt>
                <c:pt idx="7">
                  <c:v>6546</c:v>
                </c:pt>
                <c:pt idx="8">
                  <c:v>2280</c:v>
                </c:pt>
                <c:pt idx="9">
                  <c:v>2943</c:v>
                </c:pt>
                <c:pt idx="10">
                  <c:v>23748</c:v>
                </c:pt>
                <c:pt idx="13">
                  <c:v>1751</c:v>
                </c:pt>
                <c:pt idx="14">
                  <c:v>1713</c:v>
                </c:pt>
                <c:pt idx="15">
                  <c:v>2640</c:v>
                </c:pt>
                <c:pt idx="16">
                  <c:v>15330</c:v>
                </c:pt>
                <c:pt idx="17">
                  <c:v>32100</c:v>
                </c:pt>
                <c:pt idx="18">
                  <c:v>29600</c:v>
                </c:pt>
                <c:pt idx="19">
                  <c:v>14510</c:v>
                </c:pt>
                <c:pt idx="20">
                  <c:v>19020</c:v>
                </c:pt>
                <c:pt idx="21">
                  <c:v>9420</c:v>
                </c:pt>
                <c:pt idx="22">
                  <c:v>17410</c:v>
                </c:pt>
                <c:pt idx="23">
                  <c:v>19090</c:v>
                </c:pt>
                <c:pt idx="24">
                  <c:v>19580</c:v>
                </c:pt>
                <c:pt idx="25">
                  <c:v>16700</c:v>
                </c:pt>
                <c:pt idx="28">
                  <c:v>2260</c:v>
                </c:pt>
                <c:pt idx="29">
                  <c:v>2510</c:v>
                </c:pt>
                <c:pt idx="30">
                  <c:v>25700</c:v>
                </c:pt>
                <c:pt idx="31">
                  <c:v>6160</c:v>
                </c:pt>
                <c:pt idx="32">
                  <c:v>5760</c:v>
                </c:pt>
                <c:pt idx="33">
                  <c:v>1996</c:v>
                </c:pt>
                <c:pt idx="34">
                  <c:v>40600</c:v>
                </c:pt>
                <c:pt idx="35">
                  <c:v>1926</c:v>
                </c:pt>
                <c:pt idx="36">
                  <c:v>18830</c:v>
                </c:pt>
                <c:pt idx="37">
                  <c:v>31400</c:v>
                </c:pt>
                <c:pt idx="38">
                  <c:v>28700</c:v>
                </c:pt>
                <c:pt idx="39">
                  <c:v>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5-41D7-9720-1876913781DC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fysico-chemie'!$F$67:$F$106</c:f>
              <c:numCache>
                <c:formatCode>General</c:formatCode>
                <c:ptCount val="40"/>
                <c:pt idx="0">
                  <c:v>1884</c:v>
                </c:pt>
                <c:pt idx="1">
                  <c:v>1322</c:v>
                </c:pt>
                <c:pt idx="2">
                  <c:v>2104</c:v>
                </c:pt>
                <c:pt idx="3">
                  <c:v>1772</c:v>
                </c:pt>
                <c:pt idx="4">
                  <c:v>1973</c:v>
                </c:pt>
                <c:pt idx="5">
                  <c:v>2098</c:v>
                </c:pt>
                <c:pt idx="6">
                  <c:v>2204</c:v>
                </c:pt>
                <c:pt idx="7">
                  <c:v>6112</c:v>
                </c:pt>
                <c:pt idx="8">
                  <c:v>2301</c:v>
                </c:pt>
                <c:pt idx="9">
                  <c:v>2932</c:v>
                </c:pt>
                <c:pt idx="10">
                  <c:v>25463</c:v>
                </c:pt>
                <c:pt idx="13">
                  <c:v>1740</c:v>
                </c:pt>
                <c:pt idx="14">
                  <c:v>1713</c:v>
                </c:pt>
                <c:pt idx="15">
                  <c:v>2530</c:v>
                </c:pt>
                <c:pt idx="16">
                  <c:v>15300</c:v>
                </c:pt>
                <c:pt idx="17">
                  <c:v>32300</c:v>
                </c:pt>
                <c:pt idx="18">
                  <c:v>29500</c:v>
                </c:pt>
                <c:pt idx="19">
                  <c:v>14830</c:v>
                </c:pt>
                <c:pt idx="20">
                  <c:v>18760</c:v>
                </c:pt>
                <c:pt idx="21">
                  <c:v>10850</c:v>
                </c:pt>
                <c:pt idx="22">
                  <c:v>17630</c:v>
                </c:pt>
                <c:pt idx="23">
                  <c:v>19150</c:v>
                </c:pt>
                <c:pt idx="24">
                  <c:v>19530</c:v>
                </c:pt>
                <c:pt idx="25">
                  <c:v>17120</c:v>
                </c:pt>
                <c:pt idx="28">
                  <c:v>2190</c:v>
                </c:pt>
                <c:pt idx="29">
                  <c:v>2510</c:v>
                </c:pt>
                <c:pt idx="30">
                  <c:v>22100</c:v>
                </c:pt>
                <c:pt idx="31">
                  <c:v>6080</c:v>
                </c:pt>
                <c:pt idx="32">
                  <c:v>4810</c:v>
                </c:pt>
                <c:pt idx="33">
                  <c:v>1997</c:v>
                </c:pt>
                <c:pt idx="34">
                  <c:v>31400</c:v>
                </c:pt>
                <c:pt idx="35">
                  <c:v>1901</c:v>
                </c:pt>
                <c:pt idx="36">
                  <c:v>9490</c:v>
                </c:pt>
                <c:pt idx="37">
                  <c:v>32100</c:v>
                </c:pt>
                <c:pt idx="38">
                  <c:v>28500</c:v>
                </c:pt>
                <c:pt idx="39">
                  <c:v>2560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5-41D7-9720-1876913781DC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fysico-chemie'!$C$67:$C$106</c:f>
              <c:numCache>
                <c:formatCode>General</c:formatCode>
                <c:ptCount val="40"/>
                <c:pt idx="0">
                  <c:v>1876</c:v>
                </c:pt>
                <c:pt idx="1">
                  <c:v>1343</c:v>
                </c:pt>
                <c:pt idx="2">
                  <c:v>16123</c:v>
                </c:pt>
                <c:pt idx="3">
                  <c:v>4355</c:v>
                </c:pt>
                <c:pt idx="4">
                  <c:v>8185</c:v>
                </c:pt>
                <c:pt idx="5">
                  <c:v>8680</c:v>
                </c:pt>
                <c:pt idx="6">
                  <c:v>12021</c:v>
                </c:pt>
                <c:pt idx="7">
                  <c:v>24680</c:v>
                </c:pt>
                <c:pt idx="8">
                  <c:v>14600</c:v>
                </c:pt>
                <c:pt idx="9">
                  <c:v>22610</c:v>
                </c:pt>
                <c:pt idx="10">
                  <c:v>31888</c:v>
                </c:pt>
                <c:pt idx="13">
                  <c:v>1753</c:v>
                </c:pt>
                <c:pt idx="14">
                  <c:v>1718</c:v>
                </c:pt>
                <c:pt idx="15">
                  <c:v>2760</c:v>
                </c:pt>
                <c:pt idx="16">
                  <c:v>23000</c:v>
                </c:pt>
                <c:pt idx="17">
                  <c:v>40400</c:v>
                </c:pt>
                <c:pt idx="18">
                  <c:v>41900</c:v>
                </c:pt>
                <c:pt idx="19">
                  <c:v>28900</c:v>
                </c:pt>
                <c:pt idx="20">
                  <c:v>23500</c:v>
                </c:pt>
                <c:pt idx="21">
                  <c:v>20600</c:v>
                </c:pt>
                <c:pt idx="22">
                  <c:v>23600</c:v>
                </c:pt>
                <c:pt idx="23">
                  <c:v>28200</c:v>
                </c:pt>
                <c:pt idx="24">
                  <c:v>27800</c:v>
                </c:pt>
                <c:pt idx="25">
                  <c:v>23200</c:v>
                </c:pt>
                <c:pt idx="28">
                  <c:v>2310</c:v>
                </c:pt>
                <c:pt idx="29">
                  <c:v>2530</c:v>
                </c:pt>
                <c:pt idx="30">
                  <c:v>35100</c:v>
                </c:pt>
                <c:pt idx="31">
                  <c:v>6080</c:v>
                </c:pt>
                <c:pt idx="32">
                  <c:v>14070</c:v>
                </c:pt>
                <c:pt idx="33">
                  <c:v>1999</c:v>
                </c:pt>
                <c:pt idx="34">
                  <c:v>42000</c:v>
                </c:pt>
                <c:pt idx="35">
                  <c:v>1921</c:v>
                </c:pt>
                <c:pt idx="36">
                  <c:v>29600</c:v>
                </c:pt>
                <c:pt idx="37">
                  <c:v>39300</c:v>
                </c:pt>
                <c:pt idx="38">
                  <c:v>33500</c:v>
                </c:pt>
                <c:pt idx="39">
                  <c:v>3340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5-41D7-9720-1876913781DC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fysico-chemie'!$G$67:$G$106</c:f>
              <c:numCache>
                <c:formatCode>General</c:formatCode>
                <c:ptCount val="40"/>
                <c:pt idx="0">
                  <c:v>1884</c:v>
                </c:pt>
                <c:pt idx="1">
                  <c:v>1334</c:v>
                </c:pt>
                <c:pt idx="2">
                  <c:v>9102</c:v>
                </c:pt>
                <c:pt idx="3">
                  <c:v>6376</c:v>
                </c:pt>
                <c:pt idx="4">
                  <c:v>3200</c:v>
                </c:pt>
                <c:pt idx="5">
                  <c:v>21380</c:v>
                </c:pt>
                <c:pt idx="6">
                  <c:v>13024</c:v>
                </c:pt>
                <c:pt idx="7">
                  <c:v>17880</c:v>
                </c:pt>
                <c:pt idx="8">
                  <c:v>22400</c:v>
                </c:pt>
                <c:pt idx="9">
                  <c:v>16756</c:v>
                </c:pt>
                <c:pt idx="10">
                  <c:v>32862</c:v>
                </c:pt>
                <c:pt idx="13">
                  <c:v>1745</c:v>
                </c:pt>
                <c:pt idx="14">
                  <c:v>1718</c:v>
                </c:pt>
                <c:pt idx="15">
                  <c:v>2580</c:v>
                </c:pt>
                <c:pt idx="16">
                  <c:v>23600</c:v>
                </c:pt>
                <c:pt idx="17">
                  <c:v>40500</c:v>
                </c:pt>
                <c:pt idx="18">
                  <c:v>41200</c:v>
                </c:pt>
                <c:pt idx="19">
                  <c:v>27200</c:v>
                </c:pt>
                <c:pt idx="20">
                  <c:v>22600</c:v>
                </c:pt>
                <c:pt idx="21">
                  <c:v>21900</c:v>
                </c:pt>
                <c:pt idx="22">
                  <c:v>23800</c:v>
                </c:pt>
                <c:pt idx="23">
                  <c:v>28900</c:v>
                </c:pt>
                <c:pt idx="24">
                  <c:v>26600</c:v>
                </c:pt>
                <c:pt idx="25">
                  <c:v>22800</c:v>
                </c:pt>
                <c:pt idx="28">
                  <c:v>2220</c:v>
                </c:pt>
                <c:pt idx="29">
                  <c:v>2530</c:v>
                </c:pt>
                <c:pt idx="30">
                  <c:v>37400</c:v>
                </c:pt>
                <c:pt idx="31">
                  <c:v>6120</c:v>
                </c:pt>
                <c:pt idx="32">
                  <c:v>20600</c:v>
                </c:pt>
                <c:pt idx="33">
                  <c:v>1997</c:v>
                </c:pt>
                <c:pt idx="34">
                  <c:v>41800</c:v>
                </c:pt>
                <c:pt idx="35">
                  <c:v>1906</c:v>
                </c:pt>
                <c:pt idx="36">
                  <c:v>28800</c:v>
                </c:pt>
                <c:pt idx="37">
                  <c:v>35900</c:v>
                </c:pt>
                <c:pt idx="38">
                  <c:v>33900</c:v>
                </c:pt>
                <c:pt idx="39">
                  <c:v>2850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5-41D7-9720-187691378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28352"/>
        <c:axId val="142629888"/>
      </c:lineChart>
      <c:catAx>
        <c:axId val="142628352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880000"/>
          <a:lstStyle/>
          <a:p>
            <a:pPr>
              <a:defRPr/>
            </a:pPr>
            <a:endParaRPr lang="nl-BE"/>
          </a:p>
        </c:txPr>
        <c:crossAx val="142629888"/>
        <c:crosses val="autoZero"/>
        <c:auto val="0"/>
        <c:lblAlgn val="ctr"/>
        <c:lblOffset val="100"/>
        <c:noMultiLvlLbl val="1"/>
      </c:catAx>
      <c:valAx>
        <c:axId val="142629888"/>
        <c:scaling>
          <c:orientation val="minMax"/>
          <c:max val="4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µS</a:t>
                </a:r>
                <a:r>
                  <a:rPr lang="en-US" baseline="0"/>
                  <a:t> cm</a:t>
                </a:r>
                <a:r>
                  <a:rPr lang="en-US" baseline="30000"/>
                  <a:t>-1</a:t>
                </a:r>
                <a:r>
                  <a:rPr lang="en-US"/>
                  <a:t>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628352"/>
        <c:crosses val="autoZero"/>
        <c:crossBetween val="between"/>
        <c:majorUnit val="5000"/>
      </c:valAx>
    </c:plotArea>
    <c:legend>
      <c:legendPos val="r"/>
      <c:layout>
        <c:manualLayout>
          <c:xMode val="edge"/>
          <c:yMode val="edge"/>
          <c:x val="0.20177088492374504"/>
          <c:y val="2.6502743747524905E-3"/>
          <c:w val="0.15863532006602626"/>
          <c:h val="0.2712745344294789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75096298554150642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fysico-chemie'!$B$172:$B$211</c:f>
              <c:numCache>
                <c:formatCode>General</c:formatCode>
                <c:ptCount val="40"/>
                <c:pt idx="0">
                  <c:v>72.400000000000006</c:v>
                </c:pt>
                <c:pt idx="1">
                  <c:v>65.099999999999994</c:v>
                </c:pt>
                <c:pt idx="2">
                  <c:v>55.5</c:v>
                </c:pt>
                <c:pt idx="3">
                  <c:v>118.5</c:v>
                </c:pt>
                <c:pt idx="4">
                  <c:v>121.7</c:v>
                </c:pt>
                <c:pt idx="5">
                  <c:v>108.3</c:v>
                </c:pt>
                <c:pt idx="6">
                  <c:v>129.5</c:v>
                </c:pt>
                <c:pt idx="7">
                  <c:v>148.5</c:v>
                </c:pt>
                <c:pt idx="8">
                  <c:v>141.5</c:v>
                </c:pt>
                <c:pt idx="9">
                  <c:v>162.1</c:v>
                </c:pt>
                <c:pt idx="10">
                  <c:v>102.6</c:v>
                </c:pt>
                <c:pt idx="13">
                  <c:v>80.7</c:v>
                </c:pt>
                <c:pt idx="14">
                  <c:v>66.8</c:v>
                </c:pt>
                <c:pt idx="15">
                  <c:v>81</c:v>
                </c:pt>
                <c:pt idx="16">
                  <c:v>73.2</c:v>
                </c:pt>
                <c:pt idx="17">
                  <c:v>119.4</c:v>
                </c:pt>
                <c:pt idx="18">
                  <c:v>188.2</c:v>
                </c:pt>
                <c:pt idx="19">
                  <c:v>143.9</c:v>
                </c:pt>
                <c:pt idx="20">
                  <c:v>169.8</c:v>
                </c:pt>
                <c:pt idx="21">
                  <c:v>186</c:v>
                </c:pt>
                <c:pt idx="22">
                  <c:v>83.9</c:v>
                </c:pt>
                <c:pt idx="23">
                  <c:v>140.69999999999999</c:v>
                </c:pt>
                <c:pt idx="24">
                  <c:v>175.3</c:v>
                </c:pt>
                <c:pt idx="25">
                  <c:v>200</c:v>
                </c:pt>
                <c:pt idx="28">
                  <c:v>86.7</c:v>
                </c:pt>
                <c:pt idx="29">
                  <c:v>87.7</c:v>
                </c:pt>
                <c:pt idx="30">
                  <c:v>99</c:v>
                </c:pt>
                <c:pt idx="31">
                  <c:v>102.7</c:v>
                </c:pt>
                <c:pt idx="32">
                  <c:v>117</c:v>
                </c:pt>
                <c:pt idx="33">
                  <c:v>118.3</c:v>
                </c:pt>
                <c:pt idx="34">
                  <c:v>128.69999999999999</c:v>
                </c:pt>
                <c:pt idx="37">
                  <c:v>60.4</c:v>
                </c:pt>
                <c:pt idx="38">
                  <c:v>31.5</c:v>
                </c:pt>
                <c:pt idx="39">
                  <c:v>124.6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6-4DA3-954F-472404B96A9C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fysico-chemie'!$F$172:$F$211</c:f>
              <c:numCache>
                <c:formatCode>General</c:formatCode>
                <c:ptCount val="40"/>
                <c:pt idx="0">
                  <c:v>73.8</c:v>
                </c:pt>
                <c:pt idx="1">
                  <c:v>69.5</c:v>
                </c:pt>
                <c:pt idx="2">
                  <c:v>57.7</c:v>
                </c:pt>
                <c:pt idx="3">
                  <c:v>113</c:v>
                </c:pt>
                <c:pt idx="4">
                  <c:v>116.5</c:v>
                </c:pt>
                <c:pt idx="5">
                  <c:v>100.4</c:v>
                </c:pt>
                <c:pt idx="6">
                  <c:v>124</c:v>
                </c:pt>
                <c:pt idx="7">
                  <c:v>144.69999999999999</c:v>
                </c:pt>
                <c:pt idx="8">
                  <c:v>131.9</c:v>
                </c:pt>
                <c:pt idx="9">
                  <c:v>145.6</c:v>
                </c:pt>
                <c:pt idx="10">
                  <c:v>48.7</c:v>
                </c:pt>
                <c:pt idx="13">
                  <c:v>82.5</c:v>
                </c:pt>
                <c:pt idx="14">
                  <c:v>66.8</c:v>
                </c:pt>
                <c:pt idx="15">
                  <c:v>74.900000000000006</c:v>
                </c:pt>
                <c:pt idx="16">
                  <c:v>75.3</c:v>
                </c:pt>
                <c:pt idx="17">
                  <c:v>126</c:v>
                </c:pt>
                <c:pt idx="18">
                  <c:v>195</c:v>
                </c:pt>
                <c:pt idx="19">
                  <c:v>141.30000000000001</c:v>
                </c:pt>
                <c:pt idx="20">
                  <c:v>170.3</c:v>
                </c:pt>
                <c:pt idx="21">
                  <c:v>173.8</c:v>
                </c:pt>
                <c:pt idx="22">
                  <c:v>92.1</c:v>
                </c:pt>
                <c:pt idx="23">
                  <c:v>138.80000000000001</c:v>
                </c:pt>
                <c:pt idx="24">
                  <c:v>173.3</c:v>
                </c:pt>
                <c:pt idx="25">
                  <c:v>200</c:v>
                </c:pt>
                <c:pt idx="28">
                  <c:v>87.9</c:v>
                </c:pt>
                <c:pt idx="29">
                  <c:v>84.9</c:v>
                </c:pt>
                <c:pt idx="30">
                  <c:v>97.8</c:v>
                </c:pt>
                <c:pt idx="31">
                  <c:v>103.1</c:v>
                </c:pt>
                <c:pt idx="32">
                  <c:v>117.7</c:v>
                </c:pt>
                <c:pt idx="33">
                  <c:v>116</c:v>
                </c:pt>
                <c:pt idx="34">
                  <c:v>125.1</c:v>
                </c:pt>
                <c:pt idx="37">
                  <c:v>54.1</c:v>
                </c:pt>
                <c:pt idx="38">
                  <c:v>72</c:v>
                </c:pt>
                <c:pt idx="39">
                  <c:v>121.7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6-4DA3-954F-472404B96A9C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fysico-chemie'!$C$172:$C$211</c:f>
              <c:numCache>
                <c:formatCode>General</c:formatCode>
                <c:ptCount val="40"/>
                <c:pt idx="0">
                  <c:v>69.5</c:v>
                </c:pt>
                <c:pt idx="1">
                  <c:v>56.2</c:v>
                </c:pt>
                <c:pt idx="2">
                  <c:v>56.2</c:v>
                </c:pt>
                <c:pt idx="3">
                  <c:v>124.2</c:v>
                </c:pt>
                <c:pt idx="4">
                  <c:v>96.1</c:v>
                </c:pt>
                <c:pt idx="5">
                  <c:v>106.2</c:v>
                </c:pt>
                <c:pt idx="6">
                  <c:v>124.6</c:v>
                </c:pt>
                <c:pt idx="7">
                  <c:v>133</c:v>
                </c:pt>
                <c:pt idx="8">
                  <c:v>113.7</c:v>
                </c:pt>
                <c:pt idx="9">
                  <c:v>140.69999999999999</c:v>
                </c:pt>
                <c:pt idx="10">
                  <c:v>65.8</c:v>
                </c:pt>
                <c:pt idx="13">
                  <c:v>80.5</c:v>
                </c:pt>
                <c:pt idx="14">
                  <c:v>66.7</c:v>
                </c:pt>
                <c:pt idx="15">
                  <c:v>75.8</c:v>
                </c:pt>
                <c:pt idx="16">
                  <c:v>73</c:v>
                </c:pt>
                <c:pt idx="17">
                  <c:v>115.4</c:v>
                </c:pt>
                <c:pt idx="18">
                  <c:v>191.5</c:v>
                </c:pt>
                <c:pt idx="19">
                  <c:v>152.19999999999999</c:v>
                </c:pt>
                <c:pt idx="20">
                  <c:v>163.6</c:v>
                </c:pt>
                <c:pt idx="21">
                  <c:v>63</c:v>
                </c:pt>
                <c:pt idx="22">
                  <c:v>33.299999999999997</c:v>
                </c:pt>
                <c:pt idx="23">
                  <c:v>121.5</c:v>
                </c:pt>
                <c:pt idx="24">
                  <c:v>80.099999999999994</c:v>
                </c:pt>
                <c:pt idx="25">
                  <c:v>200</c:v>
                </c:pt>
                <c:pt idx="28">
                  <c:v>84.5</c:v>
                </c:pt>
                <c:pt idx="29">
                  <c:v>84.5</c:v>
                </c:pt>
                <c:pt idx="30">
                  <c:v>100.8</c:v>
                </c:pt>
                <c:pt idx="31">
                  <c:v>102.8</c:v>
                </c:pt>
                <c:pt idx="32">
                  <c:v>109.6</c:v>
                </c:pt>
                <c:pt idx="33">
                  <c:v>118.2</c:v>
                </c:pt>
                <c:pt idx="34">
                  <c:v>127.6</c:v>
                </c:pt>
                <c:pt idx="37">
                  <c:v>43.7</c:v>
                </c:pt>
                <c:pt idx="38">
                  <c:v>37.6</c:v>
                </c:pt>
                <c:pt idx="39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6-4DA3-954F-472404B96A9C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fysico-chemie'!$G$172:$G$211</c:f>
              <c:numCache>
                <c:formatCode>General</c:formatCode>
                <c:ptCount val="40"/>
                <c:pt idx="0">
                  <c:v>71.7</c:v>
                </c:pt>
                <c:pt idx="1">
                  <c:v>55.1</c:v>
                </c:pt>
                <c:pt idx="2">
                  <c:v>57.3</c:v>
                </c:pt>
                <c:pt idx="3">
                  <c:v>124.3</c:v>
                </c:pt>
                <c:pt idx="4">
                  <c:v>102.5</c:v>
                </c:pt>
                <c:pt idx="5">
                  <c:v>99.3</c:v>
                </c:pt>
                <c:pt idx="6">
                  <c:v>130.69999999999999</c:v>
                </c:pt>
                <c:pt idx="7">
                  <c:v>152.4</c:v>
                </c:pt>
                <c:pt idx="8">
                  <c:v>133.19999999999999</c:v>
                </c:pt>
                <c:pt idx="9">
                  <c:v>82.9</c:v>
                </c:pt>
                <c:pt idx="10">
                  <c:v>40.700000000000003</c:v>
                </c:pt>
                <c:pt idx="13">
                  <c:v>81.900000000000006</c:v>
                </c:pt>
                <c:pt idx="14">
                  <c:v>66.900000000000006</c:v>
                </c:pt>
                <c:pt idx="15">
                  <c:v>75.2</c:v>
                </c:pt>
                <c:pt idx="16">
                  <c:v>77.7</c:v>
                </c:pt>
                <c:pt idx="17">
                  <c:v>116.5</c:v>
                </c:pt>
                <c:pt idx="18">
                  <c:v>190</c:v>
                </c:pt>
                <c:pt idx="19">
                  <c:v>151.5</c:v>
                </c:pt>
                <c:pt idx="20">
                  <c:v>128.1</c:v>
                </c:pt>
                <c:pt idx="21">
                  <c:v>54.2</c:v>
                </c:pt>
                <c:pt idx="22">
                  <c:v>52.6</c:v>
                </c:pt>
                <c:pt idx="23">
                  <c:v>96</c:v>
                </c:pt>
                <c:pt idx="24">
                  <c:v>78.31</c:v>
                </c:pt>
                <c:pt idx="25">
                  <c:v>200</c:v>
                </c:pt>
                <c:pt idx="28">
                  <c:v>87.7</c:v>
                </c:pt>
                <c:pt idx="29">
                  <c:v>84.8</c:v>
                </c:pt>
                <c:pt idx="30">
                  <c:v>100.8</c:v>
                </c:pt>
                <c:pt idx="31">
                  <c:v>102.9</c:v>
                </c:pt>
                <c:pt idx="32">
                  <c:v>111</c:v>
                </c:pt>
                <c:pt idx="33">
                  <c:v>116</c:v>
                </c:pt>
                <c:pt idx="34">
                  <c:v>123.9</c:v>
                </c:pt>
                <c:pt idx="37">
                  <c:v>38</c:v>
                </c:pt>
                <c:pt idx="38">
                  <c:v>56.5</c:v>
                </c:pt>
                <c:pt idx="39">
                  <c:v>71.3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6-4DA3-954F-472404B96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33248"/>
        <c:axId val="143334784"/>
      </c:lineChart>
      <c:catAx>
        <c:axId val="143333248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334784"/>
        <c:crosses val="autoZero"/>
        <c:auto val="0"/>
        <c:lblAlgn val="ctr"/>
        <c:lblOffset val="100"/>
        <c:noMultiLvlLbl val="1"/>
      </c:catAx>
      <c:valAx>
        <c:axId val="143334784"/>
        <c:scaling>
          <c:orientation val="minMax"/>
          <c:max val="21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333248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12732081354689304"/>
          <c:y val="5.2674316820349433E-2"/>
          <c:w val="0.15863532006602626"/>
          <c:h val="0.18661846259846873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75096298554150642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fysico-chemie'!$I$172:$I$211</c:f>
              <c:numCache>
                <c:formatCode>General</c:formatCode>
                <c:ptCount val="40"/>
                <c:pt idx="0">
                  <c:v>82.8</c:v>
                </c:pt>
                <c:pt idx="1">
                  <c:v>70.599999999999994</c:v>
                </c:pt>
                <c:pt idx="2">
                  <c:v>57</c:v>
                </c:pt>
                <c:pt idx="3">
                  <c:v>114</c:v>
                </c:pt>
                <c:pt idx="4">
                  <c:v>107</c:v>
                </c:pt>
                <c:pt idx="5">
                  <c:v>107.4</c:v>
                </c:pt>
                <c:pt idx="6">
                  <c:v>103.6</c:v>
                </c:pt>
                <c:pt idx="7">
                  <c:v>132.4</c:v>
                </c:pt>
                <c:pt idx="8">
                  <c:v>144.4</c:v>
                </c:pt>
                <c:pt idx="9">
                  <c:v>116.2</c:v>
                </c:pt>
                <c:pt idx="10">
                  <c:v>107</c:v>
                </c:pt>
                <c:pt idx="13">
                  <c:v>81.900000000000006</c:v>
                </c:pt>
                <c:pt idx="14">
                  <c:v>66.2</c:v>
                </c:pt>
                <c:pt idx="15">
                  <c:v>79.7</c:v>
                </c:pt>
                <c:pt idx="16">
                  <c:v>71.599999999999994</c:v>
                </c:pt>
                <c:pt idx="17">
                  <c:v>118.5</c:v>
                </c:pt>
                <c:pt idx="18">
                  <c:v>168.7</c:v>
                </c:pt>
                <c:pt idx="19">
                  <c:v>142.5</c:v>
                </c:pt>
                <c:pt idx="20">
                  <c:v>154.1</c:v>
                </c:pt>
                <c:pt idx="21">
                  <c:v>195.5</c:v>
                </c:pt>
                <c:pt idx="22">
                  <c:v>72</c:v>
                </c:pt>
                <c:pt idx="23">
                  <c:v>140.6</c:v>
                </c:pt>
                <c:pt idx="24">
                  <c:v>171.3</c:v>
                </c:pt>
                <c:pt idx="25">
                  <c:v>200</c:v>
                </c:pt>
                <c:pt idx="28">
                  <c:v>88.2</c:v>
                </c:pt>
                <c:pt idx="29">
                  <c:v>86.1</c:v>
                </c:pt>
                <c:pt idx="30">
                  <c:v>98.5</c:v>
                </c:pt>
                <c:pt idx="31">
                  <c:v>102.4</c:v>
                </c:pt>
                <c:pt idx="32">
                  <c:v>120.8</c:v>
                </c:pt>
                <c:pt idx="33">
                  <c:v>116.9</c:v>
                </c:pt>
                <c:pt idx="34">
                  <c:v>132.4</c:v>
                </c:pt>
                <c:pt idx="37">
                  <c:v>69.5</c:v>
                </c:pt>
                <c:pt idx="38">
                  <c:v>72.400000000000006</c:v>
                </c:pt>
                <c:pt idx="39">
                  <c:v>128.30000000000001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F-4238-9705-C209D11B0346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fysico-chemie'!$M$172:$M$211</c:f>
              <c:numCache>
                <c:formatCode>General</c:formatCode>
                <c:ptCount val="40"/>
                <c:pt idx="0">
                  <c:v>96.6</c:v>
                </c:pt>
                <c:pt idx="1">
                  <c:v>65.8</c:v>
                </c:pt>
                <c:pt idx="2">
                  <c:v>56.3</c:v>
                </c:pt>
                <c:pt idx="3">
                  <c:v>111.5</c:v>
                </c:pt>
                <c:pt idx="4">
                  <c:v>114.7</c:v>
                </c:pt>
                <c:pt idx="5">
                  <c:v>91.9</c:v>
                </c:pt>
                <c:pt idx="6">
                  <c:v>107.2</c:v>
                </c:pt>
                <c:pt idx="7">
                  <c:v>182.5</c:v>
                </c:pt>
                <c:pt idx="8">
                  <c:v>134</c:v>
                </c:pt>
                <c:pt idx="9">
                  <c:v>128.69999999999999</c:v>
                </c:pt>
                <c:pt idx="10">
                  <c:v>86.4</c:v>
                </c:pt>
                <c:pt idx="13">
                  <c:v>81.2</c:v>
                </c:pt>
                <c:pt idx="14">
                  <c:v>65.599999999999994</c:v>
                </c:pt>
                <c:pt idx="15">
                  <c:v>83.2</c:v>
                </c:pt>
                <c:pt idx="16">
                  <c:v>72.3</c:v>
                </c:pt>
                <c:pt idx="17">
                  <c:v>124.2</c:v>
                </c:pt>
                <c:pt idx="18">
                  <c:v>167.6</c:v>
                </c:pt>
                <c:pt idx="19">
                  <c:v>154.69999999999999</c:v>
                </c:pt>
                <c:pt idx="20">
                  <c:v>151.80000000000001</c:v>
                </c:pt>
                <c:pt idx="21">
                  <c:v>200</c:v>
                </c:pt>
                <c:pt idx="22">
                  <c:v>72</c:v>
                </c:pt>
                <c:pt idx="23">
                  <c:v>147</c:v>
                </c:pt>
                <c:pt idx="24">
                  <c:v>168.5</c:v>
                </c:pt>
                <c:pt idx="25">
                  <c:v>200</c:v>
                </c:pt>
                <c:pt idx="28">
                  <c:v>88.3</c:v>
                </c:pt>
                <c:pt idx="29">
                  <c:v>86.3</c:v>
                </c:pt>
                <c:pt idx="30">
                  <c:v>98.3</c:v>
                </c:pt>
                <c:pt idx="31">
                  <c:v>102.3</c:v>
                </c:pt>
                <c:pt idx="32">
                  <c:v>122.1</c:v>
                </c:pt>
                <c:pt idx="33">
                  <c:v>117.8</c:v>
                </c:pt>
                <c:pt idx="34">
                  <c:v>129.4</c:v>
                </c:pt>
                <c:pt idx="37">
                  <c:v>71.099999999999994</c:v>
                </c:pt>
                <c:pt idx="38">
                  <c:v>69.8</c:v>
                </c:pt>
                <c:pt idx="39">
                  <c:v>128.19999999999999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F-4238-9705-C209D11B0346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fysico-chemie'!$J$172:$J$211</c:f>
              <c:numCache>
                <c:formatCode>General</c:formatCode>
                <c:ptCount val="40"/>
                <c:pt idx="0">
                  <c:v>72.599999999999994</c:v>
                </c:pt>
                <c:pt idx="1">
                  <c:v>61.5</c:v>
                </c:pt>
                <c:pt idx="2">
                  <c:v>84.8</c:v>
                </c:pt>
                <c:pt idx="3">
                  <c:v>109.9</c:v>
                </c:pt>
                <c:pt idx="4">
                  <c:v>100.3</c:v>
                </c:pt>
                <c:pt idx="5">
                  <c:v>98</c:v>
                </c:pt>
                <c:pt idx="6">
                  <c:v>107.2</c:v>
                </c:pt>
                <c:pt idx="7">
                  <c:v>160.6</c:v>
                </c:pt>
                <c:pt idx="8">
                  <c:v>133</c:v>
                </c:pt>
                <c:pt idx="9">
                  <c:v>137.19999999999999</c:v>
                </c:pt>
                <c:pt idx="10">
                  <c:v>82.2</c:v>
                </c:pt>
                <c:pt idx="13">
                  <c:v>81.599999999999994</c:v>
                </c:pt>
                <c:pt idx="14">
                  <c:v>66.099999999999994</c:v>
                </c:pt>
                <c:pt idx="15">
                  <c:v>75.400000000000006</c:v>
                </c:pt>
                <c:pt idx="16">
                  <c:v>70.5</c:v>
                </c:pt>
                <c:pt idx="17">
                  <c:v>116.6</c:v>
                </c:pt>
                <c:pt idx="18">
                  <c:v>186.7</c:v>
                </c:pt>
                <c:pt idx="19">
                  <c:v>146.80000000000001</c:v>
                </c:pt>
                <c:pt idx="20">
                  <c:v>150.30000000000001</c:v>
                </c:pt>
                <c:pt idx="21">
                  <c:v>45.9</c:v>
                </c:pt>
                <c:pt idx="22">
                  <c:v>1</c:v>
                </c:pt>
                <c:pt idx="23">
                  <c:v>113.4</c:v>
                </c:pt>
                <c:pt idx="24">
                  <c:v>134.1</c:v>
                </c:pt>
                <c:pt idx="25">
                  <c:v>200</c:v>
                </c:pt>
                <c:pt idx="28">
                  <c:v>86.7</c:v>
                </c:pt>
                <c:pt idx="29">
                  <c:v>85.7</c:v>
                </c:pt>
                <c:pt idx="30">
                  <c:v>99.4</c:v>
                </c:pt>
                <c:pt idx="31">
                  <c:v>100.8</c:v>
                </c:pt>
                <c:pt idx="32">
                  <c:v>110.6</c:v>
                </c:pt>
                <c:pt idx="33">
                  <c:v>117.5</c:v>
                </c:pt>
                <c:pt idx="34">
                  <c:v>117.9</c:v>
                </c:pt>
                <c:pt idx="37">
                  <c:v>43.9</c:v>
                </c:pt>
                <c:pt idx="38">
                  <c:v>14.7</c:v>
                </c:pt>
                <c:pt idx="39">
                  <c:v>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DF-4238-9705-C209D11B0346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fysico-chemie'!$N$172:$N$211</c:f>
              <c:numCache>
                <c:formatCode>General</c:formatCode>
                <c:ptCount val="40"/>
                <c:pt idx="0">
                  <c:v>83.2</c:v>
                </c:pt>
                <c:pt idx="1">
                  <c:v>60.4</c:v>
                </c:pt>
                <c:pt idx="2">
                  <c:v>57.3</c:v>
                </c:pt>
                <c:pt idx="3">
                  <c:v>108</c:v>
                </c:pt>
                <c:pt idx="4">
                  <c:v>92.4</c:v>
                </c:pt>
                <c:pt idx="5">
                  <c:v>101.2</c:v>
                </c:pt>
                <c:pt idx="6">
                  <c:v>128.4</c:v>
                </c:pt>
                <c:pt idx="7">
                  <c:v>177.9</c:v>
                </c:pt>
                <c:pt idx="8">
                  <c:v>123.5</c:v>
                </c:pt>
                <c:pt idx="9">
                  <c:v>129.5</c:v>
                </c:pt>
                <c:pt idx="10">
                  <c:v>68.900000000000006</c:v>
                </c:pt>
                <c:pt idx="13">
                  <c:v>80.5</c:v>
                </c:pt>
                <c:pt idx="14">
                  <c:v>65.5</c:v>
                </c:pt>
                <c:pt idx="15">
                  <c:v>78.099999999999994</c:v>
                </c:pt>
                <c:pt idx="16">
                  <c:v>71.900000000000006</c:v>
                </c:pt>
                <c:pt idx="17">
                  <c:v>115.7</c:v>
                </c:pt>
                <c:pt idx="18">
                  <c:v>174.3</c:v>
                </c:pt>
                <c:pt idx="19">
                  <c:v>161.69999999999999</c:v>
                </c:pt>
                <c:pt idx="20">
                  <c:v>144.30000000000001</c:v>
                </c:pt>
                <c:pt idx="21">
                  <c:v>70</c:v>
                </c:pt>
                <c:pt idx="22">
                  <c:v>1.1000000000000001</c:v>
                </c:pt>
                <c:pt idx="23">
                  <c:v>116.3</c:v>
                </c:pt>
                <c:pt idx="24">
                  <c:v>28.8</c:v>
                </c:pt>
                <c:pt idx="25">
                  <c:v>200</c:v>
                </c:pt>
                <c:pt idx="28">
                  <c:v>86.2</c:v>
                </c:pt>
                <c:pt idx="29">
                  <c:v>85.8</c:v>
                </c:pt>
                <c:pt idx="30">
                  <c:v>99.4</c:v>
                </c:pt>
                <c:pt idx="31">
                  <c:v>102</c:v>
                </c:pt>
                <c:pt idx="32">
                  <c:v>106.9</c:v>
                </c:pt>
                <c:pt idx="33">
                  <c:v>117.3</c:v>
                </c:pt>
                <c:pt idx="34">
                  <c:v>122.2</c:v>
                </c:pt>
                <c:pt idx="37">
                  <c:v>39.6</c:v>
                </c:pt>
                <c:pt idx="38">
                  <c:v>12</c:v>
                </c:pt>
                <c:pt idx="39">
                  <c:v>74.5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DF-4238-9705-C209D11B0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7008"/>
        <c:axId val="143068544"/>
      </c:lineChart>
      <c:catAx>
        <c:axId val="143067008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068544"/>
        <c:crosses val="autoZero"/>
        <c:auto val="0"/>
        <c:lblAlgn val="ctr"/>
        <c:lblOffset val="100"/>
        <c:noMultiLvlLbl val="1"/>
      </c:catAx>
      <c:valAx>
        <c:axId val="143068544"/>
        <c:scaling>
          <c:orientation val="minMax"/>
          <c:max val="21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067008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13183293908488408"/>
          <c:y val="5.6522320085395358E-2"/>
          <c:w val="0.15863532006602626"/>
          <c:h val="0.2751225376945248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7852391675235E-2"/>
          <c:y val="6.5810551588543612E-2"/>
          <c:w val="0.89005726491293014"/>
          <c:h val="0.73941897574636872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fysico-chemie'!$P$172:$P$211</c:f>
              <c:numCache>
                <c:formatCode>General</c:formatCode>
                <c:ptCount val="40"/>
                <c:pt idx="0">
                  <c:v>98</c:v>
                </c:pt>
                <c:pt idx="1">
                  <c:v>78.2</c:v>
                </c:pt>
                <c:pt idx="2">
                  <c:v>61.8</c:v>
                </c:pt>
                <c:pt idx="3">
                  <c:v>118.9</c:v>
                </c:pt>
                <c:pt idx="4">
                  <c:v>119.4</c:v>
                </c:pt>
                <c:pt idx="5">
                  <c:v>97.3</c:v>
                </c:pt>
                <c:pt idx="6">
                  <c:v>122.6</c:v>
                </c:pt>
                <c:pt idx="7">
                  <c:v>124.8</c:v>
                </c:pt>
                <c:pt idx="8">
                  <c:v>119.4</c:v>
                </c:pt>
                <c:pt idx="9">
                  <c:v>143.5</c:v>
                </c:pt>
                <c:pt idx="10">
                  <c:v>101.2</c:v>
                </c:pt>
                <c:pt idx="13">
                  <c:v>81.5</c:v>
                </c:pt>
                <c:pt idx="14">
                  <c:v>64.5</c:v>
                </c:pt>
                <c:pt idx="15">
                  <c:v>77.599999999999994</c:v>
                </c:pt>
                <c:pt idx="16">
                  <c:v>82.1</c:v>
                </c:pt>
                <c:pt idx="17">
                  <c:v>115.5</c:v>
                </c:pt>
                <c:pt idx="18">
                  <c:v>165.9</c:v>
                </c:pt>
                <c:pt idx="19">
                  <c:v>151.5</c:v>
                </c:pt>
                <c:pt idx="20">
                  <c:v>140.1</c:v>
                </c:pt>
                <c:pt idx="21">
                  <c:v>159.4</c:v>
                </c:pt>
                <c:pt idx="22">
                  <c:v>62.8</c:v>
                </c:pt>
                <c:pt idx="23">
                  <c:v>164</c:v>
                </c:pt>
                <c:pt idx="24">
                  <c:v>110.5</c:v>
                </c:pt>
                <c:pt idx="25">
                  <c:v>168.7</c:v>
                </c:pt>
                <c:pt idx="28">
                  <c:v>88.1</c:v>
                </c:pt>
                <c:pt idx="29">
                  <c:v>88.1</c:v>
                </c:pt>
                <c:pt idx="30">
                  <c:v>99</c:v>
                </c:pt>
                <c:pt idx="31">
                  <c:v>96.7</c:v>
                </c:pt>
                <c:pt idx="32">
                  <c:v>118.2</c:v>
                </c:pt>
                <c:pt idx="33">
                  <c:v>114.9</c:v>
                </c:pt>
                <c:pt idx="34">
                  <c:v>121</c:v>
                </c:pt>
                <c:pt idx="37">
                  <c:v>83.4</c:v>
                </c:pt>
                <c:pt idx="38">
                  <c:v>61.8</c:v>
                </c:pt>
                <c:pt idx="39">
                  <c:v>92.7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6-4B0D-BFA5-E5ECE7178F91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fysico-chemie'!$T$172:$T$211</c:f>
              <c:numCache>
                <c:formatCode>General</c:formatCode>
                <c:ptCount val="40"/>
                <c:pt idx="0">
                  <c:v>93.7</c:v>
                </c:pt>
                <c:pt idx="1">
                  <c:v>79.900000000000006</c:v>
                </c:pt>
                <c:pt idx="2">
                  <c:v>60.1</c:v>
                </c:pt>
                <c:pt idx="3">
                  <c:v>125</c:v>
                </c:pt>
                <c:pt idx="4">
                  <c:v>114</c:v>
                </c:pt>
                <c:pt idx="5">
                  <c:v>111.3</c:v>
                </c:pt>
                <c:pt idx="6">
                  <c:v>128</c:v>
                </c:pt>
                <c:pt idx="7">
                  <c:v>142.1</c:v>
                </c:pt>
                <c:pt idx="8">
                  <c:v>119.1</c:v>
                </c:pt>
                <c:pt idx="9">
                  <c:v>113.7</c:v>
                </c:pt>
                <c:pt idx="10">
                  <c:v>87.3</c:v>
                </c:pt>
                <c:pt idx="13">
                  <c:v>83.3</c:v>
                </c:pt>
                <c:pt idx="14">
                  <c:v>61.6</c:v>
                </c:pt>
                <c:pt idx="15">
                  <c:v>77.7</c:v>
                </c:pt>
                <c:pt idx="16">
                  <c:v>86.4</c:v>
                </c:pt>
                <c:pt idx="17">
                  <c:v>123</c:v>
                </c:pt>
                <c:pt idx="18">
                  <c:v>163.30000000000001</c:v>
                </c:pt>
                <c:pt idx="19">
                  <c:v>158.4</c:v>
                </c:pt>
                <c:pt idx="20">
                  <c:v>134.5</c:v>
                </c:pt>
                <c:pt idx="21">
                  <c:v>168.4</c:v>
                </c:pt>
                <c:pt idx="22">
                  <c:v>78.2</c:v>
                </c:pt>
                <c:pt idx="23">
                  <c:v>70.7</c:v>
                </c:pt>
                <c:pt idx="24">
                  <c:v>109</c:v>
                </c:pt>
                <c:pt idx="25">
                  <c:v>171.8</c:v>
                </c:pt>
                <c:pt idx="28">
                  <c:v>87.5</c:v>
                </c:pt>
                <c:pt idx="29">
                  <c:v>85.6</c:v>
                </c:pt>
                <c:pt idx="30">
                  <c:v>98.8</c:v>
                </c:pt>
                <c:pt idx="31">
                  <c:v>95.5</c:v>
                </c:pt>
                <c:pt idx="32">
                  <c:v>126.6</c:v>
                </c:pt>
                <c:pt idx="33">
                  <c:v>117.2</c:v>
                </c:pt>
                <c:pt idx="34">
                  <c:v>113</c:v>
                </c:pt>
                <c:pt idx="37">
                  <c:v>84.5</c:v>
                </c:pt>
                <c:pt idx="38">
                  <c:v>57</c:v>
                </c:pt>
                <c:pt idx="3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6-4B0D-BFA5-E5ECE7178F91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fysico-chemie'!$Q$172:$Q$211</c:f>
              <c:numCache>
                <c:formatCode>General</c:formatCode>
                <c:ptCount val="40"/>
                <c:pt idx="0">
                  <c:v>89</c:v>
                </c:pt>
                <c:pt idx="1">
                  <c:v>66.3</c:v>
                </c:pt>
                <c:pt idx="2">
                  <c:v>56.7</c:v>
                </c:pt>
                <c:pt idx="3">
                  <c:v>106</c:v>
                </c:pt>
                <c:pt idx="4">
                  <c:v>91.1</c:v>
                </c:pt>
                <c:pt idx="5">
                  <c:v>99.8</c:v>
                </c:pt>
                <c:pt idx="6">
                  <c:v>119.1</c:v>
                </c:pt>
                <c:pt idx="7">
                  <c:v>144.30000000000001</c:v>
                </c:pt>
                <c:pt idx="8">
                  <c:v>114.2</c:v>
                </c:pt>
                <c:pt idx="9">
                  <c:v>56.6</c:v>
                </c:pt>
                <c:pt idx="10">
                  <c:v>63.9</c:v>
                </c:pt>
                <c:pt idx="13">
                  <c:v>80.8</c:v>
                </c:pt>
                <c:pt idx="14">
                  <c:v>64.2</c:v>
                </c:pt>
                <c:pt idx="15">
                  <c:v>74</c:v>
                </c:pt>
                <c:pt idx="16">
                  <c:v>76.3</c:v>
                </c:pt>
                <c:pt idx="17">
                  <c:v>114.8</c:v>
                </c:pt>
                <c:pt idx="18">
                  <c:v>200</c:v>
                </c:pt>
                <c:pt idx="19">
                  <c:v>156</c:v>
                </c:pt>
                <c:pt idx="20">
                  <c:v>135.19999999999999</c:v>
                </c:pt>
                <c:pt idx="21">
                  <c:v>31</c:v>
                </c:pt>
                <c:pt idx="22">
                  <c:v>3.8</c:v>
                </c:pt>
                <c:pt idx="23">
                  <c:v>16.2</c:v>
                </c:pt>
                <c:pt idx="24">
                  <c:v>2.6</c:v>
                </c:pt>
                <c:pt idx="25">
                  <c:v>123.6</c:v>
                </c:pt>
                <c:pt idx="28">
                  <c:v>83.6</c:v>
                </c:pt>
                <c:pt idx="29">
                  <c:v>87.5</c:v>
                </c:pt>
                <c:pt idx="30">
                  <c:v>100.2</c:v>
                </c:pt>
                <c:pt idx="31">
                  <c:v>96</c:v>
                </c:pt>
                <c:pt idx="32">
                  <c:v>93</c:v>
                </c:pt>
                <c:pt idx="33">
                  <c:v>114.6</c:v>
                </c:pt>
                <c:pt idx="34">
                  <c:v>116.6</c:v>
                </c:pt>
                <c:pt idx="37">
                  <c:v>33.299999999999997</c:v>
                </c:pt>
                <c:pt idx="38">
                  <c:v>14</c:v>
                </c:pt>
                <c:pt idx="39">
                  <c:v>104.7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6-4B0D-BFA5-E5ECE7178F91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fysico-chemie'!$U$172:$U$211</c:f>
              <c:numCache>
                <c:formatCode>General</c:formatCode>
                <c:ptCount val="40"/>
                <c:pt idx="0">
                  <c:v>92</c:v>
                </c:pt>
                <c:pt idx="1">
                  <c:v>76.2</c:v>
                </c:pt>
                <c:pt idx="2">
                  <c:v>56.7</c:v>
                </c:pt>
                <c:pt idx="3">
                  <c:v>122.8</c:v>
                </c:pt>
                <c:pt idx="4">
                  <c:v>90.4</c:v>
                </c:pt>
                <c:pt idx="5">
                  <c:v>102.3</c:v>
                </c:pt>
                <c:pt idx="6">
                  <c:v>130.1</c:v>
                </c:pt>
                <c:pt idx="7">
                  <c:v>208.4</c:v>
                </c:pt>
                <c:pt idx="8">
                  <c:v>108</c:v>
                </c:pt>
                <c:pt idx="9">
                  <c:v>71.900000000000006</c:v>
                </c:pt>
                <c:pt idx="10">
                  <c:v>73.7</c:v>
                </c:pt>
                <c:pt idx="13">
                  <c:v>81.3</c:v>
                </c:pt>
                <c:pt idx="14">
                  <c:v>61.9</c:v>
                </c:pt>
                <c:pt idx="15">
                  <c:v>75.8</c:v>
                </c:pt>
                <c:pt idx="16">
                  <c:v>83.7</c:v>
                </c:pt>
                <c:pt idx="17">
                  <c:v>126</c:v>
                </c:pt>
                <c:pt idx="18">
                  <c:v>200</c:v>
                </c:pt>
                <c:pt idx="19">
                  <c:v>154.80000000000001</c:v>
                </c:pt>
                <c:pt idx="20">
                  <c:v>119.9</c:v>
                </c:pt>
                <c:pt idx="21">
                  <c:v>29</c:v>
                </c:pt>
                <c:pt idx="22">
                  <c:v>2.9</c:v>
                </c:pt>
                <c:pt idx="23">
                  <c:v>34.1</c:v>
                </c:pt>
                <c:pt idx="24">
                  <c:v>3.4</c:v>
                </c:pt>
                <c:pt idx="25">
                  <c:v>112.4</c:v>
                </c:pt>
                <c:pt idx="28">
                  <c:v>84.4</c:v>
                </c:pt>
                <c:pt idx="29">
                  <c:v>85.3</c:v>
                </c:pt>
                <c:pt idx="30">
                  <c:v>99.7</c:v>
                </c:pt>
                <c:pt idx="31">
                  <c:v>94.5</c:v>
                </c:pt>
                <c:pt idx="32">
                  <c:v>95.8</c:v>
                </c:pt>
                <c:pt idx="33">
                  <c:v>116.2</c:v>
                </c:pt>
                <c:pt idx="34">
                  <c:v>106.3</c:v>
                </c:pt>
                <c:pt idx="37">
                  <c:v>46.3</c:v>
                </c:pt>
                <c:pt idx="38">
                  <c:v>12.7</c:v>
                </c:pt>
                <c:pt idx="39">
                  <c:v>117.4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66-4B0D-BFA5-E5ECE7178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99392"/>
        <c:axId val="143100928"/>
      </c:lineChart>
      <c:catAx>
        <c:axId val="143099392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525" cap="flat">
            <a:solidFill>
              <a:schemeClr val="tx1"/>
            </a:solidFill>
            <a:miter lim="800000"/>
          </a:ln>
        </c:spPr>
        <c:crossAx val="143100928"/>
        <c:crossesAt val="0"/>
        <c:auto val="0"/>
        <c:lblAlgn val="ctr"/>
        <c:lblOffset val="100"/>
        <c:noMultiLvlLbl val="1"/>
      </c:catAx>
      <c:valAx>
        <c:axId val="143100928"/>
        <c:scaling>
          <c:orientation val="minMax"/>
          <c:max val="21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0993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280868800890202"/>
          <c:y val="5.6522320085395358E-2"/>
          <c:w val="0.15863532006602626"/>
          <c:h val="0.26357852789938713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85870707696279225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fysico-chemie'!$B$237:$B$276</c:f>
              <c:numCache>
                <c:formatCode>General</c:formatCode>
                <c:ptCount val="40"/>
                <c:pt idx="0">
                  <c:v>8.27</c:v>
                </c:pt>
                <c:pt idx="1">
                  <c:v>8.1999999999999993</c:v>
                </c:pt>
                <c:pt idx="2">
                  <c:v>8.64</c:v>
                </c:pt>
                <c:pt idx="3">
                  <c:v>8.36</c:v>
                </c:pt>
                <c:pt idx="4">
                  <c:v>8.34</c:v>
                </c:pt>
                <c:pt idx="5">
                  <c:v>8.4</c:v>
                </c:pt>
                <c:pt idx="6">
                  <c:v>8.44</c:v>
                </c:pt>
                <c:pt idx="7">
                  <c:v>8.42</c:v>
                </c:pt>
                <c:pt idx="8">
                  <c:v>8.36</c:v>
                </c:pt>
                <c:pt idx="9">
                  <c:v>8.7200000000000006</c:v>
                </c:pt>
                <c:pt idx="10">
                  <c:v>7.68</c:v>
                </c:pt>
                <c:pt idx="13">
                  <c:v>8.09</c:v>
                </c:pt>
                <c:pt idx="14">
                  <c:v>7.8</c:v>
                </c:pt>
                <c:pt idx="15">
                  <c:v>7.92</c:v>
                </c:pt>
                <c:pt idx="16">
                  <c:v>8.1999999999999993</c:v>
                </c:pt>
                <c:pt idx="17">
                  <c:v>8.32</c:v>
                </c:pt>
                <c:pt idx="18">
                  <c:v>8.59</c:v>
                </c:pt>
                <c:pt idx="19">
                  <c:v>8.67</c:v>
                </c:pt>
                <c:pt idx="20">
                  <c:v>8.7799999999999994</c:v>
                </c:pt>
                <c:pt idx="21">
                  <c:v>9.01</c:v>
                </c:pt>
                <c:pt idx="22">
                  <c:v>8.5</c:v>
                </c:pt>
                <c:pt idx="23">
                  <c:v>8.57</c:v>
                </c:pt>
                <c:pt idx="24">
                  <c:v>9.0399999999999991</c:v>
                </c:pt>
                <c:pt idx="25">
                  <c:v>9</c:v>
                </c:pt>
                <c:pt idx="28">
                  <c:v>7.8</c:v>
                </c:pt>
                <c:pt idx="29">
                  <c:v>8.01</c:v>
                </c:pt>
                <c:pt idx="30">
                  <c:v>8.0449999999999999</c:v>
                </c:pt>
                <c:pt idx="31">
                  <c:v>8.1</c:v>
                </c:pt>
                <c:pt idx="32">
                  <c:v>8.1300000000000008</c:v>
                </c:pt>
                <c:pt idx="33">
                  <c:v>8.14</c:v>
                </c:pt>
                <c:pt idx="34" formatCode="#,##0.00">
                  <c:v>8.3119999999999994</c:v>
                </c:pt>
                <c:pt idx="35" formatCode="#,##0.00">
                  <c:v>8.0589999999999993</c:v>
                </c:pt>
                <c:pt idx="36" formatCode="#,##0.00">
                  <c:v>8.15</c:v>
                </c:pt>
                <c:pt idx="37" formatCode="#,##0.00">
                  <c:v>7.97</c:v>
                </c:pt>
                <c:pt idx="38" formatCode="#,##0.00">
                  <c:v>7.9610000000000003</c:v>
                </c:pt>
                <c:pt idx="39" formatCode="#,##0.00">
                  <c:v>8.3879999999999999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B-4946-8236-03A4050AC4DF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fysico-chemie'!$F$237:$F$276</c:f>
              <c:numCache>
                <c:formatCode>General</c:formatCode>
                <c:ptCount val="40"/>
                <c:pt idx="0">
                  <c:v>8.33</c:v>
                </c:pt>
                <c:pt idx="1">
                  <c:v>8.26</c:v>
                </c:pt>
                <c:pt idx="2">
                  <c:v>8.61</c:v>
                </c:pt>
                <c:pt idx="3">
                  <c:v>8.34</c:v>
                </c:pt>
                <c:pt idx="4">
                  <c:v>8.35</c:v>
                </c:pt>
                <c:pt idx="5">
                  <c:v>8.42</c:v>
                </c:pt>
                <c:pt idx="6">
                  <c:v>8.49</c:v>
                </c:pt>
                <c:pt idx="7">
                  <c:v>8.5399999999999991</c:v>
                </c:pt>
                <c:pt idx="8">
                  <c:v>8.6999999999999993</c:v>
                </c:pt>
                <c:pt idx="9">
                  <c:v>8.76</c:v>
                </c:pt>
                <c:pt idx="10">
                  <c:v>7.72</c:v>
                </c:pt>
                <c:pt idx="13">
                  <c:v>8.09</c:v>
                </c:pt>
                <c:pt idx="14">
                  <c:v>7.88</c:v>
                </c:pt>
                <c:pt idx="15">
                  <c:v>7.92</c:v>
                </c:pt>
                <c:pt idx="16">
                  <c:v>8.15</c:v>
                </c:pt>
                <c:pt idx="17">
                  <c:v>8.32</c:v>
                </c:pt>
                <c:pt idx="18">
                  <c:v>8.59</c:v>
                </c:pt>
                <c:pt idx="19">
                  <c:v>8.65</c:v>
                </c:pt>
                <c:pt idx="20">
                  <c:v>8.7799999999999994</c:v>
                </c:pt>
                <c:pt idx="21">
                  <c:v>8.4499999999999993</c:v>
                </c:pt>
                <c:pt idx="22">
                  <c:v>8.4700000000000006</c:v>
                </c:pt>
                <c:pt idx="23">
                  <c:v>8.56</c:v>
                </c:pt>
                <c:pt idx="24">
                  <c:v>9.0500000000000007</c:v>
                </c:pt>
                <c:pt idx="25">
                  <c:v>8.9600000000000009</c:v>
                </c:pt>
                <c:pt idx="28">
                  <c:v>7.8</c:v>
                </c:pt>
                <c:pt idx="29">
                  <c:v>8.0589999999999993</c:v>
                </c:pt>
                <c:pt idx="30">
                  <c:v>8.07</c:v>
                </c:pt>
                <c:pt idx="31">
                  <c:v>8.1</c:v>
                </c:pt>
                <c:pt idx="32">
                  <c:v>8.2129999999999992</c:v>
                </c:pt>
                <c:pt idx="33">
                  <c:v>8.1300000000000008</c:v>
                </c:pt>
                <c:pt idx="34" formatCode="#,##0.00">
                  <c:v>8.1859999999999999</c:v>
                </c:pt>
                <c:pt idx="35" formatCode="#,##0.00">
                  <c:v>8.0440000000000005</c:v>
                </c:pt>
                <c:pt idx="36" formatCode="#,##0.00">
                  <c:v>8.2249999999999996</c:v>
                </c:pt>
                <c:pt idx="37" formatCode="#,##0.00">
                  <c:v>7.976</c:v>
                </c:pt>
                <c:pt idx="38" formatCode="#,##0.00">
                  <c:v>7.9690000000000003</c:v>
                </c:pt>
                <c:pt idx="39" formatCode="#,##0.00">
                  <c:v>8.4009999999999998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B-4946-8236-03A4050AC4DF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fysico-chemie'!$C$237:$C$276</c:f>
              <c:numCache>
                <c:formatCode>General</c:formatCode>
                <c:ptCount val="40"/>
                <c:pt idx="0">
                  <c:v>8.33</c:v>
                </c:pt>
                <c:pt idx="1">
                  <c:v>8.19</c:v>
                </c:pt>
                <c:pt idx="2">
                  <c:v>8.23</c:v>
                </c:pt>
                <c:pt idx="3">
                  <c:v>8.2799999999999994</c:v>
                </c:pt>
                <c:pt idx="4">
                  <c:v>8.09</c:v>
                </c:pt>
                <c:pt idx="5">
                  <c:v>8.1199999999999992</c:v>
                </c:pt>
                <c:pt idx="6">
                  <c:v>8.15</c:v>
                </c:pt>
                <c:pt idx="7">
                  <c:v>8.11</c:v>
                </c:pt>
                <c:pt idx="8">
                  <c:v>8.15</c:v>
                </c:pt>
                <c:pt idx="9">
                  <c:v>8.25</c:v>
                </c:pt>
                <c:pt idx="10">
                  <c:v>7.62</c:v>
                </c:pt>
                <c:pt idx="13">
                  <c:v>8.09</c:v>
                </c:pt>
                <c:pt idx="14">
                  <c:v>7.8</c:v>
                </c:pt>
                <c:pt idx="15">
                  <c:v>7.91</c:v>
                </c:pt>
                <c:pt idx="16">
                  <c:v>8.07</c:v>
                </c:pt>
                <c:pt idx="17">
                  <c:v>8.16</c:v>
                </c:pt>
                <c:pt idx="18">
                  <c:v>8.6300000000000008</c:v>
                </c:pt>
                <c:pt idx="19">
                  <c:v>8.51</c:v>
                </c:pt>
                <c:pt idx="20">
                  <c:v>8.56</c:v>
                </c:pt>
                <c:pt idx="21">
                  <c:v>8.33</c:v>
                </c:pt>
                <c:pt idx="22">
                  <c:v>8.08</c:v>
                </c:pt>
                <c:pt idx="23">
                  <c:v>8.58</c:v>
                </c:pt>
                <c:pt idx="24">
                  <c:v>8.3800000000000008</c:v>
                </c:pt>
                <c:pt idx="25">
                  <c:v>8.9</c:v>
                </c:pt>
                <c:pt idx="28">
                  <c:v>7.8</c:v>
                </c:pt>
                <c:pt idx="29">
                  <c:v>8.016</c:v>
                </c:pt>
                <c:pt idx="30">
                  <c:v>8.1</c:v>
                </c:pt>
                <c:pt idx="31">
                  <c:v>8.1</c:v>
                </c:pt>
                <c:pt idx="32">
                  <c:v>8.0950000000000006</c:v>
                </c:pt>
                <c:pt idx="33">
                  <c:v>8.1300000000000008</c:v>
                </c:pt>
                <c:pt idx="34" formatCode="#,##0.00">
                  <c:v>8.35</c:v>
                </c:pt>
                <c:pt idx="35" formatCode="#,##0.00">
                  <c:v>8.0660000000000007</c:v>
                </c:pt>
                <c:pt idx="36" formatCode="#,##0.00">
                  <c:v>8.0749999999999993</c:v>
                </c:pt>
                <c:pt idx="37" formatCode="#,##0.00">
                  <c:v>7.94</c:v>
                </c:pt>
                <c:pt idx="38" formatCode="#,##0.00">
                  <c:v>7.6689999999999996</c:v>
                </c:pt>
                <c:pt idx="39" formatCode="#,##0.00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0B-4946-8236-03A4050AC4DF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fysico-chemie'!$G$237:$G$276</c:f>
              <c:numCache>
                <c:formatCode>General</c:formatCode>
                <c:ptCount val="40"/>
                <c:pt idx="0">
                  <c:v>8.35</c:v>
                </c:pt>
                <c:pt idx="1">
                  <c:v>8.2100000000000009</c:v>
                </c:pt>
                <c:pt idx="2">
                  <c:v>8.33</c:v>
                </c:pt>
                <c:pt idx="3">
                  <c:v>8.06</c:v>
                </c:pt>
                <c:pt idx="4">
                  <c:v>8.1999999999999993</c:v>
                </c:pt>
                <c:pt idx="5">
                  <c:v>7.9</c:v>
                </c:pt>
                <c:pt idx="6">
                  <c:v>8.1300000000000008</c:v>
                </c:pt>
                <c:pt idx="7">
                  <c:v>8.1999999999999993</c:v>
                </c:pt>
                <c:pt idx="8">
                  <c:v>8.1999999999999993</c:v>
                </c:pt>
                <c:pt idx="9">
                  <c:v>8.26</c:v>
                </c:pt>
                <c:pt idx="10">
                  <c:v>7.65</c:v>
                </c:pt>
                <c:pt idx="13">
                  <c:v>8.09</c:v>
                </c:pt>
                <c:pt idx="14">
                  <c:v>7.87</c:v>
                </c:pt>
                <c:pt idx="15">
                  <c:v>7.92</c:v>
                </c:pt>
                <c:pt idx="16">
                  <c:v>8.0500000000000007</c:v>
                </c:pt>
                <c:pt idx="17">
                  <c:v>8.17</c:v>
                </c:pt>
                <c:pt idx="18">
                  <c:v>8.64</c:v>
                </c:pt>
                <c:pt idx="19">
                  <c:v>8.48</c:v>
                </c:pt>
                <c:pt idx="20">
                  <c:v>8.6300000000000008</c:v>
                </c:pt>
                <c:pt idx="21">
                  <c:v>8.39</c:v>
                </c:pt>
                <c:pt idx="22">
                  <c:v>8.0399999999999991</c:v>
                </c:pt>
                <c:pt idx="23">
                  <c:v>8.25</c:v>
                </c:pt>
                <c:pt idx="24">
                  <c:v>8.56</c:v>
                </c:pt>
                <c:pt idx="25">
                  <c:v>8.85</c:v>
                </c:pt>
                <c:pt idx="28">
                  <c:v>7.8</c:v>
                </c:pt>
                <c:pt idx="29">
                  <c:v>8.0289999999999999</c:v>
                </c:pt>
                <c:pt idx="30">
                  <c:v>8.1020000000000003</c:v>
                </c:pt>
                <c:pt idx="31">
                  <c:v>8.1</c:v>
                </c:pt>
                <c:pt idx="32">
                  <c:v>8.1140000000000008</c:v>
                </c:pt>
                <c:pt idx="33">
                  <c:v>8.1300000000000008</c:v>
                </c:pt>
                <c:pt idx="34" formatCode="#,##0.00">
                  <c:v>8.3119999999999994</c:v>
                </c:pt>
                <c:pt idx="35" formatCode="#,##0.00">
                  <c:v>8.0459999999999994</c:v>
                </c:pt>
                <c:pt idx="36" formatCode="#,##0.00">
                  <c:v>8.0220000000000002</c:v>
                </c:pt>
                <c:pt idx="37" formatCode="#,##0.00">
                  <c:v>7.923</c:v>
                </c:pt>
                <c:pt idx="38" formatCode="#,##0.00">
                  <c:v>7.734</c:v>
                </c:pt>
                <c:pt idx="39" formatCode="#,##0.00">
                  <c:v>8.1210000000000004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0B-4946-8236-03A4050AC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148544"/>
        <c:axId val="143150080"/>
      </c:lineChart>
      <c:catAx>
        <c:axId val="143148544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640000"/>
          <a:lstStyle/>
          <a:p>
            <a:pPr>
              <a:defRPr/>
            </a:pPr>
            <a:endParaRPr lang="nl-BE"/>
          </a:p>
        </c:txPr>
        <c:crossAx val="143150080"/>
        <c:crosses val="autoZero"/>
        <c:auto val="0"/>
        <c:lblAlgn val="ctr"/>
        <c:lblOffset val="100"/>
        <c:noMultiLvlLbl val="1"/>
      </c:catAx>
      <c:valAx>
        <c:axId val="143150080"/>
        <c:scaling>
          <c:orientation val="minMax"/>
          <c:max val="9.25"/>
          <c:min val="7.5"/>
        </c:scaling>
        <c:delete val="0"/>
        <c:axPos val="l"/>
        <c:numFmt formatCode="General" sourceLinked="1"/>
        <c:majorTickMark val="out"/>
        <c:minorTickMark val="none"/>
        <c:tickLblPos val="nextTo"/>
        <c:crossAx val="143148544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1656738806198168"/>
          <c:y val="3.3434300495119834E-2"/>
          <c:w val="0.15863532006602626"/>
          <c:h val="0.2058584789236983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7317229692162768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fysico-chemie'!$I$237:$I$276</c:f>
              <c:numCache>
                <c:formatCode>General</c:formatCode>
                <c:ptCount val="40"/>
                <c:pt idx="0">
                  <c:v>8.25</c:v>
                </c:pt>
                <c:pt idx="1">
                  <c:v>8.15</c:v>
                </c:pt>
                <c:pt idx="2">
                  <c:v>8.6</c:v>
                </c:pt>
                <c:pt idx="3">
                  <c:v>8.32</c:v>
                </c:pt>
                <c:pt idx="4">
                  <c:v>8.33</c:v>
                </c:pt>
                <c:pt idx="5">
                  <c:v>8.4</c:v>
                </c:pt>
                <c:pt idx="6">
                  <c:v>8.4700000000000006</c:v>
                </c:pt>
                <c:pt idx="7">
                  <c:v>8.64</c:v>
                </c:pt>
                <c:pt idx="8">
                  <c:v>8.77</c:v>
                </c:pt>
                <c:pt idx="9">
                  <c:v>8.58</c:v>
                </c:pt>
                <c:pt idx="10">
                  <c:v>8.16</c:v>
                </c:pt>
                <c:pt idx="13">
                  <c:v>8.08</c:v>
                </c:pt>
                <c:pt idx="14">
                  <c:v>7.86</c:v>
                </c:pt>
                <c:pt idx="15">
                  <c:v>7.92</c:v>
                </c:pt>
                <c:pt idx="16">
                  <c:v>8.2200000000000006</c:v>
                </c:pt>
                <c:pt idx="17">
                  <c:v>8.18</c:v>
                </c:pt>
                <c:pt idx="18">
                  <c:v>8.57</c:v>
                </c:pt>
                <c:pt idx="19">
                  <c:v>8.59</c:v>
                </c:pt>
                <c:pt idx="20">
                  <c:v>8.68</c:v>
                </c:pt>
                <c:pt idx="21">
                  <c:v>9.1199999999999992</c:v>
                </c:pt>
                <c:pt idx="22">
                  <c:v>8.4499999999999993</c:v>
                </c:pt>
                <c:pt idx="23">
                  <c:v>8.2200000000000006</c:v>
                </c:pt>
                <c:pt idx="24">
                  <c:v>9.0299999999999994</c:v>
                </c:pt>
                <c:pt idx="25">
                  <c:v>8.91</c:v>
                </c:pt>
                <c:pt idx="28">
                  <c:v>7.8</c:v>
                </c:pt>
                <c:pt idx="29">
                  <c:v>8.0489999999999995</c:v>
                </c:pt>
                <c:pt idx="30">
                  <c:v>8.0530000000000008</c:v>
                </c:pt>
                <c:pt idx="31">
                  <c:v>8.1</c:v>
                </c:pt>
                <c:pt idx="32">
                  <c:v>8.3109999999999999</c:v>
                </c:pt>
                <c:pt idx="33">
                  <c:v>8.14</c:v>
                </c:pt>
                <c:pt idx="34" formatCode="#,##0.00">
                  <c:v>8.2439999999999998</c:v>
                </c:pt>
                <c:pt idx="35" formatCode="#,##0.00">
                  <c:v>8.048</c:v>
                </c:pt>
                <c:pt idx="36" formatCode="#,##0.00">
                  <c:v>8.1039999999999992</c:v>
                </c:pt>
                <c:pt idx="37" formatCode="#,##0.00">
                  <c:v>8.0229999999999997</c:v>
                </c:pt>
                <c:pt idx="38" formatCode="#,##0.00">
                  <c:v>7.9749999999999996</c:v>
                </c:pt>
                <c:pt idx="39" formatCode="#,##0.00">
                  <c:v>8.43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D-4A01-A920-BA02AD683007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fysico-chemie'!$M$237:$M$276</c:f>
              <c:numCache>
                <c:formatCode>General</c:formatCode>
                <c:ptCount val="40"/>
                <c:pt idx="0">
                  <c:v>8.1199999999999992</c:v>
                </c:pt>
                <c:pt idx="1">
                  <c:v>8.2200000000000006</c:v>
                </c:pt>
                <c:pt idx="2">
                  <c:v>8.57</c:v>
                </c:pt>
                <c:pt idx="3">
                  <c:v>8.2799999999999994</c:v>
                </c:pt>
                <c:pt idx="4">
                  <c:v>8.2899999999999991</c:v>
                </c:pt>
                <c:pt idx="5">
                  <c:v>8.4</c:v>
                </c:pt>
                <c:pt idx="6">
                  <c:v>8.4</c:v>
                </c:pt>
                <c:pt idx="7">
                  <c:v>8.6999999999999993</c:v>
                </c:pt>
                <c:pt idx="8">
                  <c:v>8.7799999999999994</c:v>
                </c:pt>
                <c:pt idx="9">
                  <c:v>8.66</c:v>
                </c:pt>
                <c:pt idx="10">
                  <c:v>8.09</c:v>
                </c:pt>
                <c:pt idx="13">
                  <c:v>8.09</c:v>
                </c:pt>
                <c:pt idx="14">
                  <c:v>7.87</c:v>
                </c:pt>
                <c:pt idx="15">
                  <c:v>7.94</c:v>
                </c:pt>
                <c:pt idx="16">
                  <c:v>8.14</c:v>
                </c:pt>
                <c:pt idx="17">
                  <c:v>8.27</c:v>
                </c:pt>
                <c:pt idx="18">
                  <c:v>8.6</c:v>
                </c:pt>
                <c:pt idx="19">
                  <c:v>8.61</c:v>
                </c:pt>
                <c:pt idx="20">
                  <c:v>8.6999999999999993</c:v>
                </c:pt>
                <c:pt idx="21">
                  <c:v>9.15</c:v>
                </c:pt>
                <c:pt idx="22">
                  <c:v>8.41</c:v>
                </c:pt>
                <c:pt idx="23">
                  <c:v>8.5399999999999991</c:v>
                </c:pt>
                <c:pt idx="24">
                  <c:v>9.01</c:v>
                </c:pt>
                <c:pt idx="25">
                  <c:v>8.91</c:v>
                </c:pt>
                <c:pt idx="28">
                  <c:v>7.8</c:v>
                </c:pt>
                <c:pt idx="29">
                  <c:v>8.0489999999999995</c:v>
                </c:pt>
                <c:pt idx="30">
                  <c:v>8.0719999999999992</c:v>
                </c:pt>
                <c:pt idx="31">
                  <c:v>8.1</c:v>
                </c:pt>
                <c:pt idx="32">
                  <c:v>8.3239999999999998</c:v>
                </c:pt>
                <c:pt idx="33">
                  <c:v>8.1379999999999999</c:v>
                </c:pt>
                <c:pt idx="34" formatCode="#,##0.00">
                  <c:v>8.2710000000000008</c:v>
                </c:pt>
                <c:pt idx="35" formatCode="#,##0.00">
                  <c:v>8.0329999999999995</c:v>
                </c:pt>
                <c:pt idx="36" formatCode="#,##0.00">
                  <c:v>8.2530000000000001</c:v>
                </c:pt>
                <c:pt idx="37" formatCode="#,##0.00">
                  <c:v>8.0350000000000001</c:v>
                </c:pt>
                <c:pt idx="38" formatCode="#,##0.00">
                  <c:v>7.98</c:v>
                </c:pt>
                <c:pt idx="39" formatCode="#,##0.00">
                  <c:v>8.4160000000000004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D-4A01-A920-BA02AD683007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fysico-chemie'!$J$237:$J$276</c:f>
              <c:numCache>
                <c:formatCode>General</c:formatCode>
                <c:ptCount val="40"/>
                <c:pt idx="0">
                  <c:v>8.1300000000000008</c:v>
                </c:pt>
                <c:pt idx="1">
                  <c:v>8.19</c:v>
                </c:pt>
                <c:pt idx="2">
                  <c:v>8.27</c:v>
                </c:pt>
                <c:pt idx="3">
                  <c:v>7.99</c:v>
                </c:pt>
                <c:pt idx="4">
                  <c:v>8.08</c:v>
                </c:pt>
                <c:pt idx="5">
                  <c:v>7.95</c:v>
                </c:pt>
                <c:pt idx="6">
                  <c:v>7.99</c:v>
                </c:pt>
                <c:pt idx="7">
                  <c:v>8.18</c:v>
                </c:pt>
                <c:pt idx="8">
                  <c:v>8.27</c:v>
                </c:pt>
                <c:pt idx="9">
                  <c:v>8.1199999999999992</c:v>
                </c:pt>
                <c:pt idx="10">
                  <c:v>7.97</c:v>
                </c:pt>
                <c:pt idx="13">
                  <c:v>8.09</c:v>
                </c:pt>
                <c:pt idx="14">
                  <c:v>7.86</c:v>
                </c:pt>
                <c:pt idx="15">
                  <c:v>7.91</c:v>
                </c:pt>
                <c:pt idx="16">
                  <c:v>8</c:v>
                </c:pt>
                <c:pt idx="17">
                  <c:v>8.23</c:v>
                </c:pt>
                <c:pt idx="18">
                  <c:v>8.6</c:v>
                </c:pt>
                <c:pt idx="19">
                  <c:v>8.4</c:v>
                </c:pt>
                <c:pt idx="20">
                  <c:v>8.64</c:v>
                </c:pt>
                <c:pt idx="21">
                  <c:v>8.11</c:v>
                </c:pt>
                <c:pt idx="22">
                  <c:v>8.0500000000000007</c:v>
                </c:pt>
                <c:pt idx="23">
                  <c:v>8.4700000000000006</c:v>
                </c:pt>
                <c:pt idx="24">
                  <c:v>8.6199999999999992</c:v>
                </c:pt>
                <c:pt idx="25">
                  <c:v>8.33</c:v>
                </c:pt>
                <c:pt idx="28">
                  <c:v>7.8</c:v>
                </c:pt>
                <c:pt idx="29">
                  <c:v>8.0269999999999992</c:v>
                </c:pt>
                <c:pt idx="30">
                  <c:v>8.09</c:v>
                </c:pt>
                <c:pt idx="31">
                  <c:v>8.1</c:v>
                </c:pt>
                <c:pt idx="32">
                  <c:v>8.1170000000000009</c:v>
                </c:pt>
                <c:pt idx="33">
                  <c:v>8.1300000000000008</c:v>
                </c:pt>
                <c:pt idx="34" formatCode="#,##0.00">
                  <c:v>8.27</c:v>
                </c:pt>
                <c:pt idx="35" formatCode="#,##0.00">
                  <c:v>8.0510000000000002</c:v>
                </c:pt>
                <c:pt idx="36" formatCode="#,##0.00">
                  <c:v>8.0399999999999991</c:v>
                </c:pt>
                <c:pt idx="37" formatCode="#,##0.00">
                  <c:v>7.9260000000000002</c:v>
                </c:pt>
                <c:pt idx="38" formatCode="#,##0.00">
                  <c:v>7.65</c:v>
                </c:pt>
                <c:pt idx="39" formatCode="#,##0.00">
                  <c:v>8.2260000000000009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D-4A01-A920-BA02AD683007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fysico-chemie'!$N$237:$N$276</c:f>
              <c:numCache>
                <c:formatCode>General</c:formatCode>
                <c:ptCount val="40"/>
                <c:pt idx="0">
                  <c:v>8.24</c:v>
                </c:pt>
                <c:pt idx="1">
                  <c:v>8.2100000000000009</c:v>
                </c:pt>
                <c:pt idx="2">
                  <c:v>8.26</c:v>
                </c:pt>
                <c:pt idx="3">
                  <c:v>8.16</c:v>
                </c:pt>
                <c:pt idx="4">
                  <c:v>8.01</c:v>
                </c:pt>
                <c:pt idx="5">
                  <c:v>8.08</c:v>
                </c:pt>
                <c:pt idx="6">
                  <c:v>8.3800000000000008</c:v>
                </c:pt>
                <c:pt idx="7">
                  <c:v>8.25</c:v>
                </c:pt>
                <c:pt idx="8">
                  <c:v>8.1999999999999993</c:v>
                </c:pt>
                <c:pt idx="9">
                  <c:v>8.11</c:v>
                </c:pt>
                <c:pt idx="10">
                  <c:v>7.95</c:v>
                </c:pt>
                <c:pt idx="13">
                  <c:v>8.09</c:v>
                </c:pt>
                <c:pt idx="14">
                  <c:v>7.87</c:v>
                </c:pt>
                <c:pt idx="15">
                  <c:v>7.92</c:v>
                </c:pt>
                <c:pt idx="16">
                  <c:v>8.0399999999999991</c:v>
                </c:pt>
                <c:pt idx="17">
                  <c:v>8.15</c:v>
                </c:pt>
                <c:pt idx="18">
                  <c:v>8.57</c:v>
                </c:pt>
                <c:pt idx="19">
                  <c:v>8.4600000000000009</c:v>
                </c:pt>
                <c:pt idx="20">
                  <c:v>8.6</c:v>
                </c:pt>
                <c:pt idx="21">
                  <c:v>8.31</c:v>
                </c:pt>
                <c:pt idx="22">
                  <c:v>8</c:v>
                </c:pt>
                <c:pt idx="23">
                  <c:v>8.4</c:v>
                </c:pt>
                <c:pt idx="24">
                  <c:v>8.06</c:v>
                </c:pt>
                <c:pt idx="25">
                  <c:v>8.5299999999999994</c:v>
                </c:pt>
                <c:pt idx="28">
                  <c:v>7.8</c:v>
                </c:pt>
                <c:pt idx="29">
                  <c:v>8.0220000000000002</c:v>
                </c:pt>
                <c:pt idx="30">
                  <c:v>8.0920000000000005</c:v>
                </c:pt>
                <c:pt idx="31">
                  <c:v>8.1</c:v>
                </c:pt>
                <c:pt idx="32">
                  <c:v>8.1140000000000008</c:v>
                </c:pt>
                <c:pt idx="33">
                  <c:v>8.1349999999999998</c:v>
                </c:pt>
                <c:pt idx="34" formatCode="#,##0.00">
                  <c:v>8.2929999999999993</c:v>
                </c:pt>
                <c:pt idx="35" formatCode="#,##0.00">
                  <c:v>8.0399999999999991</c:v>
                </c:pt>
                <c:pt idx="36" formatCode="#,##0.00">
                  <c:v>8.0470000000000006</c:v>
                </c:pt>
                <c:pt idx="37" formatCode="#,##0.00">
                  <c:v>7.9119999999999999</c:v>
                </c:pt>
                <c:pt idx="38" formatCode="#,##0.00">
                  <c:v>7.633</c:v>
                </c:pt>
                <c:pt idx="39" formatCode="#,##0.00">
                  <c:v>8.2279999999999998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7D-4A01-A920-BA02AD683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176832"/>
        <c:axId val="143178368"/>
      </c:lineChart>
      <c:catAx>
        <c:axId val="143176832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178368"/>
        <c:crosses val="autoZero"/>
        <c:auto val="0"/>
        <c:lblAlgn val="ctr"/>
        <c:lblOffset val="100"/>
        <c:noMultiLvlLbl val="1"/>
      </c:catAx>
      <c:valAx>
        <c:axId val="143178368"/>
        <c:scaling>
          <c:orientation val="minMax"/>
          <c:max val="9.25"/>
          <c:min val="7.5"/>
        </c:scaling>
        <c:delete val="0"/>
        <c:axPos val="l"/>
        <c:numFmt formatCode="General" sourceLinked="1"/>
        <c:majorTickMark val="out"/>
        <c:minorTickMark val="none"/>
        <c:tickLblPos val="nextTo"/>
        <c:crossAx val="143176832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16116175508182579"/>
          <c:y val="3.7282303760165753E-2"/>
          <c:w val="0.15863532006602626"/>
          <c:h val="0.2174024887188361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85870707696279225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fysico-chemie'!$P$237:$P$276</c:f>
              <c:numCache>
                <c:formatCode>General</c:formatCode>
                <c:ptCount val="40"/>
                <c:pt idx="0">
                  <c:v>8</c:v>
                </c:pt>
                <c:pt idx="1">
                  <c:v>8.1999999999999993</c:v>
                </c:pt>
                <c:pt idx="2">
                  <c:v>8.52</c:v>
                </c:pt>
                <c:pt idx="3">
                  <c:v>8.23</c:v>
                </c:pt>
                <c:pt idx="4">
                  <c:v>8.32</c:v>
                </c:pt>
                <c:pt idx="5">
                  <c:v>8.44</c:v>
                </c:pt>
                <c:pt idx="6">
                  <c:v>8.4</c:v>
                </c:pt>
                <c:pt idx="7">
                  <c:v>8.8699999999999992</c:v>
                </c:pt>
                <c:pt idx="8">
                  <c:v>8.6999999999999993</c:v>
                </c:pt>
                <c:pt idx="9">
                  <c:v>8.27</c:v>
                </c:pt>
                <c:pt idx="10">
                  <c:v>8.33</c:v>
                </c:pt>
                <c:pt idx="13">
                  <c:v>8.09</c:v>
                </c:pt>
                <c:pt idx="14">
                  <c:v>7.86</c:v>
                </c:pt>
                <c:pt idx="15">
                  <c:v>7.91</c:v>
                </c:pt>
                <c:pt idx="16">
                  <c:v>8.4</c:v>
                </c:pt>
                <c:pt idx="17">
                  <c:v>8.18</c:v>
                </c:pt>
                <c:pt idx="18">
                  <c:v>8.5399999999999991</c:v>
                </c:pt>
                <c:pt idx="19">
                  <c:v>8.5399999999999991</c:v>
                </c:pt>
                <c:pt idx="20">
                  <c:v>8.65</c:v>
                </c:pt>
                <c:pt idx="21">
                  <c:v>9.01</c:v>
                </c:pt>
                <c:pt idx="22">
                  <c:v>8.42</c:v>
                </c:pt>
                <c:pt idx="23">
                  <c:v>8.5299999999999994</c:v>
                </c:pt>
                <c:pt idx="24">
                  <c:v>8.6999999999999993</c:v>
                </c:pt>
                <c:pt idx="25">
                  <c:v>8.6199999999999992</c:v>
                </c:pt>
                <c:pt idx="28">
                  <c:v>7.8</c:v>
                </c:pt>
                <c:pt idx="29">
                  <c:v>8.0670000000000002</c:v>
                </c:pt>
                <c:pt idx="30">
                  <c:v>8.0619999999999994</c:v>
                </c:pt>
                <c:pt idx="31">
                  <c:v>8.1</c:v>
                </c:pt>
                <c:pt idx="32">
                  <c:v>8.3789999999999996</c:v>
                </c:pt>
                <c:pt idx="33">
                  <c:v>8.1140000000000008</c:v>
                </c:pt>
                <c:pt idx="34" formatCode="0.00">
                  <c:v>8.16</c:v>
                </c:pt>
                <c:pt idx="35" formatCode="0.00">
                  <c:v>8.0609999999999999</c:v>
                </c:pt>
                <c:pt idx="36" formatCode="0.00">
                  <c:v>8.1</c:v>
                </c:pt>
                <c:pt idx="37" formatCode="0.00">
                  <c:v>8.1630000000000003</c:v>
                </c:pt>
                <c:pt idx="38" formatCode="0.00">
                  <c:v>7.9550000000000001</c:v>
                </c:pt>
                <c:pt idx="39" formatCode="0.00">
                  <c:v>8.2690000000000001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3-4295-B003-00B447E64124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fysico-chemie'!$T$237:$T$276</c:f>
              <c:numCache>
                <c:formatCode>General</c:formatCode>
                <c:ptCount val="40"/>
                <c:pt idx="0">
                  <c:v>7.72</c:v>
                </c:pt>
                <c:pt idx="1">
                  <c:v>8.27</c:v>
                </c:pt>
                <c:pt idx="2">
                  <c:v>8.39</c:v>
                </c:pt>
                <c:pt idx="3">
                  <c:v>8.23</c:v>
                </c:pt>
                <c:pt idx="4">
                  <c:v>8.23</c:v>
                </c:pt>
                <c:pt idx="5">
                  <c:v>8.52</c:v>
                </c:pt>
                <c:pt idx="6">
                  <c:v>8.15</c:v>
                </c:pt>
                <c:pt idx="7">
                  <c:v>8.8000000000000007</c:v>
                </c:pt>
                <c:pt idx="8">
                  <c:v>8.86</c:v>
                </c:pt>
                <c:pt idx="9">
                  <c:v>8.43</c:v>
                </c:pt>
                <c:pt idx="10">
                  <c:v>8.25</c:v>
                </c:pt>
                <c:pt idx="13">
                  <c:v>8.0500000000000007</c:v>
                </c:pt>
                <c:pt idx="14">
                  <c:v>7.83</c:v>
                </c:pt>
                <c:pt idx="15">
                  <c:v>7.93</c:v>
                </c:pt>
                <c:pt idx="16">
                  <c:v>8.42</c:v>
                </c:pt>
                <c:pt idx="17">
                  <c:v>8.23</c:v>
                </c:pt>
                <c:pt idx="18">
                  <c:v>8.5399999999999991</c:v>
                </c:pt>
                <c:pt idx="19">
                  <c:v>8.56</c:v>
                </c:pt>
                <c:pt idx="20">
                  <c:v>8.64</c:v>
                </c:pt>
                <c:pt idx="21">
                  <c:v>9.0399999999999991</c:v>
                </c:pt>
                <c:pt idx="22">
                  <c:v>8.5399999999999991</c:v>
                </c:pt>
                <c:pt idx="23">
                  <c:v>8.4</c:v>
                </c:pt>
                <c:pt idx="24">
                  <c:v>8.69</c:v>
                </c:pt>
                <c:pt idx="25">
                  <c:v>8.3800000000000008</c:v>
                </c:pt>
                <c:pt idx="28">
                  <c:v>7.8</c:v>
                </c:pt>
                <c:pt idx="29">
                  <c:v>8.0630000000000006</c:v>
                </c:pt>
                <c:pt idx="30">
                  <c:v>8.0679999999999996</c:v>
                </c:pt>
                <c:pt idx="31">
                  <c:v>8.1</c:v>
                </c:pt>
                <c:pt idx="32">
                  <c:v>8.3469999999999995</c:v>
                </c:pt>
                <c:pt idx="33">
                  <c:v>8.11</c:v>
                </c:pt>
                <c:pt idx="34" formatCode="0.00">
                  <c:v>8.19</c:v>
                </c:pt>
                <c:pt idx="35" formatCode="0.00">
                  <c:v>7.9880000000000004</c:v>
                </c:pt>
                <c:pt idx="36" formatCode="0.00">
                  <c:v>8.02</c:v>
                </c:pt>
                <c:pt idx="37" formatCode="0.00">
                  <c:v>8.1440000000000001</c:v>
                </c:pt>
                <c:pt idx="38" formatCode="0.00">
                  <c:v>7.9249999999999998</c:v>
                </c:pt>
                <c:pt idx="39" formatCode="0.00">
                  <c:v>8.3800000000000008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3-4295-B003-00B447E64124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fysico-chemie'!$Q$237:$Q$276</c:f>
              <c:numCache>
                <c:formatCode>General</c:formatCode>
                <c:ptCount val="40"/>
                <c:pt idx="0">
                  <c:v>8.1</c:v>
                </c:pt>
                <c:pt idx="1">
                  <c:v>8.18</c:v>
                </c:pt>
                <c:pt idx="2">
                  <c:v>8.3000000000000007</c:v>
                </c:pt>
                <c:pt idx="3">
                  <c:v>8.25</c:v>
                </c:pt>
                <c:pt idx="4">
                  <c:v>8.06</c:v>
                </c:pt>
                <c:pt idx="5">
                  <c:v>8.14</c:v>
                </c:pt>
                <c:pt idx="6">
                  <c:v>8.1</c:v>
                </c:pt>
                <c:pt idx="7">
                  <c:v>8.2100000000000009</c:v>
                </c:pt>
                <c:pt idx="8">
                  <c:v>8.19</c:v>
                </c:pt>
                <c:pt idx="9">
                  <c:v>8.16</c:v>
                </c:pt>
                <c:pt idx="10">
                  <c:v>8.0500000000000007</c:v>
                </c:pt>
                <c:pt idx="13">
                  <c:v>8.09</c:v>
                </c:pt>
                <c:pt idx="14">
                  <c:v>7.84</c:v>
                </c:pt>
                <c:pt idx="15">
                  <c:v>7.9</c:v>
                </c:pt>
                <c:pt idx="16">
                  <c:v>8</c:v>
                </c:pt>
                <c:pt idx="17">
                  <c:v>8.25</c:v>
                </c:pt>
                <c:pt idx="18">
                  <c:v>8.66</c:v>
                </c:pt>
                <c:pt idx="19">
                  <c:v>8.4499999999999993</c:v>
                </c:pt>
                <c:pt idx="20">
                  <c:v>8.7100000000000009</c:v>
                </c:pt>
                <c:pt idx="21">
                  <c:v>8.23</c:v>
                </c:pt>
                <c:pt idx="22">
                  <c:v>8.08</c:v>
                </c:pt>
                <c:pt idx="23">
                  <c:v>8.2200000000000006</c:v>
                </c:pt>
                <c:pt idx="24">
                  <c:v>8.1999999999999993</c:v>
                </c:pt>
                <c:pt idx="25">
                  <c:v>8.34</c:v>
                </c:pt>
                <c:pt idx="28">
                  <c:v>7.8</c:v>
                </c:pt>
                <c:pt idx="29">
                  <c:v>8.0370000000000008</c:v>
                </c:pt>
                <c:pt idx="30">
                  <c:v>8.1080000000000005</c:v>
                </c:pt>
                <c:pt idx="31">
                  <c:v>8.1</c:v>
                </c:pt>
                <c:pt idx="32">
                  <c:v>8.0129999999999999</c:v>
                </c:pt>
                <c:pt idx="33">
                  <c:v>8.0960000000000001</c:v>
                </c:pt>
                <c:pt idx="34" formatCode="0.00">
                  <c:v>8.1950000000000003</c:v>
                </c:pt>
                <c:pt idx="35" formatCode="0.00">
                  <c:v>8.0449999999999999</c:v>
                </c:pt>
                <c:pt idx="36" formatCode="0.00">
                  <c:v>7.976</c:v>
                </c:pt>
                <c:pt idx="37" formatCode="0.00">
                  <c:v>7.82</c:v>
                </c:pt>
                <c:pt idx="38" formatCode="0.00">
                  <c:v>7.6710000000000003</c:v>
                </c:pt>
                <c:pt idx="39" formatCode="0.00">
                  <c:v>8.3719999999999999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3-4295-B003-00B447E64124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fysico-chemie'!$U$237:$U$276</c:f>
              <c:numCache>
                <c:formatCode>General</c:formatCode>
                <c:ptCount val="40"/>
                <c:pt idx="0">
                  <c:v>7.8</c:v>
                </c:pt>
                <c:pt idx="1">
                  <c:v>8.24</c:v>
                </c:pt>
                <c:pt idx="2">
                  <c:v>8.25</c:v>
                </c:pt>
                <c:pt idx="3">
                  <c:v>8.2799999999999994</c:v>
                </c:pt>
                <c:pt idx="4">
                  <c:v>8.0399999999999991</c:v>
                </c:pt>
                <c:pt idx="5">
                  <c:v>8.16</c:v>
                </c:pt>
                <c:pt idx="6">
                  <c:v>8.18</c:v>
                </c:pt>
                <c:pt idx="7">
                  <c:v>8.3800000000000008</c:v>
                </c:pt>
                <c:pt idx="8">
                  <c:v>8.51</c:v>
                </c:pt>
                <c:pt idx="9">
                  <c:v>8.01</c:v>
                </c:pt>
                <c:pt idx="10">
                  <c:v>8.02</c:v>
                </c:pt>
                <c:pt idx="13">
                  <c:v>8.08</c:v>
                </c:pt>
                <c:pt idx="14">
                  <c:v>7.84</c:v>
                </c:pt>
                <c:pt idx="15">
                  <c:v>7.92</c:v>
                </c:pt>
                <c:pt idx="16">
                  <c:v>8.4</c:v>
                </c:pt>
                <c:pt idx="17">
                  <c:v>8.2200000000000006</c:v>
                </c:pt>
                <c:pt idx="18">
                  <c:v>8.6199999999999992</c:v>
                </c:pt>
                <c:pt idx="19">
                  <c:v>8.44</c:v>
                </c:pt>
                <c:pt idx="20">
                  <c:v>8.4499999999999993</c:v>
                </c:pt>
                <c:pt idx="21">
                  <c:v>8.25</c:v>
                </c:pt>
                <c:pt idx="22">
                  <c:v>8.08</c:v>
                </c:pt>
                <c:pt idx="23">
                  <c:v>8.08</c:v>
                </c:pt>
                <c:pt idx="24">
                  <c:v>8</c:v>
                </c:pt>
                <c:pt idx="25">
                  <c:v>8.26</c:v>
                </c:pt>
                <c:pt idx="28">
                  <c:v>7.8</c:v>
                </c:pt>
                <c:pt idx="29">
                  <c:v>8.0579999999999998</c:v>
                </c:pt>
                <c:pt idx="30">
                  <c:v>8.1</c:v>
                </c:pt>
                <c:pt idx="31">
                  <c:v>8.1</c:v>
                </c:pt>
                <c:pt idx="32">
                  <c:v>8.0299999999999994</c:v>
                </c:pt>
                <c:pt idx="33">
                  <c:v>8.1069999999999993</c:v>
                </c:pt>
                <c:pt idx="34" formatCode="0.00">
                  <c:v>8.2370000000000001</c:v>
                </c:pt>
                <c:pt idx="35" formatCode="0.00">
                  <c:v>7.992</c:v>
                </c:pt>
                <c:pt idx="36" formatCode="0.00">
                  <c:v>7.9669999999999996</c:v>
                </c:pt>
                <c:pt idx="37" formatCode="0.00">
                  <c:v>7.84</c:v>
                </c:pt>
                <c:pt idx="38" formatCode="0.00">
                  <c:v>7.6639999999999997</c:v>
                </c:pt>
                <c:pt idx="39" formatCode="0.00">
                  <c:v>8.3840000000000003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3-4295-B003-00B447E64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95232"/>
        <c:axId val="143296768"/>
      </c:lineChart>
      <c:catAx>
        <c:axId val="143295232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296768"/>
        <c:crosses val="autoZero"/>
        <c:auto val="0"/>
        <c:lblAlgn val="ctr"/>
        <c:lblOffset val="100"/>
        <c:tickLblSkip val="7"/>
        <c:noMultiLvlLbl val="1"/>
      </c:catAx>
      <c:valAx>
        <c:axId val="143296768"/>
        <c:scaling>
          <c:orientation val="minMax"/>
          <c:max val="9.25"/>
          <c:min val="7.5"/>
        </c:scaling>
        <c:delete val="0"/>
        <c:axPos val="l"/>
        <c:numFmt formatCode="General" sourceLinked="1"/>
        <c:majorTickMark val="out"/>
        <c:minorTickMark val="none"/>
        <c:tickLblPos val="nextTo"/>
        <c:crossAx val="143295232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17018600615780785"/>
          <c:y val="5.2674316820349454E-2"/>
          <c:w val="0.15863532006602626"/>
          <c:h val="0.2052203769649434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85870707696279225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fysico-chemie'!$B$302:$B$341</c:f>
              <c:numCache>
                <c:formatCode>General</c:formatCode>
                <c:ptCount val="40"/>
                <c:pt idx="0">
                  <c:v>64</c:v>
                </c:pt>
                <c:pt idx="1">
                  <c:v>38</c:v>
                </c:pt>
                <c:pt idx="2">
                  <c:v>85</c:v>
                </c:pt>
                <c:pt idx="3">
                  <c:v>63</c:v>
                </c:pt>
                <c:pt idx="4">
                  <c:v>73</c:v>
                </c:pt>
                <c:pt idx="5">
                  <c:v>67</c:v>
                </c:pt>
                <c:pt idx="6">
                  <c:v>80</c:v>
                </c:pt>
                <c:pt idx="7">
                  <c:v>93</c:v>
                </c:pt>
                <c:pt idx="8">
                  <c:v>67</c:v>
                </c:pt>
                <c:pt idx="13">
                  <c:v>41</c:v>
                </c:pt>
                <c:pt idx="14">
                  <c:v>53</c:v>
                </c:pt>
                <c:pt idx="15">
                  <c:v>55</c:v>
                </c:pt>
                <c:pt idx="16">
                  <c:v>83</c:v>
                </c:pt>
                <c:pt idx="17">
                  <c:v>92</c:v>
                </c:pt>
                <c:pt idx="18">
                  <c:v>130</c:v>
                </c:pt>
                <c:pt idx="19">
                  <c:v>78</c:v>
                </c:pt>
                <c:pt idx="20">
                  <c:v>75</c:v>
                </c:pt>
                <c:pt idx="21">
                  <c:v>69</c:v>
                </c:pt>
                <c:pt idx="22">
                  <c:v>73</c:v>
                </c:pt>
                <c:pt idx="23">
                  <c:v>80</c:v>
                </c:pt>
                <c:pt idx="24">
                  <c:v>63</c:v>
                </c:pt>
                <c:pt idx="25">
                  <c:v>72</c:v>
                </c:pt>
                <c:pt idx="31">
                  <c:v>79</c:v>
                </c:pt>
                <c:pt idx="32">
                  <c:v>80</c:v>
                </c:pt>
                <c:pt idx="35">
                  <c:v>45</c:v>
                </c:pt>
                <c:pt idx="37">
                  <c:v>99</c:v>
                </c:pt>
                <c:pt idx="38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E-46CA-A4FE-59F8D05D578D}"/>
            </c:ext>
          </c:extLst>
        </c:ser>
        <c:ser>
          <c:idx val="4"/>
          <c:order val="1"/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fysico-chemie'!$F$302:$F$341</c:f>
              <c:numCache>
                <c:formatCode>General</c:formatCode>
                <c:ptCount val="40"/>
                <c:pt idx="0">
                  <c:v>65</c:v>
                </c:pt>
                <c:pt idx="1">
                  <c:v>35</c:v>
                </c:pt>
                <c:pt idx="2">
                  <c:v>84</c:v>
                </c:pt>
                <c:pt idx="3">
                  <c:v>63</c:v>
                </c:pt>
                <c:pt idx="4">
                  <c:v>76</c:v>
                </c:pt>
                <c:pt idx="5">
                  <c:v>67</c:v>
                </c:pt>
                <c:pt idx="6">
                  <c:v>82</c:v>
                </c:pt>
                <c:pt idx="7">
                  <c:v>90</c:v>
                </c:pt>
                <c:pt idx="8">
                  <c:v>64</c:v>
                </c:pt>
                <c:pt idx="13">
                  <c:v>42</c:v>
                </c:pt>
                <c:pt idx="14">
                  <c:v>53</c:v>
                </c:pt>
                <c:pt idx="15">
                  <c:v>54</c:v>
                </c:pt>
                <c:pt idx="16">
                  <c:v>86</c:v>
                </c:pt>
                <c:pt idx="17">
                  <c:v>92</c:v>
                </c:pt>
                <c:pt idx="18">
                  <c:v>130</c:v>
                </c:pt>
                <c:pt idx="19">
                  <c:v>78</c:v>
                </c:pt>
                <c:pt idx="20">
                  <c:v>76</c:v>
                </c:pt>
                <c:pt idx="21">
                  <c:v>70</c:v>
                </c:pt>
                <c:pt idx="22">
                  <c:v>72</c:v>
                </c:pt>
                <c:pt idx="24">
                  <c:v>64</c:v>
                </c:pt>
                <c:pt idx="25">
                  <c:v>71</c:v>
                </c:pt>
                <c:pt idx="29">
                  <c:v>75</c:v>
                </c:pt>
                <c:pt idx="31">
                  <c:v>79</c:v>
                </c:pt>
                <c:pt idx="32">
                  <c:v>80</c:v>
                </c:pt>
                <c:pt idx="33">
                  <c:v>51</c:v>
                </c:pt>
                <c:pt idx="35">
                  <c:v>44</c:v>
                </c:pt>
                <c:pt idx="36">
                  <c:v>53</c:v>
                </c:pt>
                <c:pt idx="37">
                  <c:v>96</c:v>
                </c:pt>
                <c:pt idx="38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E-46CA-A4FE-59F8D05D5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99552"/>
        <c:axId val="143417728"/>
      </c:lineChart>
      <c:catAx>
        <c:axId val="143399552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417728"/>
        <c:crosses val="autoZero"/>
        <c:auto val="0"/>
        <c:lblAlgn val="ctr"/>
        <c:lblOffset val="100"/>
        <c:tickLblSkip val="7"/>
        <c:noMultiLvlLbl val="1"/>
      </c:catAx>
      <c:valAx>
        <c:axId val="143417728"/>
        <c:scaling>
          <c:orientation val="minMax"/>
          <c:max val="150"/>
          <c:min val="3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399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901838886563744"/>
          <c:y val="0.62217880004714565"/>
          <c:w val="0.13998869481617174"/>
          <c:h val="0.1391662195004079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85870707696279225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fysico-chemie'!$A$4:$A$27</c:f>
              <c:numCache>
                <c:formatCode>m/d/yyyy</c:formatCode>
                <c:ptCount val="24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</c:numCache>
            </c:numRef>
          </c:cat>
          <c:val>
            <c:numRef>
              <c:f>'fig fysico-chemie'!$I$302:$I$325</c:f>
              <c:numCache>
                <c:formatCode>General</c:formatCode>
                <c:ptCount val="24"/>
                <c:pt idx="0">
                  <c:v>65</c:v>
                </c:pt>
                <c:pt idx="1">
                  <c:v>36</c:v>
                </c:pt>
                <c:pt idx="2">
                  <c:v>86</c:v>
                </c:pt>
                <c:pt idx="3">
                  <c:v>64</c:v>
                </c:pt>
                <c:pt idx="4">
                  <c:v>75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65</c:v>
                </c:pt>
                <c:pt idx="13">
                  <c:v>40</c:v>
                </c:pt>
                <c:pt idx="14">
                  <c:v>54</c:v>
                </c:pt>
                <c:pt idx="15">
                  <c:v>55</c:v>
                </c:pt>
                <c:pt idx="16">
                  <c:v>84</c:v>
                </c:pt>
                <c:pt idx="17">
                  <c:v>93</c:v>
                </c:pt>
                <c:pt idx="18">
                  <c:v>127</c:v>
                </c:pt>
                <c:pt idx="20">
                  <c:v>74</c:v>
                </c:pt>
                <c:pt idx="21">
                  <c:v>70</c:v>
                </c:pt>
                <c:pt idx="22">
                  <c:v>73</c:v>
                </c:pt>
                <c:pt idx="2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82-4020-94FF-F82214E8C8C9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fysico-chemie'!$A$4:$A$27</c:f>
              <c:numCache>
                <c:formatCode>m/d/yyyy</c:formatCode>
                <c:ptCount val="24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</c:numCache>
            </c:numRef>
          </c:cat>
          <c:val>
            <c:numRef>
              <c:f>'fig fysico-chemie'!$M$302:$M$325</c:f>
              <c:numCache>
                <c:formatCode>General</c:formatCode>
                <c:ptCount val="24"/>
                <c:pt idx="0">
                  <c:v>65</c:v>
                </c:pt>
                <c:pt idx="1">
                  <c:v>34</c:v>
                </c:pt>
                <c:pt idx="2">
                  <c:v>85</c:v>
                </c:pt>
                <c:pt idx="3">
                  <c:v>61</c:v>
                </c:pt>
                <c:pt idx="4">
                  <c:v>75</c:v>
                </c:pt>
                <c:pt idx="5">
                  <c:v>73</c:v>
                </c:pt>
                <c:pt idx="6">
                  <c:v>81</c:v>
                </c:pt>
                <c:pt idx="7">
                  <c:v>92</c:v>
                </c:pt>
                <c:pt idx="8">
                  <c:v>66</c:v>
                </c:pt>
                <c:pt idx="13">
                  <c:v>40</c:v>
                </c:pt>
                <c:pt idx="14">
                  <c:v>52</c:v>
                </c:pt>
                <c:pt idx="15">
                  <c:v>55</c:v>
                </c:pt>
                <c:pt idx="16">
                  <c:v>80</c:v>
                </c:pt>
                <c:pt idx="17">
                  <c:v>94</c:v>
                </c:pt>
                <c:pt idx="18">
                  <c:v>125</c:v>
                </c:pt>
                <c:pt idx="20">
                  <c:v>76</c:v>
                </c:pt>
                <c:pt idx="21">
                  <c:v>70</c:v>
                </c:pt>
                <c:pt idx="22">
                  <c:v>71</c:v>
                </c:pt>
                <c:pt idx="2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82-4020-94FF-F82214E8C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28224"/>
        <c:axId val="143442304"/>
      </c:lineChart>
      <c:catAx>
        <c:axId val="143428224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442304"/>
        <c:crosses val="autoZero"/>
        <c:auto val="0"/>
        <c:lblAlgn val="ctr"/>
        <c:lblOffset val="100"/>
        <c:tickLblSkip val="7"/>
        <c:noMultiLvlLbl val="1"/>
      </c:catAx>
      <c:valAx>
        <c:axId val="143442304"/>
        <c:scaling>
          <c:orientation val="minMax"/>
          <c:max val="150"/>
          <c:min val="3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428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865176978353881"/>
          <c:y val="0.71068287514320172"/>
          <c:w val="0.15863532006602626"/>
          <c:h val="0.1558344364781013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85870707696279225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fysico-chemie'!$A$4:$A$27</c:f>
              <c:numCache>
                <c:formatCode>m/d/yyyy</c:formatCode>
                <c:ptCount val="24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</c:numCache>
            </c:numRef>
          </c:cat>
          <c:val>
            <c:numRef>
              <c:f>'fig fysico-chemie'!$P$302:$P$325</c:f>
              <c:numCache>
                <c:formatCode>General</c:formatCode>
                <c:ptCount val="24"/>
                <c:pt idx="0">
                  <c:v>63</c:v>
                </c:pt>
                <c:pt idx="1">
                  <c:v>35</c:v>
                </c:pt>
                <c:pt idx="2">
                  <c:v>83</c:v>
                </c:pt>
                <c:pt idx="3">
                  <c:v>62</c:v>
                </c:pt>
                <c:pt idx="4">
                  <c:v>76</c:v>
                </c:pt>
                <c:pt idx="5">
                  <c:v>68</c:v>
                </c:pt>
                <c:pt idx="6">
                  <c:v>78</c:v>
                </c:pt>
                <c:pt idx="7">
                  <c:v>90</c:v>
                </c:pt>
                <c:pt idx="8">
                  <c:v>65</c:v>
                </c:pt>
                <c:pt idx="9">
                  <c:v>72</c:v>
                </c:pt>
                <c:pt idx="13">
                  <c:v>40</c:v>
                </c:pt>
                <c:pt idx="14">
                  <c:v>53</c:v>
                </c:pt>
                <c:pt idx="15">
                  <c:v>55</c:v>
                </c:pt>
                <c:pt idx="16">
                  <c:v>89</c:v>
                </c:pt>
                <c:pt idx="17">
                  <c:v>92</c:v>
                </c:pt>
                <c:pt idx="18">
                  <c:v>135</c:v>
                </c:pt>
                <c:pt idx="20">
                  <c:v>74</c:v>
                </c:pt>
                <c:pt idx="21">
                  <c:v>69</c:v>
                </c:pt>
                <c:pt idx="23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2-4C1E-9CFE-D4E6DD9643DB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fysico-chemie'!$A$4:$A$27</c:f>
              <c:numCache>
                <c:formatCode>m/d/yyyy</c:formatCode>
                <c:ptCount val="24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</c:numCache>
            </c:numRef>
          </c:cat>
          <c:val>
            <c:numRef>
              <c:f>'fig fysico-chemie'!$T$302:$T$325</c:f>
              <c:numCache>
                <c:formatCode>General</c:formatCode>
                <c:ptCount val="24"/>
                <c:pt idx="0">
                  <c:v>63</c:v>
                </c:pt>
                <c:pt idx="1">
                  <c:v>35</c:v>
                </c:pt>
                <c:pt idx="2">
                  <c:v>83</c:v>
                </c:pt>
                <c:pt idx="3">
                  <c:v>64</c:v>
                </c:pt>
                <c:pt idx="4">
                  <c:v>76</c:v>
                </c:pt>
                <c:pt idx="5">
                  <c:v>71</c:v>
                </c:pt>
                <c:pt idx="6">
                  <c:v>78</c:v>
                </c:pt>
                <c:pt idx="7">
                  <c:v>90</c:v>
                </c:pt>
                <c:pt idx="8">
                  <c:v>65</c:v>
                </c:pt>
                <c:pt idx="13">
                  <c:v>40</c:v>
                </c:pt>
                <c:pt idx="14">
                  <c:v>52</c:v>
                </c:pt>
                <c:pt idx="15">
                  <c:v>55</c:v>
                </c:pt>
                <c:pt idx="16">
                  <c:v>94</c:v>
                </c:pt>
                <c:pt idx="17">
                  <c:v>94</c:v>
                </c:pt>
                <c:pt idx="18">
                  <c:v>135</c:v>
                </c:pt>
                <c:pt idx="19">
                  <c:v>79</c:v>
                </c:pt>
                <c:pt idx="20">
                  <c:v>74</c:v>
                </c:pt>
                <c:pt idx="21">
                  <c:v>69</c:v>
                </c:pt>
                <c:pt idx="22">
                  <c:v>72</c:v>
                </c:pt>
                <c:pt idx="2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2-4C1E-9CFE-D4E6DD964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24992"/>
        <c:axId val="143526528"/>
      </c:lineChart>
      <c:catAx>
        <c:axId val="143524992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526528"/>
        <c:crosses val="autoZero"/>
        <c:auto val="0"/>
        <c:lblAlgn val="ctr"/>
        <c:lblOffset val="100"/>
        <c:tickLblSkip val="7"/>
        <c:noMultiLvlLbl val="1"/>
      </c:catAx>
      <c:valAx>
        <c:axId val="143526528"/>
        <c:scaling>
          <c:orientation val="minMax"/>
          <c:max val="150"/>
          <c:min val="3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524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413964424554774"/>
          <c:y val="0.62217880004714565"/>
          <c:w val="0.15863532006602626"/>
          <c:h val="0.1558344364781013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08770364075238"/>
          <c:y val="3.5026525468176258E-2"/>
          <c:w val="0.7571579364735358"/>
          <c:h val="0.7548109888065524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fysico-chemie'!$I$67:$I$106</c:f>
              <c:numCache>
                <c:formatCode>General</c:formatCode>
                <c:ptCount val="40"/>
                <c:pt idx="0">
                  <c:v>1881</c:v>
                </c:pt>
                <c:pt idx="1">
                  <c:v>1352</c:v>
                </c:pt>
                <c:pt idx="2">
                  <c:v>2027</c:v>
                </c:pt>
                <c:pt idx="3">
                  <c:v>1815</c:v>
                </c:pt>
                <c:pt idx="4">
                  <c:v>1995</c:v>
                </c:pt>
                <c:pt idx="5">
                  <c:v>2103</c:v>
                </c:pt>
                <c:pt idx="6">
                  <c:v>2304</c:v>
                </c:pt>
                <c:pt idx="7">
                  <c:v>4631</c:v>
                </c:pt>
                <c:pt idx="8">
                  <c:v>2631</c:v>
                </c:pt>
                <c:pt idx="9">
                  <c:v>4545</c:v>
                </c:pt>
                <c:pt idx="10">
                  <c:v>20596</c:v>
                </c:pt>
                <c:pt idx="13">
                  <c:v>1752</c:v>
                </c:pt>
                <c:pt idx="14">
                  <c:v>1712</c:v>
                </c:pt>
                <c:pt idx="15">
                  <c:v>2290</c:v>
                </c:pt>
                <c:pt idx="16">
                  <c:v>23000</c:v>
                </c:pt>
                <c:pt idx="17">
                  <c:v>36100</c:v>
                </c:pt>
                <c:pt idx="18">
                  <c:v>29100</c:v>
                </c:pt>
                <c:pt idx="19">
                  <c:v>17980</c:v>
                </c:pt>
                <c:pt idx="20">
                  <c:v>18880</c:v>
                </c:pt>
                <c:pt idx="21">
                  <c:v>8500</c:v>
                </c:pt>
                <c:pt idx="22">
                  <c:v>16810</c:v>
                </c:pt>
                <c:pt idx="23">
                  <c:v>20100</c:v>
                </c:pt>
                <c:pt idx="24">
                  <c:v>19740</c:v>
                </c:pt>
                <c:pt idx="25">
                  <c:v>16600</c:v>
                </c:pt>
                <c:pt idx="28">
                  <c:v>2090</c:v>
                </c:pt>
                <c:pt idx="29">
                  <c:v>2280</c:v>
                </c:pt>
                <c:pt idx="30">
                  <c:v>22400</c:v>
                </c:pt>
                <c:pt idx="31">
                  <c:v>6700</c:v>
                </c:pt>
                <c:pt idx="32">
                  <c:v>4320</c:v>
                </c:pt>
                <c:pt idx="33">
                  <c:v>1996</c:v>
                </c:pt>
                <c:pt idx="34">
                  <c:v>34200</c:v>
                </c:pt>
                <c:pt idx="35">
                  <c:v>1915</c:v>
                </c:pt>
                <c:pt idx="36">
                  <c:v>15840</c:v>
                </c:pt>
                <c:pt idx="37">
                  <c:v>27200</c:v>
                </c:pt>
                <c:pt idx="38">
                  <c:v>27700</c:v>
                </c:pt>
                <c:pt idx="39">
                  <c:v>2620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3-4980-99CB-B4B19588C1A5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fysico-chemie'!$M$67:$M$106</c:f>
              <c:numCache>
                <c:formatCode>General</c:formatCode>
                <c:ptCount val="40"/>
                <c:pt idx="0">
                  <c:v>1869</c:v>
                </c:pt>
                <c:pt idx="1">
                  <c:v>1332</c:v>
                </c:pt>
                <c:pt idx="2">
                  <c:v>2033</c:v>
                </c:pt>
                <c:pt idx="3">
                  <c:v>1813</c:v>
                </c:pt>
                <c:pt idx="4">
                  <c:v>2006</c:v>
                </c:pt>
                <c:pt idx="5">
                  <c:v>2085</c:v>
                </c:pt>
                <c:pt idx="6">
                  <c:v>2298</c:v>
                </c:pt>
                <c:pt idx="7">
                  <c:v>4761</c:v>
                </c:pt>
                <c:pt idx="8">
                  <c:v>2902</c:v>
                </c:pt>
                <c:pt idx="9">
                  <c:v>2993</c:v>
                </c:pt>
                <c:pt idx="10">
                  <c:v>20537</c:v>
                </c:pt>
                <c:pt idx="13">
                  <c:v>1746</c:v>
                </c:pt>
                <c:pt idx="14">
                  <c:v>1712</c:v>
                </c:pt>
                <c:pt idx="15">
                  <c:v>2280</c:v>
                </c:pt>
                <c:pt idx="16">
                  <c:v>23300</c:v>
                </c:pt>
                <c:pt idx="17">
                  <c:v>36600</c:v>
                </c:pt>
                <c:pt idx="18">
                  <c:v>28400</c:v>
                </c:pt>
                <c:pt idx="19">
                  <c:v>15610</c:v>
                </c:pt>
                <c:pt idx="20">
                  <c:v>18710</c:v>
                </c:pt>
                <c:pt idx="21">
                  <c:v>7750</c:v>
                </c:pt>
                <c:pt idx="22">
                  <c:v>16790</c:v>
                </c:pt>
                <c:pt idx="23">
                  <c:v>20300</c:v>
                </c:pt>
                <c:pt idx="24">
                  <c:v>19770</c:v>
                </c:pt>
                <c:pt idx="25">
                  <c:v>16600</c:v>
                </c:pt>
                <c:pt idx="28">
                  <c:v>2010</c:v>
                </c:pt>
                <c:pt idx="29">
                  <c:v>2280</c:v>
                </c:pt>
                <c:pt idx="30">
                  <c:v>23500</c:v>
                </c:pt>
                <c:pt idx="31">
                  <c:v>6810</c:v>
                </c:pt>
                <c:pt idx="32">
                  <c:v>4200</c:v>
                </c:pt>
                <c:pt idx="33">
                  <c:v>1994</c:v>
                </c:pt>
                <c:pt idx="34">
                  <c:v>35500</c:v>
                </c:pt>
                <c:pt idx="35">
                  <c:v>1895</c:v>
                </c:pt>
                <c:pt idx="36">
                  <c:v>11380</c:v>
                </c:pt>
                <c:pt idx="37">
                  <c:v>27300</c:v>
                </c:pt>
                <c:pt idx="38">
                  <c:v>27700</c:v>
                </c:pt>
                <c:pt idx="39">
                  <c:v>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3-4980-99CB-B4B19588C1A5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fysico-chemie'!$J$67:$J$106</c:f>
              <c:numCache>
                <c:formatCode>General</c:formatCode>
                <c:ptCount val="40"/>
                <c:pt idx="0">
                  <c:v>8697</c:v>
                </c:pt>
                <c:pt idx="1">
                  <c:v>1356</c:v>
                </c:pt>
                <c:pt idx="2">
                  <c:v>15184</c:v>
                </c:pt>
                <c:pt idx="3">
                  <c:v>9743</c:v>
                </c:pt>
                <c:pt idx="4">
                  <c:v>9080</c:v>
                </c:pt>
                <c:pt idx="5">
                  <c:v>18967</c:v>
                </c:pt>
                <c:pt idx="6">
                  <c:v>16064</c:v>
                </c:pt>
                <c:pt idx="7">
                  <c:v>24110</c:v>
                </c:pt>
                <c:pt idx="8">
                  <c:v>20330</c:v>
                </c:pt>
                <c:pt idx="9">
                  <c:v>20980</c:v>
                </c:pt>
                <c:pt idx="10">
                  <c:v>32286</c:v>
                </c:pt>
                <c:pt idx="13">
                  <c:v>1752</c:v>
                </c:pt>
                <c:pt idx="14">
                  <c:v>1715</c:v>
                </c:pt>
                <c:pt idx="15">
                  <c:v>2480</c:v>
                </c:pt>
                <c:pt idx="16">
                  <c:v>25000</c:v>
                </c:pt>
                <c:pt idx="17">
                  <c:v>40600</c:v>
                </c:pt>
                <c:pt idx="18">
                  <c:v>42300</c:v>
                </c:pt>
                <c:pt idx="19">
                  <c:v>28600</c:v>
                </c:pt>
                <c:pt idx="20">
                  <c:v>22400</c:v>
                </c:pt>
                <c:pt idx="21">
                  <c:v>18750</c:v>
                </c:pt>
                <c:pt idx="22">
                  <c:v>23700</c:v>
                </c:pt>
                <c:pt idx="23">
                  <c:v>27800</c:v>
                </c:pt>
                <c:pt idx="24">
                  <c:v>26500</c:v>
                </c:pt>
                <c:pt idx="25">
                  <c:v>22800</c:v>
                </c:pt>
                <c:pt idx="28">
                  <c:v>2190</c:v>
                </c:pt>
                <c:pt idx="29">
                  <c:v>2310</c:v>
                </c:pt>
                <c:pt idx="30">
                  <c:v>32700</c:v>
                </c:pt>
                <c:pt idx="31">
                  <c:v>6730</c:v>
                </c:pt>
                <c:pt idx="32">
                  <c:v>21300</c:v>
                </c:pt>
                <c:pt idx="33">
                  <c:v>2010</c:v>
                </c:pt>
                <c:pt idx="34">
                  <c:v>40400</c:v>
                </c:pt>
                <c:pt idx="35">
                  <c:v>1907</c:v>
                </c:pt>
                <c:pt idx="36">
                  <c:v>28100</c:v>
                </c:pt>
                <c:pt idx="37">
                  <c:v>39100</c:v>
                </c:pt>
                <c:pt idx="38">
                  <c:v>33200</c:v>
                </c:pt>
                <c:pt idx="39">
                  <c:v>2910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3-4980-99CB-B4B19588C1A5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fysico-chemie'!$N$67:$N$106</c:f>
              <c:numCache>
                <c:formatCode>General</c:formatCode>
                <c:ptCount val="40"/>
                <c:pt idx="0">
                  <c:v>2070</c:v>
                </c:pt>
                <c:pt idx="1">
                  <c:v>1338</c:v>
                </c:pt>
                <c:pt idx="2">
                  <c:v>10996</c:v>
                </c:pt>
                <c:pt idx="3">
                  <c:v>2500</c:v>
                </c:pt>
                <c:pt idx="4">
                  <c:v>11480</c:v>
                </c:pt>
                <c:pt idx="5">
                  <c:v>7560</c:v>
                </c:pt>
                <c:pt idx="6">
                  <c:v>2304</c:v>
                </c:pt>
                <c:pt idx="7">
                  <c:v>19042</c:v>
                </c:pt>
                <c:pt idx="8">
                  <c:v>23700</c:v>
                </c:pt>
                <c:pt idx="9">
                  <c:v>25291</c:v>
                </c:pt>
                <c:pt idx="10">
                  <c:v>32222</c:v>
                </c:pt>
                <c:pt idx="13">
                  <c:v>1747</c:v>
                </c:pt>
                <c:pt idx="14">
                  <c:v>1713</c:v>
                </c:pt>
                <c:pt idx="15">
                  <c:v>2350</c:v>
                </c:pt>
                <c:pt idx="16">
                  <c:v>25100</c:v>
                </c:pt>
                <c:pt idx="17">
                  <c:v>41600</c:v>
                </c:pt>
                <c:pt idx="18">
                  <c:v>42500</c:v>
                </c:pt>
                <c:pt idx="19">
                  <c:v>30000</c:v>
                </c:pt>
                <c:pt idx="20">
                  <c:v>21700</c:v>
                </c:pt>
                <c:pt idx="21">
                  <c:v>20700</c:v>
                </c:pt>
                <c:pt idx="22">
                  <c:v>23900</c:v>
                </c:pt>
                <c:pt idx="23">
                  <c:v>27300</c:v>
                </c:pt>
                <c:pt idx="24">
                  <c:v>26600</c:v>
                </c:pt>
                <c:pt idx="25">
                  <c:v>23200</c:v>
                </c:pt>
                <c:pt idx="28">
                  <c:v>2200</c:v>
                </c:pt>
                <c:pt idx="29">
                  <c:v>2280</c:v>
                </c:pt>
                <c:pt idx="30">
                  <c:v>31200</c:v>
                </c:pt>
                <c:pt idx="31">
                  <c:v>6900</c:v>
                </c:pt>
                <c:pt idx="32">
                  <c:v>20300</c:v>
                </c:pt>
                <c:pt idx="33">
                  <c:v>1998</c:v>
                </c:pt>
                <c:pt idx="34">
                  <c:v>41400</c:v>
                </c:pt>
                <c:pt idx="35">
                  <c:v>1893</c:v>
                </c:pt>
                <c:pt idx="36">
                  <c:v>28400</c:v>
                </c:pt>
                <c:pt idx="37">
                  <c:v>39700</c:v>
                </c:pt>
                <c:pt idx="38">
                  <c:v>33800</c:v>
                </c:pt>
                <c:pt idx="39">
                  <c:v>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3-4980-99CB-B4B19588C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76448"/>
        <c:axId val="143578240"/>
      </c:lineChart>
      <c:catAx>
        <c:axId val="143576448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3240000"/>
          <a:lstStyle/>
          <a:p>
            <a:pPr>
              <a:defRPr/>
            </a:pPr>
            <a:endParaRPr lang="nl-BE"/>
          </a:p>
        </c:txPr>
        <c:crossAx val="143578240"/>
        <c:crosses val="autoZero"/>
        <c:auto val="0"/>
        <c:lblAlgn val="ctr"/>
        <c:lblOffset val="100"/>
        <c:noMultiLvlLbl val="1"/>
      </c:catAx>
      <c:valAx>
        <c:axId val="143578240"/>
        <c:scaling>
          <c:orientation val="minMax"/>
          <c:max val="4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µS</a:t>
                </a:r>
                <a:r>
                  <a:rPr lang="en-US" baseline="0"/>
                  <a:t> </a:t>
                </a:r>
                <a:r>
                  <a:rPr lang="en-US"/>
                  <a:t>cm</a:t>
                </a:r>
                <a:r>
                  <a:rPr lang="en-US" baseline="30000"/>
                  <a:t>-1</a:t>
                </a:r>
                <a:r>
                  <a:rPr lang="en-US"/>
                  <a:t>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576448"/>
        <c:crosses val="autoZero"/>
        <c:crossBetween val="between"/>
        <c:majorUnit val="5000"/>
      </c:valAx>
    </c:plotArea>
    <c:legend>
      <c:legendPos val="r"/>
      <c:layout>
        <c:manualLayout>
          <c:xMode val="edge"/>
          <c:yMode val="edge"/>
          <c:x val="0.20402694769274055"/>
          <c:y val="2.1890290699982089E-2"/>
          <c:w val="0.15863532006602626"/>
          <c:h val="0.2520345181042493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62408025472547"/>
          <c:y val="4.2722531998268094E-2"/>
          <c:w val="0.74587762262855828"/>
          <c:h val="0.7548109888065524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fysico-chemie'!$P$67:$P$106</c:f>
              <c:numCache>
                <c:formatCode>General</c:formatCode>
                <c:ptCount val="40"/>
                <c:pt idx="0">
                  <c:v>1860</c:v>
                </c:pt>
                <c:pt idx="1">
                  <c:v>1341</c:v>
                </c:pt>
                <c:pt idx="2">
                  <c:v>1965</c:v>
                </c:pt>
                <c:pt idx="3">
                  <c:v>1790</c:v>
                </c:pt>
                <c:pt idx="4">
                  <c:v>1968</c:v>
                </c:pt>
                <c:pt idx="5">
                  <c:v>2110</c:v>
                </c:pt>
                <c:pt idx="6">
                  <c:v>2423</c:v>
                </c:pt>
                <c:pt idx="7">
                  <c:v>2620</c:v>
                </c:pt>
                <c:pt idx="8">
                  <c:v>3062</c:v>
                </c:pt>
                <c:pt idx="9">
                  <c:v>3471</c:v>
                </c:pt>
                <c:pt idx="10">
                  <c:v>14822</c:v>
                </c:pt>
                <c:pt idx="13">
                  <c:v>1744</c:v>
                </c:pt>
                <c:pt idx="14">
                  <c:v>1688</c:v>
                </c:pt>
                <c:pt idx="15">
                  <c:v>1951</c:v>
                </c:pt>
                <c:pt idx="16">
                  <c:v>13450</c:v>
                </c:pt>
                <c:pt idx="17">
                  <c:v>39300</c:v>
                </c:pt>
                <c:pt idx="18">
                  <c:v>28700</c:v>
                </c:pt>
                <c:pt idx="19">
                  <c:v>17450</c:v>
                </c:pt>
                <c:pt idx="20">
                  <c:v>18250</c:v>
                </c:pt>
                <c:pt idx="21">
                  <c:v>7210</c:v>
                </c:pt>
                <c:pt idx="22">
                  <c:v>15000</c:v>
                </c:pt>
                <c:pt idx="23">
                  <c:v>22200</c:v>
                </c:pt>
                <c:pt idx="24">
                  <c:v>19200</c:v>
                </c:pt>
                <c:pt idx="25">
                  <c:v>15810</c:v>
                </c:pt>
                <c:pt idx="28">
                  <c:v>2040</c:v>
                </c:pt>
                <c:pt idx="29">
                  <c:v>2050</c:v>
                </c:pt>
                <c:pt idx="30">
                  <c:v>26500</c:v>
                </c:pt>
                <c:pt idx="31">
                  <c:v>7830</c:v>
                </c:pt>
                <c:pt idx="32">
                  <c:v>2910</c:v>
                </c:pt>
                <c:pt idx="33">
                  <c:v>1997</c:v>
                </c:pt>
                <c:pt idx="34">
                  <c:v>27000</c:v>
                </c:pt>
                <c:pt idx="35">
                  <c:v>1950</c:v>
                </c:pt>
                <c:pt idx="36">
                  <c:v>14400</c:v>
                </c:pt>
                <c:pt idx="37">
                  <c:v>19620</c:v>
                </c:pt>
                <c:pt idx="38">
                  <c:v>25000</c:v>
                </c:pt>
                <c:pt idx="39">
                  <c:v>2220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3-4BE9-B2ED-DB26425E02D9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fysico-chemie'!$T$67:$T$106</c:f>
              <c:numCache>
                <c:formatCode>General</c:formatCode>
                <c:ptCount val="40"/>
                <c:pt idx="0">
                  <c:v>1862</c:v>
                </c:pt>
                <c:pt idx="1">
                  <c:v>1434</c:v>
                </c:pt>
                <c:pt idx="2">
                  <c:v>1770</c:v>
                </c:pt>
                <c:pt idx="3">
                  <c:v>1783</c:v>
                </c:pt>
                <c:pt idx="4">
                  <c:v>1981</c:v>
                </c:pt>
                <c:pt idx="5">
                  <c:v>2148</c:v>
                </c:pt>
                <c:pt idx="6">
                  <c:v>2650</c:v>
                </c:pt>
                <c:pt idx="7">
                  <c:v>2560</c:v>
                </c:pt>
                <c:pt idx="8">
                  <c:v>3220</c:v>
                </c:pt>
                <c:pt idx="9">
                  <c:v>4167</c:v>
                </c:pt>
                <c:pt idx="10">
                  <c:v>15749</c:v>
                </c:pt>
                <c:pt idx="13">
                  <c:v>1734</c:v>
                </c:pt>
                <c:pt idx="14">
                  <c:v>1685</c:v>
                </c:pt>
                <c:pt idx="15">
                  <c:v>1978</c:v>
                </c:pt>
                <c:pt idx="16">
                  <c:v>5170</c:v>
                </c:pt>
                <c:pt idx="17">
                  <c:v>39700</c:v>
                </c:pt>
                <c:pt idx="18">
                  <c:v>28100</c:v>
                </c:pt>
                <c:pt idx="19">
                  <c:v>17770</c:v>
                </c:pt>
                <c:pt idx="20">
                  <c:v>16710</c:v>
                </c:pt>
                <c:pt idx="21">
                  <c:v>7150</c:v>
                </c:pt>
                <c:pt idx="22">
                  <c:v>13750</c:v>
                </c:pt>
                <c:pt idx="23">
                  <c:v>20400</c:v>
                </c:pt>
                <c:pt idx="24">
                  <c:v>19590</c:v>
                </c:pt>
                <c:pt idx="25">
                  <c:v>16060</c:v>
                </c:pt>
                <c:pt idx="28">
                  <c:v>2040</c:v>
                </c:pt>
                <c:pt idx="29">
                  <c:v>1964</c:v>
                </c:pt>
                <c:pt idx="30">
                  <c:v>28600</c:v>
                </c:pt>
                <c:pt idx="31">
                  <c:v>9250</c:v>
                </c:pt>
                <c:pt idx="32">
                  <c:v>3000</c:v>
                </c:pt>
                <c:pt idx="33">
                  <c:v>1969</c:v>
                </c:pt>
                <c:pt idx="34">
                  <c:v>32900</c:v>
                </c:pt>
                <c:pt idx="35">
                  <c:v>1883</c:v>
                </c:pt>
                <c:pt idx="36">
                  <c:v>16460</c:v>
                </c:pt>
                <c:pt idx="37">
                  <c:v>20500</c:v>
                </c:pt>
                <c:pt idx="38">
                  <c:v>24800</c:v>
                </c:pt>
                <c:pt idx="39">
                  <c:v>2420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3-4BE9-B2ED-DB26425E02D9}"/>
            </c:ext>
          </c:extLst>
        </c:ser>
        <c:ser>
          <c:idx val="1"/>
          <c:order val="2"/>
          <c:tx>
            <c:strRef>
              <c:f>'fig fysico-chemie'!$C$3</c:f>
              <c:strCache>
                <c:ptCount val="1"/>
                <c:pt idx="0">
                  <c:v>LO_bod</c:v>
                </c:pt>
              </c:strCache>
            </c:strRef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fysico-chemie'!$Q$67:$Q$106</c:f>
              <c:numCache>
                <c:formatCode>General</c:formatCode>
                <c:ptCount val="40"/>
                <c:pt idx="0">
                  <c:v>1874</c:v>
                </c:pt>
                <c:pt idx="1">
                  <c:v>1350</c:v>
                </c:pt>
                <c:pt idx="2">
                  <c:v>7026</c:v>
                </c:pt>
                <c:pt idx="3">
                  <c:v>2081</c:v>
                </c:pt>
                <c:pt idx="4">
                  <c:v>9209</c:v>
                </c:pt>
                <c:pt idx="5">
                  <c:v>5764</c:v>
                </c:pt>
                <c:pt idx="6">
                  <c:v>10860</c:v>
                </c:pt>
                <c:pt idx="7">
                  <c:v>23350</c:v>
                </c:pt>
                <c:pt idx="8">
                  <c:v>21410</c:v>
                </c:pt>
                <c:pt idx="9">
                  <c:v>20550</c:v>
                </c:pt>
                <c:pt idx="10">
                  <c:v>30798</c:v>
                </c:pt>
                <c:pt idx="13">
                  <c:v>1741</c:v>
                </c:pt>
                <c:pt idx="14">
                  <c:v>1697</c:v>
                </c:pt>
                <c:pt idx="15">
                  <c:v>2160</c:v>
                </c:pt>
                <c:pt idx="16">
                  <c:v>25900</c:v>
                </c:pt>
                <c:pt idx="17">
                  <c:v>41000</c:v>
                </c:pt>
                <c:pt idx="18">
                  <c:v>42700</c:v>
                </c:pt>
                <c:pt idx="19">
                  <c:v>28200</c:v>
                </c:pt>
                <c:pt idx="20">
                  <c:v>19950</c:v>
                </c:pt>
                <c:pt idx="21">
                  <c:v>21600</c:v>
                </c:pt>
                <c:pt idx="22">
                  <c:v>22800</c:v>
                </c:pt>
                <c:pt idx="23">
                  <c:v>26600</c:v>
                </c:pt>
                <c:pt idx="24">
                  <c:v>26400</c:v>
                </c:pt>
                <c:pt idx="25">
                  <c:v>23300</c:v>
                </c:pt>
                <c:pt idx="28">
                  <c:v>2040</c:v>
                </c:pt>
                <c:pt idx="29">
                  <c:v>2050</c:v>
                </c:pt>
                <c:pt idx="30">
                  <c:v>36600</c:v>
                </c:pt>
                <c:pt idx="31">
                  <c:v>9480</c:v>
                </c:pt>
                <c:pt idx="32">
                  <c:v>12400</c:v>
                </c:pt>
                <c:pt idx="33">
                  <c:v>1975</c:v>
                </c:pt>
                <c:pt idx="34">
                  <c:v>36500</c:v>
                </c:pt>
                <c:pt idx="35">
                  <c:v>1946</c:v>
                </c:pt>
                <c:pt idx="36">
                  <c:v>29300</c:v>
                </c:pt>
                <c:pt idx="37">
                  <c:v>38900</c:v>
                </c:pt>
                <c:pt idx="38">
                  <c:v>33800</c:v>
                </c:pt>
                <c:pt idx="39">
                  <c:v>2510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3-4BE9-B2ED-DB26425E02D9}"/>
            </c:ext>
          </c:extLst>
        </c:ser>
        <c:ser>
          <c:idx val="5"/>
          <c:order val="3"/>
          <c:tx>
            <c:strRef>
              <c:f>'fig fysico-chemie'!$G$3</c:f>
              <c:strCache>
                <c:ptCount val="1"/>
                <c:pt idx="0">
                  <c:v>RO_bod</c:v>
                </c:pt>
              </c:strCache>
            </c:strRef>
          </c:tx>
          <c:spPr>
            <a:ln>
              <a:solidFill>
                <a:srgbClr val="00B0F0"/>
              </a:solidFill>
              <a:prstDash val="sysDot"/>
            </a:ln>
          </c:spPr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fysico-chemie'!$U$67:$U$106</c:f>
              <c:numCache>
                <c:formatCode>General</c:formatCode>
                <c:ptCount val="40"/>
                <c:pt idx="0">
                  <c:v>1872</c:v>
                </c:pt>
                <c:pt idx="1">
                  <c:v>1346</c:v>
                </c:pt>
                <c:pt idx="2">
                  <c:v>8623</c:v>
                </c:pt>
                <c:pt idx="3">
                  <c:v>1786</c:v>
                </c:pt>
                <c:pt idx="4">
                  <c:v>8777</c:v>
                </c:pt>
                <c:pt idx="5">
                  <c:v>15800</c:v>
                </c:pt>
                <c:pt idx="6">
                  <c:v>3672</c:v>
                </c:pt>
                <c:pt idx="7">
                  <c:v>22350</c:v>
                </c:pt>
                <c:pt idx="8">
                  <c:v>21501</c:v>
                </c:pt>
                <c:pt idx="9">
                  <c:v>21449</c:v>
                </c:pt>
                <c:pt idx="10">
                  <c:v>30705</c:v>
                </c:pt>
                <c:pt idx="13">
                  <c:v>1742</c:v>
                </c:pt>
                <c:pt idx="14">
                  <c:v>1695</c:v>
                </c:pt>
                <c:pt idx="15">
                  <c:v>1978</c:v>
                </c:pt>
                <c:pt idx="16">
                  <c:v>13380</c:v>
                </c:pt>
                <c:pt idx="17">
                  <c:v>41400</c:v>
                </c:pt>
                <c:pt idx="18">
                  <c:v>42800</c:v>
                </c:pt>
                <c:pt idx="19">
                  <c:v>30200</c:v>
                </c:pt>
                <c:pt idx="20">
                  <c:v>23000</c:v>
                </c:pt>
                <c:pt idx="21">
                  <c:v>21300</c:v>
                </c:pt>
                <c:pt idx="22">
                  <c:v>24300</c:v>
                </c:pt>
                <c:pt idx="23">
                  <c:v>28700</c:v>
                </c:pt>
                <c:pt idx="24">
                  <c:v>26500</c:v>
                </c:pt>
                <c:pt idx="25">
                  <c:v>23030</c:v>
                </c:pt>
                <c:pt idx="28">
                  <c:v>2130</c:v>
                </c:pt>
                <c:pt idx="29">
                  <c:v>2070</c:v>
                </c:pt>
                <c:pt idx="30">
                  <c:v>37500</c:v>
                </c:pt>
                <c:pt idx="31">
                  <c:v>10070</c:v>
                </c:pt>
                <c:pt idx="32">
                  <c:v>21300</c:v>
                </c:pt>
                <c:pt idx="33">
                  <c:v>1970</c:v>
                </c:pt>
                <c:pt idx="34">
                  <c:v>41800</c:v>
                </c:pt>
                <c:pt idx="35">
                  <c:v>1829</c:v>
                </c:pt>
                <c:pt idx="36">
                  <c:v>29900</c:v>
                </c:pt>
                <c:pt idx="37">
                  <c:v>40000</c:v>
                </c:pt>
                <c:pt idx="38">
                  <c:v>34000</c:v>
                </c:pt>
                <c:pt idx="39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3-4BE9-B2ED-DB26425E02D9}"/>
            </c:ext>
          </c:extLst>
        </c:ser>
        <c:ser>
          <c:idx val="2"/>
          <c:order val="4"/>
          <c:tx>
            <c:v>polder</c:v>
          </c:tx>
          <c:marker>
            <c:symbol val="none"/>
          </c:marker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fysico-chemie'!$Y$68:$Y$77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93-4BE9-B2ED-DB26425E0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39680"/>
        <c:axId val="143641216"/>
      </c:lineChart>
      <c:catAx>
        <c:axId val="143639680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3641216"/>
        <c:crosses val="autoZero"/>
        <c:auto val="0"/>
        <c:lblAlgn val="ctr"/>
        <c:lblOffset val="100"/>
        <c:noMultiLvlLbl val="1"/>
      </c:catAx>
      <c:valAx>
        <c:axId val="143641216"/>
        <c:scaling>
          <c:orientation val="minMax"/>
          <c:max val="4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µS</a:t>
                </a:r>
                <a:r>
                  <a:rPr lang="en-US" baseline="0"/>
                  <a:t> </a:t>
                </a:r>
                <a:r>
                  <a:rPr lang="en-US"/>
                  <a:t>cm</a:t>
                </a:r>
                <a:r>
                  <a:rPr lang="en-US" baseline="30000"/>
                  <a:t>-1</a:t>
                </a:r>
                <a:r>
                  <a:rPr lang="en-US"/>
                  <a:t>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639680"/>
        <c:crosses val="autoZero"/>
        <c:crossBetween val="between"/>
        <c:majorUnit val="5000"/>
      </c:valAx>
    </c:plotArea>
    <c:legend>
      <c:legendPos val="r"/>
      <c:layout>
        <c:manualLayout>
          <c:xMode val="edge"/>
          <c:yMode val="edge"/>
          <c:x val="0.19500269661675848"/>
          <c:y val="2.958629723007393E-2"/>
          <c:w val="0.15863532006602626"/>
          <c:h val="0.34791554875101993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85870707696279225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fysico-chemie'!$B$3</c:f>
              <c:strCache>
                <c:ptCount val="1"/>
                <c:pt idx="0">
                  <c:v>LO_opp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fysico-chemie'!$A$4:$A$14</c:f>
              <c:numCache>
                <c:formatCode>m/d/yyyy</c:formatCode>
                <c:ptCount val="11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</c:numCache>
            </c:numRef>
          </c:cat>
          <c:val>
            <c:numRef>
              <c:f>'fig fysico-chemie'!$C$368:$C$378</c:f>
              <c:numCache>
                <c:formatCode>General</c:formatCode>
                <c:ptCount val="11"/>
                <c:pt idx="0">
                  <c:v>1.2</c:v>
                </c:pt>
                <c:pt idx="1">
                  <c:v>1.6</c:v>
                </c:pt>
                <c:pt idx="2">
                  <c:v>2.5</c:v>
                </c:pt>
                <c:pt idx="3">
                  <c:v>1.2</c:v>
                </c:pt>
                <c:pt idx="4">
                  <c:v>1.9</c:v>
                </c:pt>
                <c:pt idx="5">
                  <c:v>1.6</c:v>
                </c:pt>
                <c:pt idx="6">
                  <c:v>2</c:v>
                </c:pt>
                <c:pt idx="7">
                  <c:v>2.2999999999999998</c:v>
                </c:pt>
                <c:pt idx="8">
                  <c:v>2</c:v>
                </c:pt>
                <c:pt idx="9">
                  <c:v>2</c:v>
                </c:pt>
                <c:pt idx="10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B-4C20-AFE8-F94981BD6DE4}"/>
            </c:ext>
          </c:extLst>
        </c:ser>
        <c:ser>
          <c:idx val="4"/>
          <c:order val="1"/>
          <c:tx>
            <c:strRef>
              <c:f>'fig fysico-chemie'!$F$3</c:f>
              <c:strCache>
                <c:ptCount val="1"/>
                <c:pt idx="0">
                  <c:v>RO_opp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'fig fysico-chemie'!$A$4:$A$14</c:f>
              <c:numCache>
                <c:formatCode>m/d/yyyy</c:formatCode>
                <c:ptCount val="11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</c:numCache>
            </c:numRef>
          </c:cat>
          <c:val>
            <c:numRef>
              <c:f>'fig fysico-chemie'!$G$368:$G$378</c:f>
              <c:numCache>
                <c:formatCode>General</c:formatCode>
                <c:ptCount val="11"/>
                <c:pt idx="0">
                  <c:v>1.1000000000000001</c:v>
                </c:pt>
                <c:pt idx="1">
                  <c:v>2</c:v>
                </c:pt>
                <c:pt idx="2">
                  <c:v>1.6</c:v>
                </c:pt>
                <c:pt idx="3">
                  <c:v>1.7</c:v>
                </c:pt>
                <c:pt idx="4">
                  <c:v>1.3</c:v>
                </c:pt>
                <c:pt idx="5">
                  <c:v>2.8</c:v>
                </c:pt>
                <c:pt idx="6">
                  <c:v>2.1</c:v>
                </c:pt>
                <c:pt idx="7">
                  <c:v>1.3</c:v>
                </c:pt>
                <c:pt idx="8">
                  <c:v>2.2999999999999998</c:v>
                </c:pt>
                <c:pt idx="9">
                  <c:v>1.8</c:v>
                </c:pt>
                <c:pt idx="10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B-4C20-AFE8-F94981BD6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8640"/>
        <c:axId val="143730176"/>
      </c:lineChart>
      <c:dateAx>
        <c:axId val="143728640"/>
        <c:scaling>
          <c:orientation val="minMax"/>
          <c:min val="42430"/>
        </c:scaling>
        <c:delete val="0"/>
        <c:axPos val="b"/>
        <c:numFmt formatCode="m/d/yyyy" sourceLinked="1"/>
        <c:majorTickMark val="out"/>
        <c:minorTickMark val="none"/>
        <c:tickLblPos val="nextTo"/>
        <c:crossAx val="143730176"/>
        <c:crosses val="autoZero"/>
        <c:auto val="1"/>
        <c:lblOffset val="100"/>
        <c:baseTimeUnit val="days"/>
        <c:majorUnit val="7"/>
        <c:majorTimeUnit val="days"/>
      </c:dateAx>
      <c:valAx>
        <c:axId val="143730176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28640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0413964424554774"/>
          <c:y val="0.62217880004714565"/>
          <c:w val="0.15863532006602626"/>
          <c:h val="0.1558344364781013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8186754190491"/>
          <c:y val="2.5401086675460625E-2"/>
          <c:w val="0.86662970692035213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fysico-chemie'!$AG$3</c:f>
              <c:strCache>
                <c:ptCount val="1"/>
                <c:pt idx="0">
                  <c:v>SC-O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fysico-chemie'!$AG$4:$AG$43</c:f>
              <c:numCache>
                <c:formatCode>0.0</c:formatCode>
                <c:ptCount val="40"/>
                <c:pt idx="0">
                  <c:v>6.13</c:v>
                </c:pt>
                <c:pt idx="1">
                  <c:v>6.6</c:v>
                </c:pt>
                <c:pt idx="2">
                  <c:v>6.6950000000000003</c:v>
                </c:pt>
                <c:pt idx="3">
                  <c:v>9.49</c:v>
                </c:pt>
                <c:pt idx="4">
                  <c:v>9.8133333333333326</c:v>
                </c:pt>
                <c:pt idx="5">
                  <c:v>10.443333333333333</c:v>
                </c:pt>
                <c:pt idx="6">
                  <c:v>12.796666666666667</c:v>
                </c:pt>
                <c:pt idx="7">
                  <c:v>14.566666666666668</c:v>
                </c:pt>
                <c:pt idx="8">
                  <c:v>11.093333333333334</c:v>
                </c:pt>
                <c:pt idx="9">
                  <c:v>13.113333333333335</c:v>
                </c:pt>
                <c:pt idx="10">
                  <c:v>17.049999999999997</c:v>
                </c:pt>
                <c:pt idx="13">
                  <c:v>6.35</c:v>
                </c:pt>
                <c:pt idx="14">
                  <c:v>8.6333333333333329</c:v>
                </c:pt>
                <c:pt idx="15">
                  <c:v>11.033333333333333</c:v>
                </c:pt>
                <c:pt idx="16">
                  <c:v>10.1</c:v>
                </c:pt>
                <c:pt idx="17">
                  <c:v>12.833333333333334</c:v>
                </c:pt>
                <c:pt idx="18">
                  <c:v>12.733333333333334</c:v>
                </c:pt>
                <c:pt idx="19">
                  <c:v>12.233333333333334</c:v>
                </c:pt>
                <c:pt idx="20">
                  <c:v>13.266666666666666</c:v>
                </c:pt>
                <c:pt idx="21">
                  <c:v>12.833333333333334</c:v>
                </c:pt>
                <c:pt idx="22">
                  <c:v>13.466666666666667</c:v>
                </c:pt>
                <c:pt idx="23">
                  <c:v>16.066666666666666</c:v>
                </c:pt>
                <c:pt idx="24">
                  <c:v>16.566666666666666</c:v>
                </c:pt>
                <c:pt idx="25">
                  <c:v>19.833333333333332</c:v>
                </c:pt>
                <c:pt idx="28">
                  <c:v>7.2</c:v>
                </c:pt>
                <c:pt idx="29">
                  <c:v>4.7</c:v>
                </c:pt>
                <c:pt idx="30">
                  <c:v>6.5999999999999988</c:v>
                </c:pt>
                <c:pt idx="31">
                  <c:v>9.1666666666666661</c:v>
                </c:pt>
                <c:pt idx="32">
                  <c:v>11.866666666666667</c:v>
                </c:pt>
                <c:pt idx="33">
                  <c:v>13.366666666666667</c:v>
                </c:pt>
                <c:pt idx="34">
                  <c:v>16.233333333333334</c:v>
                </c:pt>
                <c:pt idx="35">
                  <c:v>11.766666666666666</c:v>
                </c:pt>
                <c:pt idx="36">
                  <c:v>16.366666666666664</c:v>
                </c:pt>
                <c:pt idx="37">
                  <c:v>13.6</c:v>
                </c:pt>
                <c:pt idx="38">
                  <c:v>16.533333333333335</c:v>
                </c:pt>
                <c:pt idx="39">
                  <c:v>20.633333333333333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B-47CB-9950-89334E03B6A0}"/>
            </c:ext>
          </c:extLst>
        </c:ser>
        <c:ser>
          <c:idx val="1"/>
          <c:order val="1"/>
          <c:tx>
            <c:strRef>
              <c:f>'fig fysico-chemie'!$AH$3</c:f>
              <c:strCache>
                <c:ptCount val="1"/>
                <c:pt idx="0">
                  <c:v>SC-B</c:v>
                </c:pt>
              </c:strCache>
            </c:strRef>
          </c:tx>
          <c:spPr>
            <a:ln w="19050">
              <a:solidFill>
                <a:srgbClr val="00B050"/>
              </a:solidFill>
              <a:prstDash val="sysDot"/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fysico-chemie'!$AH$4:$AH$29</c:f>
              <c:numCache>
                <c:formatCode>0.0</c:formatCode>
                <c:ptCount val="26"/>
                <c:pt idx="0">
                  <c:v>5.95</c:v>
                </c:pt>
                <c:pt idx="1">
                  <c:v>6.3849999999999998</c:v>
                </c:pt>
                <c:pt idx="2">
                  <c:v>6.8149999999999995</c:v>
                </c:pt>
                <c:pt idx="3">
                  <c:v>8.84</c:v>
                </c:pt>
                <c:pt idx="4">
                  <c:v>9.5366666666666671</c:v>
                </c:pt>
                <c:pt idx="5">
                  <c:v>10.540000000000001</c:v>
                </c:pt>
                <c:pt idx="6">
                  <c:v>12.283333333333333</c:v>
                </c:pt>
                <c:pt idx="7">
                  <c:v>12.863333333333332</c:v>
                </c:pt>
                <c:pt idx="8">
                  <c:v>10.676666666666668</c:v>
                </c:pt>
                <c:pt idx="9">
                  <c:v>11.976666666666668</c:v>
                </c:pt>
                <c:pt idx="10">
                  <c:v>16.326666666666668</c:v>
                </c:pt>
                <c:pt idx="13">
                  <c:v>6.35</c:v>
                </c:pt>
                <c:pt idx="14">
                  <c:v>8.6</c:v>
                </c:pt>
                <c:pt idx="15">
                  <c:v>11.033333333333333</c:v>
                </c:pt>
                <c:pt idx="16">
                  <c:v>9.6666666666666661</c:v>
                </c:pt>
                <c:pt idx="17">
                  <c:v>11.433333333333332</c:v>
                </c:pt>
                <c:pt idx="18">
                  <c:v>12.9</c:v>
                </c:pt>
                <c:pt idx="19">
                  <c:v>13.9</c:v>
                </c:pt>
                <c:pt idx="20">
                  <c:v>13.699999999999998</c:v>
                </c:pt>
                <c:pt idx="21">
                  <c:v>12.866666666666667</c:v>
                </c:pt>
                <c:pt idx="22">
                  <c:v>13.799999999999999</c:v>
                </c:pt>
                <c:pt idx="23">
                  <c:v>15.133333333333333</c:v>
                </c:pt>
                <c:pt idx="24">
                  <c:v>16.599999999999998</c:v>
                </c:pt>
                <c:pt idx="25">
                  <c:v>19.099999999999998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B-47CB-9950-89334E03B6A0}"/>
            </c:ext>
          </c:extLst>
        </c:ser>
        <c:ser>
          <c:idx val="2"/>
          <c:order val="2"/>
          <c:tx>
            <c:strRef>
              <c:f>'fig fysico-chemie'!$AI$3</c:f>
              <c:strCache>
                <c:ptCount val="1"/>
                <c:pt idx="0">
                  <c:v>MI-O</c:v>
                </c:pt>
              </c:strCache>
            </c:strRef>
          </c:tx>
          <c:spPr>
            <a:ln w="19050">
              <a:solidFill>
                <a:srgbClr val="0066FF"/>
              </a:solidFill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fysico-chemie'!$AI$4:$AI$43</c:f>
              <c:numCache>
                <c:formatCode>0.0</c:formatCode>
                <c:ptCount val="40"/>
                <c:pt idx="0">
                  <c:v>6.07</c:v>
                </c:pt>
                <c:pt idx="1">
                  <c:v>6.6349999999999998</c:v>
                </c:pt>
                <c:pt idx="2">
                  <c:v>6.7</c:v>
                </c:pt>
                <c:pt idx="3">
                  <c:v>9.370000000000001</c:v>
                </c:pt>
                <c:pt idx="4">
                  <c:v>9.7866666666666671</c:v>
                </c:pt>
                <c:pt idx="5">
                  <c:v>10.243333333333332</c:v>
                </c:pt>
                <c:pt idx="6">
                  <c:v>12.593333333333334</c:v>
                </c:pt>
                <c:pt idx="7">
                  <c:v>14.25</c:v>
                </c:pt>
                <c:pt idx="8">
                  <c:v>10.813333333333333</c:v>
                </c:pt>
                <c:pt idx="9">
                  <c:v>13.280000000000001</c:v>
                </c:pt>
                <c:pt idx="10">
                  <c:v>17.28</c:v>
                </c:pt>
                <c:pt idx="13">
                  <c:v>6.35</c:v>
                </c:pt>
                <c:pt idx="14">
                  <c:v>8.7666666666666675</c:v>
                </c:pt>
                <c:pt idx="15">
                  <c:v>11.033333333333333</c:v>
                </c:pt>
                <c:pt idx="16">
                  <c:v>9.9333333333333318</c:v>
                </c:pt>
                <c:pt idx="17">
                  <c:v>12.6</c:v>
                </c:pt>
                <c:pt idx="18">
                  <c:v>12.366666666666667</c:v>
                </c:pt>
                <c:pt idx="19">
                  <c:v>13.166666666666666</c:v>
                </c:pt>
                <c:pt idx="20">
                  <c:v>13.433333333333332</c:v>
                </c:pt>
                <c:pt idx="21">
                  <c:v>12.466666666666667</c:v>
                </c:pt>
                <c:pt idx="22">
                  <c:v>13.166666666666666</c:v>
                </c:pt>
                <c:pt idx="23">
                  <c:v>16.099999999999998</c:v>
                </c:pt>
                <c:pt idx="24">
                  <c:v>16.466666666666665</c:v>
                </c:pt>
                <c:pt idx="25">
                  <c:v>19.666666666666668</c:v>
                </c:pt>
                <c:pt idx="28">
                  <c:v>7</c:v>
                </c:pt>
                <c:pt idx="29">
                  <c:v>4.8666666666666671</c:v>
                </c:pt>
                <c:pt idx="30">
                  <c:v>6.5666666666666664</c:v>
                </c:pt>
                <c:pt idx="31">
                  <c:v>9.4</c:v>
                </c:pt>
                <c:pt idx="32">
                  <c:v>11.9</c:v>
                </c:pt>
                <c:pt idx="33">
                  <c:v>13.466666666666667</c:v>
                </c:pt>
                <c:pt idx="34">
                  <c:v>16.233333333333331</c:v>
                </c:pt>
                <c:pt idx="35">
                  <c:v>11.733333333333334</c:v>
                </c:pt>
                <c:pt idx="36">
                  <c:v>17.366666666666671</c:v>
                </c:pt>
                <c:pt idx="37">
                  <c:v>14.366666666666667</c:v>
                </c:pt>
                <c:pt idx="38">
                  <c:v>18.166666666666668</c:v>
                </c:pt>
                <c:pt idx="39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B-47CB-9950-89334E03B6A0}"/>
            </c:ext>
          </c:extLst>
        </c:ser>
        <c:ser>
          <c:idx val="3"/>
          <c:order val="3"/>
          <c:tx>
            <c:strRef>
              <c:f>'fig fysico-chemie'!$AJ$3</c:f>
              <c:strCache>
                <c:ptCount val="1"/>
                <c:pt idx="0">
                  <c:v>MI-B</c:v>
                </c:pt>
              </c:strCache>
            </c:strRef>
          </c:tx>
          <c:spPr>
            <a:ln w="19050">
              <a:solidFill>
                <a:srgbClr val="0066FF"/>
              </a:solidFill>
              <a:prstDash val="sysDot"/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fysico-chemie'!$AJ$4:$AJ$43</c:f>
              <c:numCache>
                <c:formatCode>0.0</c:formatCode>
                <c:ptCount val="40"/>
                <c:pt idx="0">
                  <c:v>5.8450000000000006</c:v>
                </c:pt>
                <c:pt idx="1">
                  <c:v>6.4050000000000002</c:v>
                </c:pt>
                <c:pt idx="2">
                  <c:v>6.91</c:v>
                </c:pt>
                <c:pt idx="3">
                  <c:v>8.94</c:v>
                </c:pt>
                <c:pt idx="4">
                  <c:v>9.6600000000000019</c:v>
                </c:pt>
                <c:pt idx="5">
                  <c:v>10.663333333333332</c:v>
                </c:pt>
                <c:pt idx="6">
                  <c:v>12.286666666666667</c:v>
                </c:pt>
                <c:pt idx="7">
                  <c:v>12.663333333333332</c:v>
                </c:pt>
                <c:pt idx="8">
                  <c:v>10.376666666666667</c:v>
                </c:pt>
                <c:pt idx="9">
                  <c:v>11.709999999999999</c:v>
                </c:pt>
                <c:pt idx="10">
                  <c:v>16.366666666666667</c:v>
                </c:pt>
                <c:pt idx="13">
                  <c:v>6.35</c:v>
                </c:pt>
                <c:pt idx="14">
                  <c:v>8.6</c:v>
                </c:pt>
                <c:pt idx="15">
                  <c:v>10.933333333333332</c:v>
                </c:pt>
                <c:pt idx="16">
                  <c:v>9.6999999999999993</c:v>
                </c:pt>
                <c:pt idx="17">
                  <c:v>11.266666666666666</c:v>
                </c:pt>
                <c:pt idx="18">
                  <c:v>12.9</c:v>
                </c:pt>
                <c:pt idx="19">
                  <c:v>14.033333333333333</c:v>
                </c:pt>
                <c:pt idx="20">
                  <c:v>13.699999999999998</c:v>
                </c:pt>
                <c:pt idx="21">
                  <c:v>13.133333333333333</c:v>
                </c:pt>
                <c:pt idx="22">
                  <c:v>13.766666666666666</c:v>
                </c:pt>
                <c:pt idx="23">
                  <c:v>15.300000000000002</c:v>
                </c:pt>
                <c:pt idx="24">
                  <c:v>16.666666666666668</c:v>
                </c:pt>
                <c:pt idx="25">
                  <c:v>18.099999999999998</c:v>
                </c:pt>
                <c:pt idx="28">
                  <c:v>7</c:v>
                </c:pt>
                <c:pt idx="29">
                  <c:v>4.833333333333333</c:v>
                </c:pt>
                <c:pt idx="30">
                  <c:v>6.7</c:v>
                </c:pt>
                <c:pt idx="31">
                  <c:v>9.3333333333333339</c:v>
                </c:pt>
                <c:pt idx="32">
                  <c:v>11.300000000000002</c:v>
                </c:pt>
                <c:pt idx="33">
                  <c:v>13.333333333333334</c:v>
                </c:pt>
                <c:pt idx="34">
                  <c:v>15.200000000000001</c:v>
                </c:pt>
                <c:pt idx="35">
                  <c:v>11.733333333333334</c:v>
                </c:pt>
                <c:pt idx="36">
                  <c:v>14.9</c:v>
                </c:pt>
                <c:pt idx="37">
                  <c:v>15.533333333333333</c:v>
                </c:pt>
                <c:pt idx="38">
                  <c:v>15.199999999999998</c:v>
                </c:pt>
                <c:pt idx="39">
                  <c:v>20.233333333333334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BB-47CB-9950-89334E03B6A0}"/>
            </c:ext>
          </c:extLst>
        </c:ser>
        <c:ser>
          <c:idx val="4"/>
          <c:order val="4"/>
          <c:tx>
            <c:strRef>
              <c:f>'fig fysico-chemie'!$AK$3</c:f>
              <c:strCache>
                <c:ptCount val="1"/>
                <c:pt idx="0">
                  <c:v>PS-O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fysico-chemie'!$AK$4:$AK$43</c:f>
              <c:numCache>
                <c:formatCode>0.0</c:formatCode>
                <c:ptCount val="40"/>
                <c:pt idx="0">
                  <c:v>6.28</c:v>
                </c:pt>
                <c:pt idx="1">
                  <c:v>6.6</c:v>
                </c:pt>
                <c:pt idx="2">
                  <c:v>6.8000000000000007</c:v>
                </c:pt>
                <c:pt idx="3">
                  <c:v>9.4499999999999993</c:v>
                </c:pt>
                <c:pt idx="4">
                  <c:v>9.7133333333333329</c:v>
                </c:pt>
                <c:pt idx="5">
                  <c:v>10.37</c:v>
                </c:pt>
                <c:pt idx="6">
                  <c:v>12.799999999999999</c:v>
                </c:pt>
                <c:pt idx="7">
                  <c:v>13.856666666666667</c:v>
                </c:pt>
                <c:pt idx="8">
                  <c:v>10.746666666666664</c:v>
                </c:pt>
                <c:pt idx="9">
                  <c:v>13.606666666666667</c:v>
                </c:pt>
                <c:pt idx="10">
                  <c:v>17.563333333333333</c:v>
                </c:pt>
                <c:pt idx="13">
                  <c:v>6.4</c:v>
                </c:pt>
                <c:pt idx="14">
                  <c:v>8.7666666666666675</c:v>
                </c:pt>
                <c:pt idx="15">
                  <c:v>10.866666666666667</c:v>
                </c:pt>
                <c:pt idx="16">
                  <c:v>9.7000000000000011</c:v>
                </c:pt>
                <c:pt idx="17">
                  <c:v>11.433333333333332</c:v>
                </c:pt>
                <c:pt idx="18">
                  <c:v>12.866666666666667</c:v>
                </c:pt>
                <c:pt idx="19">
                  <c:v>14.066666666666668</c:v>
                </c:pt>
                <c:pt idx="20">
                  <c:v>13.333333333333334</c:v>
                </c:pt>
                <c:pt idx="21">
                  <c:v>11.833333333333334</c:v>
                </c:pt>
                <c:pt idx="22">
                  <c:v>12.966666666666667</c:v>
                </c:pt>
                <c:pt idx="23">
                  <c:v>15.5</c:v>
                </c:pt>
                <c:pt idx="24">
                  <c:v>16.666666666666668</c:v>
                </c:pt>
                <c:pt idx="25">
                  <c:v>19.366666666666664</c:v>
                </c:pt>
                <c:pt idx="28">
                  <c:v>7.2</c:v>
                </c:pt>
                <c:pt idx="29">
                  <c:v>4.7</c:v>
                </c:pt>
                <c:pt idx="30">
                  <c:v>6.5999999999999988</c:v>
                </c:pt>
                <c:pt idx="31">
                  <c:v>9.1666666666666661</c:v>
                </c:pt>
                <c:pt idx="32">
                  <c:v>11.866666666666667</c:v>
                </c:pt>
                <c:pt idx="33">
                  <c:v>13.366666666666667</c:v>
                </c:pt>
                <c:pt idx="34">
                  <c:v>16.233333333333334</c:v>
                </c:pt>
                <c:pt idx="35">
                  <c:v>11.766666666666666</c:v>
                </c:pt>
                <c:pt idx="36">
                  <c:v>16.366666666666664</c:v>
                </c:pt>
                <c:pt idx="37">
                  <c:v>13.6</c:v>
                </c:pt>
                <c:pt idx="38">
                  <c:v>16.533333333333335</c:v>
                </c:pt>
                <c:pt idx="39">
                  <c:v>20.633333333333333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BB-47CB-9950-89334E03B6A0}"/>
            </c:ext>
          </c:extLst>
        </c:ser>
        <c:ser>
          <c:idx val="5"/>
          <c:order val="5"/>
          <c:tx>
            <c:strRef>
              <c:f>'fig fysico-chemie'!$AL$3</c:f>
              <c:strCache>
                <c:ptCount val="1"/>
                <c:pt idx="0">
                  <c:v>PS-B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fysico-chemie'!$AL$4:$AL$43</c:f>
              <c:numCache>
                <c:formatCode>0.0</c:formatCode>
                <c:ptCount val="40"/>
                <c:pt idx="0">
                  <c:v>6.0500000000000007</c:v>
                </c:pt>
                <c:pt idx="1">
                  <c:v>6.42</c:v>
                </c:pt>
                <c:pt idx="2">
                  <c:v>6.95</c:v>
                </c:pt>
                <c:pt idx="3">
                  <c:v>9.27</c:v>
                </c:pt>
                <c:pt idx="4">
                  <c:v>9.8766666666666652</c:v>
                </c:pt>
                <c:pt idx="5">
                  <c:v>10.81</c:v>
                </c:pt>
                <c:pt idx="6">
                  <c:v>12.566666666666668</c:v>
                </c:pt>
                <c:pt idx="7">
                  <c:v>12.32</c:v>
                </c:pt>
                <c:pt idx="8">
                  <c:v>10.706666666666665</c:v>
                </c:pt>
                <c:pt idx="9">
                  <c:v>11.75</c:v>
                </c:pt>
                <c:pt idx="10">
                  <c:v>15.836666666666666</c:v>
                </c:pt>
                <c:pt idx="13">
                  <c:v>6.4</c:v>
                </c:pt>
                <c:pt idx="14">
                  <c:v>8.6</c:v>
                </c:pt>
                <c:pt idx="15">
                  <c:v>10.866666666666667</c:v>
                </c:pt>
                <c:pt idx="16">
                  <c:v>9.6999999999999993</c:v>
                </c:pt>
                <c:pt idx="17">
                  <c:v>11.1</c:v>
                </c:pt>
                <c:pt idx="18">
                  <c:v>12.966666666666667</c:v>
                </c:pt>
                <c:pt idx="19">
                  <c:v>13.633333333333333</c:v>
                </c:pt>
                <c:pt idx="20">
                  <c:v>13.300000000000002</c:v>
                </c:pt>
                <c:pt idx="21">
                  <c:v>12.833333333333334</c:v>
                </c:pt>
                <c:pt idx="22">
                  <c:v>13.4</c:v>
                </c:pt>
                <c:pt idx="23">
                  <c:v>14.6</c:v>
                </c:pt>
                <c:pt idx="24">
                  <c:v>16.033333333333335</c:v>
                </c:pt>
                <c:pt idx="25">
                  <c:v>17.600000000000001</c:v>
                </c:pt>
                <c:pt idx="28">
                  <c:v>7.166666666666667</c:v>
                </c:pt>
                <c:pt idx="29">
                  <c:v>4.8</c:v>
                </c:pt>
                <c:pt idx="30">
                  <c:v>6.5</c:v>
                </c:pt>
                <c:pt idx="31">
                  <c:v>8.8666666666666671</c:v>
                </c:pt>
                <c:pt idx="32">
                  <c:v>11.133333333333335</c:v>
                </c:pt>
                <c:pt idx="33">
                  <c:v>13.300000000000002</c:v>
                </c:pt>
                <c:pt idx="34">
                  <c:v>14.933333333333332</c:v>
                </c:pt>
                <c:pt idx="35">
                  <c:v>11.733333333333334</c:v>
                </c:pt>
                <c:pt idx="36">
                  <c:v>14.466666666666667</c:v>
                </c:pt>
                <c:pt idx="37">
                  <c:v>15.1</c:v>
                </c:pt>
                <c:pt idx="38">
                  <c:v>16.166666666666668</c:v>
                </c:pt>
                <c:pt idx="39">
                  <c:v>20.433333333333334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BB-47CB-9950-89334E03B6A0}"/>
            </c:ext>
          </c:extLst>
        </c:ser>
        <c:ser>
          <c:idx val="6"/>
          <c:order val="6"/>
          <c:tx>
            <c:strRef>
              <c:f>'fig fysico-chemie'!$AM$3</c:f>
              <c:strCache>
                <c:ptCount val="1"/>
                <c:pt idx="0">
                  <c:v>PO-O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fysico-chemie'!$AM$4:$AM$43</c:f>
              <c:numCache>
                <c:formatCode>0.0</c:formatCode>
                <c:ptCount val="40"/>
                <c:pt idx="1">
                  <c:v>6.43</c:v>
                </c:pt>
                <c:pt idx="2">
                  <c:v>7.2</c:v>
                </c:pt>
                <c:pt idx="3">
                  <c:v>8.92</c:v>
                </c:pt>
                <c:pt idx="4">
                  <c:v>9.76</c:v>
                </c:pt>
                <c:pt idx="5">
                  <c:v>10.77</c:v>
                </c:pt>
                <c:pt idx="6">
                  <c:v>13.48</c:v>
                </c:pt>
                <c:pt idx="7">
                  <c:v>13.16</c:v>
                </c:pt>
                <c:pt idx="8">
                  <c:v>10.77</c:v>
                </c:pt>
                <c:pt idx="9">
                  <c:v>12.68</c:v>
                </c:pt>
                <c:pt idx="10">
                  <c:v>18.59</c:v>
                </c:pt>
                <c:pt idx="13" formatCode="General">
                  <c:v>6.5</c:v>
                </c:pt>
                <c:pt idx="14" formatCode="General">
                  <c:v>9.1</c:v>
                </c:pt>
                <c:pt idx="15" formatCode="General">
                  <c:v>10.8</c:v>
                </c:pt>
                <c:pt idx="16" formatCode="General">
                  <c:v>11.1</c:v>
                </c:pt>
                <c:pt idx="17" formatCode="General">
                  <c:v>13.7</c:v>
                </c:pt>
                <c:pt idx="18" formatCode="General">
                  <c:v>13.8</c:v>
                </c:pt>
                <c:pt idx="19" formatCode="General">
                  <c:v>13.7</c:v>
                </c:pt>
                <c:pt idx="20" formatCode="General">
                  <c:v>12.9</c:v>
                </c:pt>
                <c:pt idx="21" formatCode="General">
                  <c:v>13</c:v>
                </c:pt>
                <c:pt idx="22" formatCode="General">
                  <c:v>14.2</c:v>
                </c:pt>
                <c:pt idx="23" formatCode="General">
                  <c:v>16.5</c:v>
                </c:pt>
                <c:pt idx="24" formatCode="General">
                  <c:v>17.7</c:v>
                </c:pt>
                <c:pt idx="25" formatCode="General">
                  <c:v>19.600000000000001</c:v>
                </c:pt>
                <c:pt idx="30" formatCode="General">
                  <c:v>7.7</c:v>
                </c:pt>
                <c:pt idx="31" formatCode="General">
                  <c:v>9.9</c:v>
                </c:pt>
                <c:pt idx="32" formatCode="General">
                  <c:v>12.2</c:v>
                </c:pt>
                <c:pt idx="33" formatCode="General">
                  <c:v>13.8</c:v>
                </c:pt>
                <c:pt idx="34" formatCode="General">
                  <c:v>19.100000000000001</c:v>
                </c:pt>
                <c:pt idx="35" formatCode="General">
                  <c:v>11.9</c:v>
                </c:pt>
                <c:pt idx="36" formatCode="General">
                  <c:v>18.399999999999999</c:v>
                </c:pt>
                <c:pt idx="37">
                  <c:v>18.100000000000001</c:v>
                </c:pt>
                <c:pt idx="38" formatCode="General">
                  <c:v>17.7</c:v>
                </c:pt>
                <c:pt idx="39" formatCode="General">
                  <c:v>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BB-47CB-9950-89334E03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57920"/>
        <c:axId val="143863808"/>
      </c:lineChart>
      <c:catAx>
        <c:axId val="143857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3863808"/>
        <c:crosses val="autoZero"/>
        <c:auto val="0"/>
        <c:lblAlgn val="ctr"/>
        <c:lblOffset val="100"/>
        <c:noMultiLvlLbl val="0"/>
      </c:catAx>
      <c:valAx>
        <c:axId val="143863808"/>
        <c:scaling>
          <c:orientation val="minMax"/>
          <c:max val="23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 (°C)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3639901342384684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3857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052415997672322"/>
          <c:y val="6.4454943418423968E-3"/>
          <c:w val="0.17204199475065618"/>
          <c:h val="0.32136957757739515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6577094983599"/>
          <c:y val="4.1841731074143768E-2"/>
          <c:w val="0.83958159470164995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fysico-chemie'!$AG$3</c:f>
              <c:strCache>
                <c:ptCount val="1"/>
                <c:pt idx="0">
                  <c:v>SC-O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fysico-chemie'!$AG$172:$AG$211</c:f>
              <c:numCache>
                <c:formatCode>0</c:formatCode>
                <c:ptCount val="40"/>
                <c:pt idx="0">
                  <c:v>73.099999999999994</c:v>
                </c:pt>
                <c:pt idx="1">
                  <c:v>67.3</c:v>
                </c:pt>
                <c:pt idx="2">
                  <c:v>56.6</c:v>
                </c:pt>
                <c:pt idx="3">
                  <c:v>115.75</c:v>
                </c:pt>
                <c:pt idx="4">
                  <c:v>116.16666666666667</c:v>
                </c:pt>
                <c:pt idx="5">
                  <c:v>105.5</c:v>
                </c:pt>
                <c:pt idx="6">
                  <c:v>128.16666666666666</c:v>
                </c:pt>
                <c:pt idx="7">
                  <c:v>150.46666666666667</c:v>
                </c:pt>
                <c:pt idx="8">
                  <c:v>137.70000000000002</c:v>
                </c:pt>
                <c:pt idx="9">
                  <c:v>149.6</c:v>
                </c:pt>
                <c:pt idx="10">
                  <c:v>62.533333333333324</c:v>
                </c:pt>
                <c:pt idx="13">
                  <c:v>81.599999999999994</c:v>
                </c:pt>
                <c:pt idx="14">
                  <c:v>66.600000000000009</c:v>
                </c:pt>
                <c:pt idx="15">
                  <c:v>77.63333333333334</c:v>
                </c:pt>
                <c:pt idx="16">
                  <c:v>73.899999999999991</c:v>
                </c:pt>
                <c:pt idx="17">
                  <c:v>121.96666666666665</c:v>
                </c:pt>
                <c:pt idx="18">
                  <c:v>186.5</c:v>
                </c:pt>
                <c:pt idx="19">
                  <c:v>145.6</c:v>
                </c:pt>
                <c:pt idx="20">
                  <c:v>165.70000000000002</c:v>
                </c:pt>
                <c:pt idx="21">
                  <c:v>181.5</c:v>
                </c:pt>
                <c:pt idx="22">
                  <c:v>88</c:v>
                </c:pt>
                <c:pt idx="23">
                  <c:v>139.63333333333335</c:v>
                </c:pt>
                <c:pt idx="24">
                  <c:v>171.56000000000003</c:v>
                </c:pt>
                <c:pt idx="25">
                  <c:v>200</c:v>
                </c:pt>
                <c:pt idx="28">
                  <c:v>87.5</c:v>
                </c:pt>
                <c:pt idx="29">
                  <c:v>86.8</c:v>
                </c:pt>
                <c:pt idx="30">
                  <c:v>98.733333333333334</c:v>
                </c:pt>
                <c:pt idx="31">
                  <c:v>96.5</c:v>
                </c:pt>
                <c:pt idx="32">
                  <c:v>124.16666666666667</c:v>
                </c:pt>
                <c:pt idx="33">
                  <c:v>116.66666666666667</c:v>
                </c:pt>
                <c:pt idx="34">
                  <c:v>118.03333333333335</c:v>
                </c:pt>
                <c:pt idx="37">
                  <c:v>84.066666666666663</c:v>
                </c:pt>
                <c:pt idx="38">
                  <c:v>59.733333333333327</c:v>
                </c:pt>
                <c:pt idx="39">
                  <c:v>111.7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9-4D1F-A93D-0F6E0073333B}"/>
            </c:ext>
          </c:extLst>
        </c:ser>
        <c:ser>
          <c:idx val="1"/>
          <c:order val="1"/>
          <c:tx>
            <c:strRef>
              <c:f>'fig fysico-chemie'!$AH$3</c:f>
              <c:strCache>
                <c:ptCount val="1"/>
                <c:pt idx="0">
                  <c:v>SC-B</c:v>
                </c:pt>
              </c:strCache>
            </c:strRef>
          </c:tx>
          <c:spPr>
            <a:ln w="19050">
              <a:solidFill>
                <a:srgbClr val="00B050"/>
              </a:solidFill>
              <a:prstDash val="sysDot"/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fysico-chemie'!$AH$172:$AH$211</c:f>
              <c:numCache>
                <c:formatCode>0</c:formatCode>
                <c:ptCount val="40"/>
                <c:pt idx="0">
                  <c:v>70.599999999999994</c:v>
                </c:pt>
                <c:pt idx="1">
                  <c:v>55.650000000000006</c:v>
                </c:pt>
                <c:pt idx="2">
                  <c:v>56.75</c:v>
                </c:pt>
                <c:pt idx="3">
                  <c:v>124.25</c:v>
                </c:pt>
                <c:pt idx="4">
                  <c:v>100.36666666666667</c:v>
                </c:pt>
                <c:pt idx="5">
                  <c:v>103</c:v>
                </c:pt>
                <c:pt idx="6">
                  <c:v>127.89999999999999</c:v>
                </c:pt>
                <c:pt idx="7">
                  <c:v>143.4</c:v>
                </c:pt>
                <c:pt idx="8">
                  <c:v>128.03333333333333</c:v>
                </c:pt>
                <c:pt idx="9">
                  <c:v>115.13333333333333</c:v>
                </c:pt>
                <c:pt idx="10">
                  <c:v>46.5</c:v>
                </c:pt>
                <c:pt idx="13">
                  <c:v>81.2</c:v>
                </c:pt>
                <c:pt idx="14">
                  <c:v>66.566666666666677</c:v>
                </c:pt>
                <c:pt idx="15">
                  <c:v>75.333333333333329</c:v>
                </c:pt>
                <c:pt idx="16">
                  <c:v>74.466666666666654</c:v>
                </c:pt>
                <c:pt idx="17">
                  <c:v>115.96666666666665</c:v>
                </c:pt>
                <c:pt idx="18">
                  <c:v>187.26666666666665</c:v>
                </c:pt>
                <c:pt idx="19">
                  <c:v>155.4</c:v>
                </c:pt>
                <c:pt idx="20">
                  <c:v>150.16666666666666</c:v>
                </c:pt>
                <c:pt idx="21">
                  <c:v>67.100000000000009</c:v>
                </c:pt>
                <c:pt idx="22">
                  <c:v>47.133333333333333</c:v>
                </c:pt>
                <c:pt idx="23">
                  <c:v>121.5</c:v>
                </c:pt>
                <c:pt idx="24">
                  <c:v>102.80333333333333</c:v>
                </c:pt>
                <c:pt idx="25">
                  <c:v>200</c:v>
                </c:pt>
                <c:pt idx="28">
                  <c:v>84.333333333333329</c:v>
                </c:pt>
                <c:pt idx="29">
                  <c:v>86.3</c:v>
                </c:pt>
                <c:pt idx="30">
                  <c:v>100.10000000000001</c:v>
                </c:pt>
                <c:pt idx="31">
                  <c:v>95.533333333333346</c:v>
                </c:pt>
                <c:pt idx="32">
                  <c:v>96.666666666666671</c:v>
                </c:pt>
                <c:pt idx="33">
                  <c:v>115.60000000000001</c:v>
                </c:pt>
                <c:pt idx="34">
                  <c:v>111.60000000000001</c:v>
                </c:pt>
                <c:pt idx="37">
                  <c:v>43.333333333333336</c:v>
                </c:pt>
                <c:pt idx="38">
                  <c:v>13.199999999999998</c:v>
                </c:pt>
                <c:pt idx="39">
                  <c:v>113.36666666666667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79-4D1F-A93D-0F6E0073333B}"/>
            </c:ext>
          </c:extLst>
        </c:ser>
        <c:ser>
          <c:idx val="2"/>
          <c:order val="2"/>
          <c:tx>
            <c:strRef>
              <c:f>'fig fysico-chemie'!$AI$3</c:f>
              <c:strCache>
                <c:ptCount val="1"/>
                <c:pt idx="0">
                  <c:v>MI-O</c:v>
                </c:pt>
              </c:strCache>
            </c:strRef>
          </c:tx>
          <c:spPr>
            <a:ln w="19050">
              <a:solidFill>
                <a:srgbClr val="0066FF"/>
              </a:solidFill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fysico-chemie'!$AI$172:$AI$211</c:f>
              <c:numCache>
                <c:formatCode>0</c:formatCode>
                <c:ptCount val="40"/>
                <c:pt idx="0">
                  <c:v>89.699999999999989</c:v>
                </c:pt>
                <c:pt idx="1">
                  <c:v>68.199999999999989</c:v>
                </c:pt>
                <c:pt idx="2">
                  <c:v>56.65</c:v>
                </c:pt>
                <c:pt idx="3">
                  <c:v>112.75</c:v>
                </c:pt>
                <c:pt idx="4">
                  <c:v>108.53333333333335</c:v>
                </c:pt>
                <c:pt idx="5">
                  <c:v>99.666666666666671</c:v>
                </c:pt>
                <c:pt idx="6">
                  <c:v>108.60000000000001</c:v>
                </c:pt>
                <c:pt idx="7">
                  <c:v>170.9</c:v>
                </c:pt>
                <c:pt idx="8">
                  <c:v>138.03333333333333</c:v>
                </c:pt>
                <c:pt idx="9">
                  <c:v>118.7</c:v>
                </c:pt>
                <c:pt idx="10">
                  <c:v>69.066666666666663</c:v>
                </c:pt>
                <c:pt idx="13">
                  <c:v>81.550000000000011</c:v>
                </c:pt>
                <c:pt idx="14">
                  <c:v>65.666666666666671</c:v>
                </c:pt>
                <c:pt idx="15">
                  <c:v>82.333333333333329</c:v>
                </c:pt>
                <c:pt idx="16">
                  <c:v>72.733333333333334</c:v>
                </c:pt>
                <c:pt idx="17">
                  <c:v>119.53333333333335</c:v>
                </c:pt>
                <c:pt idx="18">
                  <c:v>175.76666666666665</c:v>
                </c:pt>
                <c:pt idx="19">
                  <c:v>148.69999999999999</c:v>
                </c:pt>
                <c:pt idx="20">
                  <c:v>153.1</c:v>
                </c:pt>
                <c:pt idx="21">
                  <c:v>195.73333333333335</c:v>
                </c:pt>
                <c:pt idx="22">
                  <c:v>74</c:v>
                </c:pt>
                <c:pt idx="23">
                  <c:v>145.6</c:v>
                </c:pt>
                <c:pt idx="24">
                  <c:v>167.56666666666669</c:v>
                </c:pt>
                <c:pt idx="25">
                  <c:v>200</c:v>
                </c:pt>
                <c:pt idx="28">
                  <c:v>88.166666666666671</c:v>
                </c:pt>
                <c:pt idx="29">
                  <c:v>85.966666666666654</c:v>
                </c:pt>
                <c:pt idx="30">
                  <c:v>98.866666666666674</c:v>
                </c:pt>
                <c:pt idx="31">
                  <c:v>102.53333333333335</c:v>
                </c:pt>
                <c:pt idx="32">
                  <c:v>122.13333333333333</c:v>
                </c:pt>
                <c:pt idx="33">
                  <c:v>117.06666666666666</c:v>
                </c:pt>
                <c:pt idx="34">
                  <c:v>129.1</c:v>
                </c:pt>
                <c:pt idx="37">
                  <c:v>68.066666666666663</c:v>
                </c:pt>
                <c:pt idx="38">
                  <c:v>72.233333333333334</c:v>
                </c:pt>
                <c:pt idx="3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79-4D1F-A93D-0F6E0073333B}"/>
            </c:ext>
          </c:extLst>
        </c:ser>
        <c:ser>
          <c:idx val="3"/>
          <c:order val="3"/>
          <c:tx>
            <c:strRef>
              <c:f>'fig fysico-chemie'!$AJ$3</c:f>
              <c:strCache>
                <c:ptCount val="1"/>
                <c:pt idx="0">
                  <c:v>MI-B</c:v>
                </c:pt>
              </c:strCache>
            </c:strRef>
          </c:tx>
          <c:spPr>
            <a:ln w="19050">
              <a:solidFill>
                <a:srgbClr val="0066FF"/>
              </a:solidFill>
              <a:prstDash val="sysDot"/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fysico-chemie'!$AJ$172:$AJ$211</c:f>
              <c:numCache>
                <c:formatCode>0</c:formatCode>
                <c:ptCount val="40"/>
                <c:pt idx="0">
                  <c:v>77.900000000000006</c:v>
                </c:pt>
                <c:pt idx="1">
                  <c:v>60.95</c:v>
                </c:pt>
                <c:pt idx="2">
                  <c:v>71.05</c:v>
                </c:pt>
                <c:pt idx="3">
                  <c:v>108.95</c:v>
                </c:pt>
                <c:pt idx="4">
                  <c:v>96.533333333333346</c:v>
                </c:pt>
                <c:pt idx="5">
                  <c:v>98.933333333333337</c:v>
                </c:pt>
                <c:pt idx="6">
                  <c:v>116.96666666666665</c:v>
                </c:pt>
                <c:pt idx="7">
                  <c:v>151.36666666666667</c:v>
                </c:pt>
                <c:pt idx="8">
                  <c:v>121.39999999999999</c:v>
                </c:pt>
                <c:pt idx="9">
                  <c:v>127.83333333333333</c:v>
                </c:pt>
                <c:pt idx="10">
                  <c:v>60.900000000000006</c:v>
                </c:pt>
                <c:pt idx="13">
                  <c:v>81.05</c:v>
                </c:pt>
                <c:pt idx="14">
                  <c:v>65.633333333333326</c:v>
                </c:pt>
                <c:pt idx="15">
                  <c:v>76.933333333333323</c:v>
                </c:pt>
                <c:pt idx="16">
                  <c:v>72.433333333333337</c:v>
                </c:pt>
                <c:pt idx="17">
                  <c:v>116.06666666666666</c:v>
                </c:pt>
                <c:pt idx="18">
                  <c:v>178.76666666666665</c:v>
                </c:pt>
                <c:pt idx="19">
                  <c:v>155.96666666666667</c:v>
                </c:pt>
                <c:pt idx="20">
                  <c:v>144.93333333333334</c:v>
                </c:pt>
                <c:pt idx="21">
                  <c:v>65.266666666666666</c:v>
                </c:pt>
                <c:pt idx="22">
                  <c:v>1.0333333333333334</c:v>
                </c:pt>
                <c:pt idx="23">
                  <c:v>130.63333333333335</c:v>
                </c:pt>
                <c:pt idx="24">
                  <c:v>99.86666666666666</c:v>
                </c:pt>
                <c:pt idx="25">
                  <c:v>200</c:v>
                </c:pt>
                <c:pt idx="28">
                  <c:v>86.366666666666674</c:v>
                </c:pt>
                <c:pt idx="29">
                  <c:v>85.600000000000009</c:v>
                </c:pt>
                <c:pt idx="30">
                  <c:v>99.766666666666666</c:v>
                </c:pt>
                <c:pt idx="31">
                  <c:v>101.43333333333334</c:v>
                </c:pt>
                <c:pt idx="32">
                  <c:v>109.76666666666665</c:v>
                </c:pt>
                <c:pt idx="33">
                  <c:v>117.10000000000001</c:v>
                </c:pt>
                <c:pt idx="34">
                  <c:v>121.33333333333333</c:v>
                </c:pt>
                <c:pt idx="37">
                  <c:v>39.199999999999996</c:v>
                </c:pt>
                <c:pt idx="38">
                  <c:v>12.566666666666668</c:v>
                </c:pt>
                <c:pt idx="3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79-4D1F-A93D-0F6E0073333B}"/>
            </c:ext>
          </c:extLst>
        </c:ser>
        <c:ser>
          <c:idx val="4"/>
          <c:order val="4"/>
          <c:tx>
            <c:strRef>
              <c:f>'fig fysico-chemie'!$AK$3</c:f>
              <c:strCache>
                <c:ptCount val="1"/>
                <c:pt idx="0">
                  <c:v>PS-O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fysico-chemie'!$AK$172:$AK$211</c:f>
              <c:numCache>
                <c:formatCode>0</c:formatCode>
                <c:ptCount val="40"/>
                <c:pt idx="0">
                  <c:v>95.85</c:v>
                </c:pt>
                <c:pt idx="1">
                  <c:v>79.050000000000011</c:v>
                </c:pt>
                <c:pt idx="2">
                  <c:v>60.95</c:v>
                </c:pt>
                <c:pt idx="3">
                  <c:v>121.95</c:v>
                </c:pt>
                <c:pt idx="4">
                  <c:v>114.16666666666667</c:v>
                </c:pt>
                <c:pt idx="5">
                  <c:v>105.13333333333333</c:v>
                </c:pt>
                <c:pt idx="6">
                  <c:v>115.53333333333335</c:v>
                </c:pt>
                <c:pt idx="7">
                  <c:v>120.26666666666665</c:v>
                </c:pt>
                <c:pt idx="8">
                  <c:v>116.26666666666665</c:v>
                </c:pt>
                <c:pt idx="9">
                  <c:v>120.3</c:v>
                </c:pt>
                <c:pt idx="10">
                  <c:v>94.13333333333334</c:v>
                </c:pt>
                <c:pt idx="13">
                  <c:v>82.4</c:v>
                </c:pt>
                <c:pt idx="14">
                  <c:v>62.833333333333336</c:v>
                </c:pt>
                <c:pt idx="15">
                  <c:v>76.333333333333329</c:v>
                </c:pt>
                <c:pt idx="16">
                  <c:v>87.8</c:v>
                </c:pt>
                <c:pt idx="17">
                  <c:v>123.23333333333333</c:v>
                </c:pt>
                <c:pt idx="18">
                  <c:v>163.93333333333334</c:v>
                </c:pt>
                <c:pt idx="19">
                  <c:v>153.29999999999998</c:v>
                </c:pt>
                <c:pt idx="20">
                  <c:v>136.5</c:v>
                </c:pt>
                <c:pt idx="21">
                  <c:v>163.70000000000002</c:v>
                </c:pt>
                <c:pt idx="22">
                  <c:v>68.466666666666669</c:v>
                </c:pt>
                <c:pt idx="23">
                  <c:v>129.19999999999999</c:v>
                </c:pt>
                <c:pt idx="24">
                  <c:v>110.39999999999999</c:v>
                </c:pt>
                <c:pt idx="25">
                  <c:v>157.6</c:v>
                </c:pt>
                <c:pt idx="28">
                  <c:v>87.566666666666677</c:v>
                </c:pt>
                <c:pt idx="29">
                  <c:v>86.366666666666674</c:v>
                </c:pt>
                <c:pt idx="30">
                  <c:v>99</c:v>
                </c:pt>
                <c:pt idx="31">
                  <c:v>102.83333333333333</c:v>
                </c:pt>
                <c:pt idx="32">
                  <c:v>117.06666666666666</c:v>
                </c:pt>
                <c:pt idx="33">
                  <c:v>117.10000000000001</c:v>
                </c:pt>
                <c:pt idx="34">
                  <c:v>126.26666666666665</c:v>
                </c:pt>
                <c:pt idx="37">
                  <c:v>59.099999999999994</c:v>
                </c:pt>
                <c:pt idx="38">
                  <c:v>48.766666666666673</c:v>
                </c:pt>
                <c:pt idx="39">
                  <c:v>123.36666666666666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79-4D1F-A93D-0F6E0073333B}"/>
            </c:ext>
          </c:extLst>
        </c:ser>
        <c:ser>
          <c:idx val="5"/>
          <c:order val="5"/>
          <c:tx>
            <c:strRef>
              <c:f>'fig fysico-chemie'!$AL$3</c:f>
              <c:strCache>
                <c:ptCount val="1"/>
                <c:pt idx="0">
                  <c:v>PS-B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fysico-chemie'!$AL$172:$AL$211</c:f>
              <c:numCache>
                <c:formatCode>0</c:formatCode>
                <c:ptCount val="40"/>
                <c:pt idx="0">
                  <c:v>90.5</c:v>
                </c:pt>
                <c:pt idx="1">
                  <c:v>71.25</c:v>
                </c:pt>
                <c:pt idx="2">
                  <c:v>56.7</c:v>
                </c:pt>
                <c:pt idx="3">
                  <c:v>114.4</c:v>
                </c:pt>
                <c:pt idx="4">
                  <c:v>91.366666666666674</c:v>
                </c:pt>
                <c:pt idx="5">
                  <c:v>94.333333333333329</c:v>
                </c:pt>
                <c:pt idx="6">
                  <c:v>117.46666666666665</c:v>
                </c:pt>
                <c:pt idx="7">
                  <c:v>156.16666666666666</c:v>
                </c:pt>
                <c:pt idx="8">
                  <c:v>109.33333333333333</c:v>
                </c:pt>
                <c:pt idx="9">
                  <c:v>72.166666666666671</c:v>
                </c:pt>
                <c:pt idx="10">
                  <c:v>73.7</c:v>
                </c:pt>
                <c:pt idx="13">
                  <c:v>81.05</c:v>
                </c:pt>
                <c:pt idx="14">
                  <c:v>62.699999999999996</c:v>
                </c:pt>
                <c:pt idx="15">
                  <c:v>74.433333333333337</c:v>
                </c:pt>
                <c:pt idx="16">
                  <c:v>83</c:v>
                </c:pt>
                <c:pt idx="17">
                  <c:v>124.13333333333333</c:v>
                </c:pt>
                <c:pt idx="18">
                  <c:v>200</c:v>
                </c:pt>
                <c:pt idx="19">
                  <c:v>155.33333333333334</c:v>
                </c:pt>
                <c:pt idx="20">
                  <c:v>127.13333333333333</c:v>
                </c:pt>
                <c:pt idx="21">
                  <c:v>31.066666666666666</c:v>
                </c:pt>
                <c:pt idx="22">
                  <c:v>4.2333333333333334</c:v>
                </c:pt>
                <c:pt idx="23">
                  <c:v>21.866666666666664</c:v>
                </c:pt>
                <c:pt idx="24">
                  <c:v>3.2333333333333338</c:v>
                </c:pt>
                <c:pt idx="25">
                  <c:v>118.56666666666668</c:v>
                </c:pt>
                <c:pt idx="28">
                  <c:v>86.100000000000009</c:v>
                </c:pt>
                <c:pt idx="29">
                  <c:v>84.666666666666671</c:v>
                </c:pt>
                <c:pt idx="30">
                  <c:v>101.06666666666666</c:v>
                </c:pt>
                <c:pt idx="31">
                  <c:v>102.7</c:v>
                </c:pt>
                <c:pt idx="32">
                  <c:v>110.5</c:v>
                </c:pt>
                <c:pt idx="33">
                  <c:v>116.89999999999999</c:v>
                </c:pt>
                <c:pt idx="34">
                  <c:v>126.46666666666665</c:v>
                </c:pt>
                <c:pt idx="37">
                  <c:v>42.933333333333337</c:v>
                </c:pt>
                <c:pt idx="38">
                  <c:v>44.199999999999996</c:v>
                </c:pt>
                <c:pt idx="39">
                  <c:v>86.966666666666654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79-4D1F-A93D-0F6E0073333B}"/>
            </c:ext>
          </c:extLst>
        </c:ser>
        <c:ser>
          <c:idx val="6"/>
          <c:order val="6"/>
          <c:tx>
            <c:strRef>
              <c:f>'fig fysico-chemie'!$AM$3</c:f>
              <c:strCache>
                <c:ptCount val="1"/>
                <c:pt idx="0">
                  <c:v>PO-O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fysico-chemie'!$AM$172:$AM$211</c:f>
              <c:numCache>
                <c:formatCode>0</c:formatCode>
                <c:ptCount val="40"/>
                <c:pt idx="1">
                  <c:v>87.4</c:v>
                </c:pt>
                <c:pt idx="2">
                  <c:v>54</c:v>
                </c:pt>
                <c:pt idx="3">
                  <c:v>112.5</c:v>
                </c:pt>
                <c:pt idx="4">
                  <c:v>105.4</c:v>
                </c:pt>
                <c:pt idx="5">
                  <c:v>103.2</c:v>
                </c:pt>
                <c:pt idx="6">
                  <c:v>114.3</c:v>
                </c:pt>
                <c:pt idx="7">
                  <c:v>124.3</c:v>
                </c:pt>
                <c:pt idx="8">
                  <c:v>122.6</c:v>
                </c:pt>
                <c:pt idx="9">
                  <c:v>109.6</c:v>
                </c:pt>
                <c:pt idx="10">
                  <c:v>70.2</c:v>
                </c:pt>
                <c:pt idx="13">
                  <c:v>87</c:v>
                </c:pt>
                <c:pt idx="14">
                  <c:v>76.099999999999994</c:v>
                </c:pt>
                <c:pt idx="15">
                  <c:v>84.8</c:v>
                </c:pt>
                <c:pt idx="16">
                  <c:v>91.3</c:v>
                </c:pt>
                <c:pt idx="17">
                  <c:v>135</c:v>
                </c:pt>
                <c:pt idx="18">
                  <c:v>200</c:v>
                </c:pt>
                <c:pt idx="19">
                  <c:v>163.5</c:v>
                </c:pt>
                <c:pt idx="20">
                  <c:v>148.9</c:v>
                </c:pt>
                <c:pt idx="21">
                  <c:v>126.9</c:v>
                </c:pt>
                <c:pt idx="22">
                  <c:v>129.6</c:v>
                </c:pt>
                <c:pt idx="23">
                  <c:v>153.6</c:v>
                </c:pt>
                <c:pt idx="24">
                  <c:v>63.5</c:v>
                </c:pt>
                <c:pt idx="25">
                  <c:v>62</c:v>
                </c:pt>
                <c:pt idx="30">
                  <c:v>120.3</c:v>
                </c:pt>
                <c:pt idx="31">
                  <c:v>99.8</c:v>
                </c:pt>
                <c:pt idx="32">
                  <c:v>110.8</c:v>
                </c:pt>
                <c:pt idx="33">
                  <c:v>127.8</c:v>
                </c:pt>
                <c:pt idx="34">
                  <c:v>163</c:v>
                </c:pt>
                <c:pt idx="38">
                  <c:v>112.9</c:v>
                </c:pt>
                <c:pt idx="39">
                  <c:v>139.5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79-4D1F-A93D-0F6E00733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30112"/>
        <c:axId val="143931648"/>
      </c:lineChart>
      <c:catAx>
        <c:axId val="143930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3931648"/>
        <c:crosses val="autoZero"/>
        <c:auto val="0"/>
        <c:lblAlgn val="ctr"/>
        <c:lblOffset val="100"/>
        <c:noMultiLvlLbl val="0"/>
      </c:catAx>
      <c:valAx>
        <c:axId val="143931648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</a:t>
                </a:r>
                <a:r>
                  <a:rPr lang="en-US" sz="1400" baseline="-25000"/>
                  <a:t>2  </a:t>
                </a:r>
                <a:r>
                  <a:rPr lang="en-US" sz="1400"/>
                  <a:t>(%)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3639901342384684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3930112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3430824493957836"/>
          <c:y val="0.50698842270636713"/>
          <c:w val="0.17204199475065618"/>
          <c:h val="0.3140751265797222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8186754190491"/>
          <c:y val="2.5401086675460625E-2"/>
          <c:w val="0.86662970692035213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fysico-chemie'!$AG$3</c:f>
              <c:strCache>
                <c:ptCount val="1"/>
                <c:pt idx="0">
                  <c:v>SC-O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fysico-chemie'!$AG$237:$AG$276</c:f>
              <c:numCache>
                <c:formatCode>0.00</c:formatCode>
                <c:ptCount val="40"/>
                <c:pt idx="0">
                  <c:v>8.3000000000000007</c:v>
                </c:pt>
                <c:pt idx="1">
                  <c:v>8.23</c:v>
                </c:pt>
                <c:pt idx="2">
                  <c:v>8.625</c:v>
                </c:pt>
                <c:pt idx="3">
                  <c:v>8.35</c:v>
                </c:pt>
                <c:pt idx="4">
                  <c:v>8.33</c:v>
                </c:pt>
                <c:pt idx="5">
                  <c:v>8.4066666666666663</c:v>
                </c:pt>
                <c:pt idx="6">
                  <c:v>8.4700000000000006</c:v>
                </c:pt>
                <c:pt idx="7">
                  <c:v>8.4966666666666661</c:v>
                </c:pt>
                <c:pt idx="8">
                  <c:v>8.5633333333333344</c:v>
                </c:pt>
                <c:pt idx="9">
                  <c:v>8.7433333333333323</c:v>
                </c:pt>
                <c:pt idx="10">
                  <c:v>7.6933333333333325</c:v>
                </c:pt>
                <c:pt idx="13">
                  <c:v>8.09</c:v>
                </c:pt>
                <c:pt idx="14">
                  <c:v>7.8500000000000005</c:v>
                </c:pt>
                <c:pt idx="15">
                  <c:v>7.919999999999999</c:v>
                </c:pt>
                <c:pt idx="16">
                  <c:v>8.1499999999999986</c:v>
                </c:pt>
                <c:pt idx="17">
                  <c:v>8.3233333333333324</c:v>
                </c:pt>
                <c:pt idx="18">
                  <c:v>8.5933333333333319</c:v>
                </c:pt>
                <c:pt idx="19">
                  <c:v>8.6666666666666661</c:v>
                </c:pt>
                <c:pt idx="20">
                  <c:v>8.7933333333333348</c:v>
                </c:pt>
                <c:pt idx="21">
                  <c:v>8.8066666666666666</c:v>
                </c:pt>
                <c:pt idx="22">
                  <c:v>8.49</c:v>
                </c:pt>
                <c:pt idx="23">
                  <c:v>8.5666666666666682</c:v>
                </c:pt>
                <c:pt idx="24">
                  <c:v>9.0400000000000009</c:v>
                </c:pt>
                <c:pt idx="25">
                  <c:v>8.9466666666666672</c:v>
                </c:pt>
                <c:pt idx="28">
                  <c:v>7.8</c:v>
                </c:pt>
                <c:pt idx="29">
                  <c:v>8.0513333333333321</c:v>
                </c:pt>
                <c:pt idx="30">
                  <c:v>8.0619999999999994</c:v>
                </c:pt>
                <c:pt idx="31">
                  <c:v>8.1</c:v>
                </c:pt>
                <c:pt idx="32">
                  <c:v>8.1996666666666673</c:v>
                </c:pt>
                <c:pt idx="33">
                  <c:v>8.1333333333333346</c:v>
                </c:pt>
                <c:pt idx="34">
                  <c:v>8.2326666666666668</c:v>
                </c:pt>
                <c:pt idx="35">
                  <c:v>8.0513333333333339</c:v>
                </c:pt>
                <c:pt idx="36">
                  <c:v>8.2296666666666667</c:v>
                </c:pt>
                <c:pt idx="37">
                  <c:v>7.9710000000000001</c:v>
                </c:pt>
                <c:pt idx="38">
                  <c:v>7.9633333333333338</c:v>
                </c:pt>
                <c:pt idx="39">
                  <c:v>8.3996666666666666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A-4AA7-BDD8-3A206097C0C6}"/>
            </c:ext>
          </c:extLst>
        </c:ser>
        <c:ser>
          <c:idx val="1"/>
          <c:order val="1"/>
          <c:tx>
            <c:strRef>
              <c:f>'fig fysico-chemie'!$AH$3</c:f>
              <c:strCache>
                <c:ptCount val="1"/>
                <c:pt idx="0">
                  <c:v>SC-B</c:v>
                </c:pt>
              </c:strCache>
            </c:strRef>
          </c:tx>
          <c:spPr>
            <a:ln w="19050">
              <a:solidFill>
                <a:srgbClr val="00B050"/>
              </a:solidFill>
              <a:prstDash val="sysDot"/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fysico-chemie'!$AH$237:$AH$276</c:f>
              <c:numCache>
                <c:formatCode>0.00</c:formatCode>
                <c:ptCount val="40"/>
                <c:pt idx="0">
                  <c:v>8.34</c:v>
                </c:pt>
                <c:pt idx="1">
                  <c:v>8.1999999999999993</c:v>
                </c:pt>
                <c:pt idx="2">
                  <c:v>8.2800000000000011</c:v>
                </c:pt>
                <c:pt idx="3">
                  <c:v>8.17</c:v>
                </c:pt>
                <c:pt idx="4">
                  <c:v>8.0933333333333319</c:v>
                </c:pt>
                <c:pt idx="5">
                  <c:v>8.0533333333333328</c:v>
                </c:pt>
                <c:pt idx="6">
                  <c:v>8.06</c:v>
                </c:pt>
                <c:pt idx="7">
                  <c:v>8.1466666666666665</c:v>
                </c:pt>
                <c:pt idx="8">
                  <c:v>8.129999999999999</c:v>
                </c:pt>
                <c:pt idx="9">
                  <c:v>8.2333333333333325</c:v>
                </c:pt>
                <c:pt idx="10">
                  <c:v>7.6233333333333322</c:v>
                </c:pt>
                <c:pt idx="13">
                  <c:v>8.09</c:v>
                </c:pt>
                <c:pt idx="14">
                  <c:v>7.8233333333333333</c:v>
                </c:pt>
                <c:pt idx="15">
                  <c:v>7.913333333333334</c:v>
                </c:pt>
                <c:pt idx="16">
                  <c:v>8.0466666666666669</c:v>
                </c:pt>
                <c:pt idx="17">
                  <c:v>8.17</c:v>
                </c:pt>
                <c:pt idx="18">
                  <c:v>8.6</c:v>
                </c:pt>
                <c:pt idx="19">
                  <c:v>8.5</c:v>
                </c:pt>
                <c:pt idx="20">
                  <c:v>8.5733333333333324</c:v>
                </c:pt>
                <c:pt idx="21">
                  <c:v>8.3866666666666667</c:v>
                </c:pt>
                <c:pt idx="22">
                  <c:v>8.0766666666666662</c:v>
                </c:pt>
                <c:pt idx="23">
                  <c:v>8.4833333333333325</c:v>
                </c:pt>
                <c:pt idx="24">
                  <c:v>8.5200000000000014</c:v>
                </c:pt>
                <c:pt idx="25">
                  <c:v>8.8633333333333351</c:v>
                </c:pt>
                <c:pt idx="28">
                  <c:v>7.8</c:v>
                </c:pt>
                <c:pt idx="29">
                  <c:v>8.0226666666666677</c:v>
                </c:pt>
                <c:pt idx="30">
                  <c:v>8.104000000000001</c:v>
                </c:pt>
                <c:pt idx="31">
                  <c:v>8.1</c:v>
                </c:pt>
                <c:pt idx="32">
                  <c:v>8.1156666666666677</c:v>
                </c:pt>
                <c:pt idx="33">
                  <c:v>8.1300000000000008</c:v>
                </c:pt>
                <c:pt idx="34">
                  <c:v>8.336999999999998</c:v>
                </c:pt>
                <c:pt idx="35">
                  <c:v>8.052999999999999</c:v>
                </c:pt>
                <c:pt idx="36">
                  <c:v>8.0656666666666652</c:v>
                </c:pt>
                <c:pt idx="37">
                  <c:v>7.9306666666666672</c:v>
                </c:pt>
                <c:pt idx="38">
                  <c:v>7.6866666666666674</c:v>
                </c:pt>
                <c:pt idx="39">
                  <c:v>8.190666666666667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A-4AA7-BDD8-3A206097C0C6}"/>
            </c:ext>
          </c:extLst>
        </c:ser>
        <c:ser>
          <c:idx val="2"/>
          <c:order val="2"/>
          <c:tx>
            <c:strRef>
              <c:f>'fig fysico-chemie'!$AI$3</c:f>
              <c:strCache>
                <c:ptCount val="1"/>
                <c:pt idx="0">
                  <c:v>MI-O</c:v>
                </c:pt>
              </c:strCache>
            </c:strRef>
          </c:tx>
          <c:spPr>
            <a:ln w="19050">
              <a:solidFill>
                <a:srgbClr val="0066FF"/>
              </a:solidFill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fysico-chemie'!$AI$237:$AI$276</c:f>
              <c:numCache>
                <c:formatCode>0.00</c:formatCode>
                <c:ptCount val="40"/>
                <c:pt idx="0">
                  <c:v>8.1849999999999987</c:v>
                </c:pt>
                <c:pt idx="1">
                  <c:v>8.1850000000000005</c:v>
                </c:pt>
                <c:pt idx="2">
                  <c:v>8.5850000000000009</c:v>
                </c:pt>
                <c:pt idx="3">
                  <c:v>8.3000000000000007</c:v>
                </c:pt>
                <c:pt idx="4">
                  <c:v>8.31</c:v>
                </c:pt>
                <c:pt idx="5">
                  <c:v>8.4166666666666661</c:v>
                </c:pt>
                <c:pt idx="6">
                  <c:v>8.42</c:v>
                </c:pt>
                <c:pt idx="7">
                  <c:v>8.6766666666666659</c:v>
                </c:pt>
                <c:pt idx="8">
                  <c:v>8.7700000000000014</c:v>
                </c:pt>
                <c:pt idx="9">
                  <c:v>8.6266666666666669</c:v>
                </c:pt>
                <c:pt idx="10">
                  <c:v>8.06</c:v>
                </c:pt>
                <c:pt idx="13">
                  <c:v>8.0850000000000009</c:v>
                </c:pt>
                <c:pt idx="14">
                  <c:v>7.8633333333333333</c:v>
                </c:pt>
                <c:pt idx="15">
                  <c:v>7.93</c:v>
                </c:pt>
                <c:pt idx="16">
                  <c:v>8.2333333333333343</c:v>
                </c:pt>
                <c:pt idx="17">
                  <c:v>8.24</c:v>
                </c:pt>
                <c:pt idx="18">
                  <c:v>8.5833333333333339</c:v>
                </c:pt>
                <c:pt idx="19">
                  <c:v>8.6066666666666674</c:v>
                </c:pt>
                <c:pt idx="20">
                  <c:v>8.6966666666666672</c:v>
                </c:pt>
                <c:pt idx="21">
                  <c:v>9.1333333333333329</c:v>
                </c:pt>
                <c:pt idx="22">
                  <c:v>8.4266666666666659</c:v>
                </c:pt>
                <c:pt idx="23">
                  <c:v>8.4333333333333318</c:v>
                </c:pt>
                <c:pt idx="24">
                  <c:v>9.0199999999999978</c:v>
                </c:pt>
                <c:pt idx="25">
                  <c:v>8.9233333333333338</c:v>
                </c:pt>
                <c:pt idx="28">
                  <c:v>7.8</c:v>
                </c:pt>
                <c:pt idx="29">
                  <c:v>8.0526666666666671</c:v>
                </c:pt>
                <c:pt idx="30">
                  <c:v>8.0690000000000008</c:v>
                </c:pt>
                <c:pt idx="31">
                  <c:v>8.1</c:v>
                </c:pt>
                <c:pt idx="32">
                  <c:v>8.3133333333333326</c:v>
                </c:pt>
                <c:pt idx="33">
                  <c:v>8.1379999999999999</c:v>
                </c:pt>
                <c:pt idx="34">
                  <c:v>8.2383333333333333</c:v>
                </c:pt>
                <c:pt idx="35">
                  <c:v>8.0353333333333339</c:v>
                </c:pt>
                <c:pt idx="36">
                  <c:v>8.2056666666666658</c:v>
                </c:pt>
                <c:pt idx="37">
                  <c:v>8.0283333333333324</c:v>
                </c:pt>
                <c:pt idx="38">
                  <c:v>7.976</c:v>
                </c:pt>
                <c:pt idx="39">
                  <c:v>8.4223333333333326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A-4AA7-BDD8-3A206097C0C6}"/>
            </c:ext>
          </c:extLst>
        </c:ser>
        <c:ser>
          <c:idx val="3"/>
          <c:order val="3"/>
          <c:tx>
            <c:strRef>
              <c:f>'fig fysico-chemie'!$AJ$3</c:f>
              <c:strCache>
                <c:ptCount val="1"/>
                <c:pt idx="0">
                  <c:v>MI-B</c:v>
                </c:pt>
              </c:strCache>
            </c:strRef>
          </c:tx>
          <c:spPr>
            <a:ln w="19050">
              <a:solidFill>
                <a:srgbClr val="0066FF"/>
              </a:solidFill>
              <a:prstDash val="sysDot"/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fysico-chemie'!$AJ$237:$AJ$276</c:f>
              <c:numCache>
                <c:formatCode>0.00</c:formatCode>
                <c:ptCount val="40"/>
                <c:pt idx="0">
                  <c:v>8.1850000000000005</c:v>
                </c:pt>
                <c:pt idx="1">
                  <c:v>8.1999999999999993</c:v>
                </c:pt>
                <c:pt idx="2">
                  <c:v>8.2650000000000006</c:v>
                </c:pt>
                <c:pt idx="3">
                  <c:v>8.0749999999999993</c:v>
                </c:pt>
                <c:pt idx="4">
                  <c:v>8.0299999999999994</c:v>
                </c:pt>
                <c:pt idx="5">
                  <c:v>7.9833333333333343</c:v>
                </c:pt>
                <c:pt idx="6">
                  <c:v>8.0900000000000016</c:v>
                </c:pt>
                <c:pt idx="7">
                  <c:v>8.2033333333333331</c:v>
                </c:pt>
                <c:pt idx="8">
                  <c:v>8.2099999999999991</c:v>
                </c:pt>
                <c:pt idx="9">
                  <c:v>8.1066666666666674</c:v>
                </c:pt>
                <c:pt idx="10">
                  <c:v>7.9233333333333329</c:v>
                </c:pt>
                <c:pt idx="13">
                  <c:v>8.09</c:v>
                </c:pt>
                <c:pt idx="14">
                  <c:v>7.8633333333333333</c:v>
                </c:pt>
                <c:pt idx="15">
                  <c:v>7.913333333333334</c:v>
                </c:pt>
                <c:pt idx="16">
                  <c:v>8.0166666666666657</c:v>
                </c:pt>
                <c:pt idx="17">
                  <c:v>8.19</c:v>
                </c:pt>
                <c:pt idx="18">
                  <c:v>8.57</c:v>
                </c:pt>
                <c:pt idx="19">
                  <c:v>8.4500000000000011</c:v>
                </c:pt>
                <c:pt idx="20">
                  <c:v>8.6133333333333351</c:v>
                </c:pt>
                <c:pt idx="21">
                  <c:v>8.2700000000000014</c:v>
                </c:pt>
                <c:pt idx="22">
                  <c:v>8.0466666666666669</c:v>
                </c:pt>
                <c:pt idx="23">
                  <c:v>8.5</c:v>
                </c:pt>
                <c:pt idx="24">
                  <c:v>8.4433333333333334</c:v>
                </c:pt>
                <c:pt idx="25">
                  <c:v>8.4666666666666668</c:v>
                </c:pt>
                <c:pt idx="28">
                  <c:v>7.8</c:v>
                </c:pt>
                <c:pt idx="29">
                  <c:v>8.0306666666666668</c:v>
                </c:pt>
                <c:pt idx="30">
                  <c:v>8.1006666666666671</c:v>
                </c:pt>
                <c:pt idx="31">
                  <c:v>8.1</c:v>
                </c:pt>
                <c:pt idx="32">
                  <c:v>8.1176666666666666</c:v>
                </c:pt>
                <c:pt idx="33">
                  <c:v>8.1316666666666677</c:v>
                </c:pt>
                <c:pt idx="34">
                  <c:v>8.2913333333333323</c:v>
                </c:pt>
                <c:pt idx="35">
                  <c:v>8.038666666666666</c:v>
                </c:pt>
                <c:pt idx="36">
                  <c:v>8.0576666666666661</c:v>
                </c:pt>
                <c:pt idx="37">
                  <c:v>7.9173333333333327</c:v>
                </c:pt>
                <c:pt idx="38">
                  <c:v>7.6466666666666674</c:v>
                </c:pt>
                <c:pt idx="39">
                  <c:v>8.2413333333333352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7A-4AA7-BDD8-3A206097C0C6}"/>
            </c:ext>
          </c:extLst>
        </c:ser>
        <c:ser>
          <c:idx val="4"/>
          <c:order val="4"/>
          <c:tx>
            <c:strRef>
              <c:f>'fig fysico-chemie'!$AK$3</c:f>
              <c:strCache>
                <c:ptCount val="1"/>
                <c:pt idx="0">
                  <c:v>PS-O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fysico-chemie'!$AK$237:$AK$276</c:f>
              <c:numCache>
                <c:formatCode>0.00</c:formatCode>
                <c:ptCount val="40"/>
                <c:pt idx="0">
                  <c:v>7.8599999999999994</c:v>
                </c:pt>
                <c:pt idx="1">
                  <c:v>8.2349999999999994</c:v>
                </c:pt>
                <c:pt idx="2">
                  <c:v>8.4550000000000001</c:v>
                </c:pt>
                <c:pt idx="3">
                  <c:v>8.23</c:v>
                </c:pt>
                <c:pt idx="4">
                  <c:v>8.2733333333333334</c:v>
                </c:pt>
                <c:pt idx="5">
                  <c:v>8.4733333333333327</c:v>
                </c:pt>
                <c:pt idx="6">
                  <c:v>8.3166666666666682</c:v>
                </c:pt>
                <c:pt idx="7">
                  <c:v>8.81</c:v>
                </c:pt>
                <c:pt idx="8">
                  <c:v>8.7533333333333321</c:v>
                </c:pt>
                <c:pt idx="9">
                  <c:v>8.3533333333333335</c:v>
                </c:pt>
                <c:pt idx="10">
                  <c:v>8.2833333333333332</c:v>
                </c:pt>
                <c:pt idx="13">
                  <c:v>8.07</c:v>
                </c:pt>
                <c:pt idx="14">
                  <c:v>7.8433333333333337</c:v>
                </c:pt>
                <c:pt idx="15">
                  <c:v>7.913333333333334</c:v>
                </c:pt>
                <c:pt idx="16">
                  <c:v>8.413333333333334</c:v>
                </c:pt>
                <c:pt idx="17">
                  <c:v>8.2366666666666664</c:v>
                </c:pt>
                <c:pt idx="18">
                  <c:v>8.5366666666666671</c:v>
                </c:pt>
                <c:pt idx="19">
                  <c:v>8.5466666666666669</c:v>
                </c:pt>
                <c:pt idx="20">
                  <c:v>8.64</c:v>
                </c:pt>
                <c:pt idx="21">
                  <c:v>9.02</c:v>
                </c:pt>
                <c:pt idx="22">
                  <c:v>8.4633333333333329</c:v>
                </c:pt>
                <c:pt idx="23">
                  <c:v>8.44</c:v>
                </c:pt>
                <c:pt idx="24">
                  <c:v>8.7099999999999991</c:v>
                </c:pt>
                <c:pt idx="25">
                  <c:v>8.5</c:v>
                </c:pt>
                <c:pt idx="28">
                  <c:v>7.8</c:v>
                </c:pt>
                <c:pt idx="29">
                  <c:v>8.0646666666666675</c:v>
                </c:pt>
                <c:pt idx="30">
                  <c:v>8.0646666666666658</c:v>
                </c:pt>
                <c:pt idx="31">
                  <c:v>8.1</c:v>
                </c:pt>
                <c:pt idx="32">
                  <c:v>8.3659999999999997</c:v>
                </c:pt>
                <c:pt idx="33">
                  <c:v>8.1146666666666665</c:v>
                </c:pt>
                <c:pt idx="34">
                  <c:v>8.1766666666666676</c:v>
                </c:pt>
                <c:pt idx="35">
                  <c:v>8.0229999999999997</c:v>
                </c:pt>
                <c:pt idx="36">
                  <c:v>8.0839999999999996</c:v>
                </c:pt>
                <c:pt idx="37">
                  <c:v>8.1519999999999992</c:v>
                </c:pt>
                <c:pt idx="38">
                  <c:v>7.9579999999999993</c:v>
                </c:pt>
                <c:pt idx="39">
                  <c:v>8.3556666666666661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7A-4AA7-BDD8-3A206097C0C6}"/>
            </c:ext>
          </c:extLst>
        </c:ser>
        <c:ser>
          <c:idx val="5"/>
          <c:order val="5"/>
          <c:tx>
            <c:strRef>
              <c:f>'fig fysico-chemie'!$AL$3</c:f>
              <c:strCache>
                <c:ptCount val="1"/>
                <c:pt idx="0">
                  <c:v>PS-B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fysico-chemie'!$AL$237:$AL$276</c:f>
              <c:numCache>
                <c:formatCode>0.00</c:formatCode>
                <c:ptCount val="40"/>
                <c:pt idx="0">
                  <c:v>7.9499999999999993</c:v>
                </c:pt>
                <c:pt idx="1">
                  <c:v>8.2100000000000009</c:v>
                </c:pt>
                <c:pt idx="2">
                  <c:v>8.2750000000000004</c:v>
                </c:pt>
                <c:pt idx="3">
                  <c:v>8.2650000000000006</c:v>
                </c:pt>
                <c:pt idx="4">
                  <c:v>8.086666666666666</c:v>
                </c:pt>
                <c:pt idx="5">
                  <c:v>8.1300000000000008</c:v>
                </c:pt>
                <c:pt idx="6">
                  <c:v>8.0533333333333328</c:v>
                </c:pt>
                <c:pt idx="7">
                  <c:v>8.2233333333333345</c:v>
                </c:pt>
                <c:pt idx="8">
                  <c:v>8.2899999999999991</c:v>
                </c:pt>
                <c:pt idx="9">
                  <c:v>8.0533333333333328</c:v>
                </c:pt>
                <c:pt idx="10">
                  <c:v>8.0366666666666671</c:v>
                </c:pt>
                <c:pt idx="13">
                  <c:v>8.0850000000000009</c:v>
                </c:pt>
                <c:pt idx="14">
                  <c:v>7.84</c:v>
                </c:pt>
                <c:pt idx="15">
                  <c:v>7.91</c:v>
                </c:pt>
                <c:pt idx="16">
                  <c:v>8.163333333333334</c:v>
                </c:pt>
                <c:pt idx="17">
                  <c:v>8.26</c:v>
                </c:pt>
                <c:pt idx="18">
                  <c:v>8.6233333333333331</c:v>
                </c:pt>
                <c:pt idx="19">
                  <c:v>8.4466666666666654</c:v>
                </c:pt>
                <c:pt idx="20">
                  <c:v>8.5366666666666671</c:v>
                </c:pt>
                <c:pt idx="21">
                  <c:v>8.2333333333333343</c:v>
                </c:pt>
                <c:pt idx="22">
                  <c:v>8.08</c:v>
                </c:pt>
                <c:pt idx="23">
                  <c:v>8.1666666666666661</c:v>
                </c:pt>
                <c:pt idx="24">
                  <c:v>8.1033333333333335</c:v>
                </c:pt>
                <c:pt idx="25">
                  <c:v>8.3233333333333324</c:v>
                </c:pt>
                <c:pt idx="28">
                  <c:v>7.8</c:v>
                </c:pt>
                <c:pt idx="29">
                  <c:v>8.0523333333333333</c:v>
                </c:pt>
                <c:pt idx="30">
                  <c:v>8.1046666666666667</c:v>
                </c:pt>
                <c:pt idx="31">
                  <c:v>8.1</c:v>
                </c:pt>
                <c:pt idx="32">
                  <c:v>8.0116666666666649</c:v>
                </c:pt>
                <c:pt idx="33">
                  <c:v>8.1049999999999986</c:v>
                </c:pt>
                <c:pt idx="34">
                  <c:v>8.2273333333333341</c:v>
                </c:pt>
                <c:pt idx="35">
                  <c:v>8.0216666666666665</c:v>
                </c:pt>
                <c:pt idx="36">
                  <c:v>7.9783333333333326</c:v>
                </c:pt>
                <c:pt idx="37">
                  <c:v>7.9319999999999995</c:v>
                </c:pt>
                <c:pt idx="38">
                  <c:v>7.6679999999999993</c:v>
                </c:pt>
                <c:pt idx="39">
                  <c:v>8.3810000000000002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7A-4AA7-BDD8-3A206097C0C6}"/>
            </c:ext>
          </c:extLst>
        </c:ser>
        <c:ser>
          <c:idx val="6"/>
          <c:order val="6"/>
          <c:tx>
            <c:strRef>
              <c:f>'fig fysico-chemie'!$AM$3</c:f>
              <c:strCache>
                <c:ptCount val="1"/>
                <c:pt idx="0">
                  <c:v>PO-O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fysico-chemie'!$AM$237:$AM$276</c:f>
              <c:numCache>
                <c:formatCode>General</c:formatCode>
                <c:ptCount val="40"/>
                <c:pt idx="1">
                  <c:v>8.15</c:v>
                </c:pt>
                <c:pt idx="2">
                  <c:v>8.23</c:v>
                </c:pt>
                <c:pt idx="3">
                  <c:v>8.2100000000000009</c:v>
                </c:pt>
                <c:pt idx="4">
                  <c:v>8.36</c:v>
                </c:pt>
                <c:pt idx="5">
                  <c:v>8.3699999999999992</c:v>
                </c:pt>
                <c:pt idx="6">
                  <c:v>8.43</c:v>
                </c:pt>
                <c:pt idx="7">
                  <c:v>8.77</c:v>
                </c:pt>
                <c:pt idx="8">
                  <c:v>8.5</c:v>
                </c:pt>
                <c:pt idx="9">
                  <c:v>8.36</c:v>
                </c:pt>
                <c:pt idx="10">
                  <c:v>8.24</c:v>
                </c:pt>
                <c:pt idx="13">
                  <c:v>8.0500000000000007</c:v>
                </c:pt>
                <c:pt idx="14">
                  <c:v>7.78</c:v>
                </c:pt>
                <c:pt idx="15">
                  <c:v>7.92</c:v>
                </c:pt>
                <c:pt idx="16">
                  <c:v>8.27</c:v>
                </c:pt>
                <c:pt idx="17">
                  <c:v>8.48</c:v>
                </c:pt>
                <c:pt idx="18">
                  <c:v>8.8000000000000007</c:v>
                </c:pt>
                <c:pt idx="19">
                  <c:v>8.7899999999999991</c:v>
                </c:pt>
                <c:pt idx="20">
                  <c:v>8.9499999999999993</c:v>
                </c:pt>
                <c:pt idx="21">
                  <c:v>8.83</c:v>
                </c:pt>
                <c:pt idx="22">
                  <c:v>8.83</c:v>
                </c:pt>
                <c:pt idx="23">
                  <c:v>8.91</c:v>
                </c:pt>
                <c:pt idx="24">
                  <c:v>8.59</c:v>
                </c:pt>
                <c:pt idx="25">
                  <c:v>8.4700000000000006</c:v>
                </c:pt>
                <c:pt idx="30">
                  <c:v>8.5050000000000008</c:v>
                </c:pt>
                <c:pt idx="31">
                  <c:v>8.14</c:v>
                </c:pt>
                <c:pt idx="32">
                  <c:v>8.2479999999999993</c:v>
                </c:pt>
                <c:pt idx="33">
                  <c:v>8.1489999999999991</c:v>
                </c:pt>
                <c:pt idx="34" formatCode="#,##0.00">
                  <c:v>8.4730000000000008</c:v>
                </c:pt>
                <c:pt idx="35" formatCode="#,##0.00">
                  <c:v>8.09</c:v>
                </c:pt>
                <c:pt idx="36" formatCode="#,##0.00">
                  <c:v>8.657</c:v>
                </c:pt>
                <c:pt idx="37" formatCode="#,##0.00">
                  <c:v>8.5555000000000003</c:v>
                </c:pt>
                <c:pt idx="38" formatCode="#,##0.00">
                  <c:v>8.4540000000000006</c:v>
                </c:pt>
                <c:pt idx="39" formatCode="#,##0.00">
                  <c:v>8.5359999999999996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7A-4AA7-BDD8-3A206097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77472"/>
        <c:axId val="143991552"/>
      </c:lineChart>
      <c:catAx>
        <c:axId val="143977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3991552"/>
        <c:crosses val="autoZero"/>
        <c:auto val="0"/>
        <c:lblAlgn val="ctr"/>
        <c:lblOffset val="100"/>
        <c:noMultiLvlLbl val="0"/>
      </c:catAx>
      <c:valAx>
        <c:axId val="143991552"/>
        <c:scaling>
          <c:orientation val="minMax"/>
          <c:max val="9.5"/>
          <c:min val="7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pH 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36399013423846843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3977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092728006083942"/>
          <c:y val="7.5530470354795536E-3"/>
          <c:w val="0.17204199475065618"/>
          <c:h val="0.34109835644364034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8186754190491"/>
          <c:y val="2.5401086675460625E-2"/>
          <c:w val="0.86662970692035213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fysico-chemie'!$BA$3</c:f>
              <c:strCache>
                <c:ptCount val="1"/>
                <c:pt idx="0">
                  <c:v>surface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fysico-chemie'!$BA$4:$BA$43</c:f>
              <c:numCache>
                <c:formatCode>0.0</c:formatCode>
                <c:ptCount val="40"/>
                <c:pt idx="0">
                  <c:v>6.16</c:v>
                </c:pt>
                <c:pt idx="1">
                  <c:v>6.6116666666666655</c:v>
                </c:pt>
                <c:pt idx="2">
                  <c:v>6.7316666666666665</c:v>
                </c:pt>
                <c:pt idx="3">
                  <c:v>9.4366666666666656</c:v>
                </c:pt>
                <c:pt idx="4">
                  <c:v>9.7711111111111109</c:v>
                </c:pt>
                <c:pt idx="5">
                  <c:v>10.352222222222222</c:v>
                </c:pt>
                <c:pt idx="6">
                  <c:v>12.73</c:v>
                </c:pt>
                <c:pt idx="7">
                  <c:v>14.224444444444446</c:v>
                </c:pt>
                <c:pt idx="8">
                  <c:v>10.884444444444444</c:v>
                </c:pt>
                <c:pt idx="9">
                  <c:v>13.333333333333334</c:v>
                </c:pt>
                <c:pt idx="10">
                  <c:v>17.297777777777775</c:v>
                </c:pt>
                <c:pt idx="13">
                  <c:v>6.3666666666666671</c:v>
                </c:pt>
                <c:pt idx="14">
                  <c:v>8.7222222222222214</c:v>
                </c:pt>
                <c:pt idx="15">
                  <c:v>10.977777777777778</c:v>
                </c:pt>
                <c:pt idx="16">
                  <c:v>9.9111111111111097</c:v>
                </c:pt>
                <c:pt idx="17">
                  <c:v>12.288888888888888</c:v>
                </c:pt>
                <c:pt idx="18">
                  <c:v>12.655555555555557</c:v>
                </c:pt>
                <c:pt idx="19">
                  <c:v>13.155555555555557</c:v>
                </c:pt>
                <c:pt idx="20">
                  <c:v>13.344444444444443</c:v>
                </c:pt>
                <c:pt idx="21">
                  <c:v>12.37777777777778</c:v>
                </c:pt>
                <c:pt idx="22">
                  <c:v>13.2</c:v>
                </c:pt>
                <c:pt idx="23">
                  <c:v>15.888888888888889</c:v>
                </c:pt>
                <c:pt idx="24">
                  <c:v>16.566666666666666</c:v>
                </c:pt>
                <c:pt idx="25">
                  <c:v>19.62222222222222</c:v>
                </c:pt>
                <c:pt idx="28">
                  <c:v>7.0666666666666664</c:v>
                </c:pt>
                <c:pt idx="29">
                  <c:v>4.822222222222222</c:v>
                </c:pt>
                <c:pt idx="30">
                  <c:v>6.5333333333333341</c:v>
                </c:pt>
                <c:pt idx="31">
                  <c:v>9.3222222222222229</c:v>
                </c:pt>
                <c:pt idx="32">
                  <c:v>11.888888888888889</c:v>
                </c:pt>
                <c:pt idx="33">
                  <c:v>13.411111111111111</c:v>
                </c:pt>
                <c:pt idx="34">
                  <c:v>16.033333333333335</c:v>
                </c:pt>
                <c:pt idx="35">
                  <c:v>11.733333333333334</c:v>
                </c:pt>
                <c:pt idx="36">
                  <c:v>17.166666666666664</c:v>
                </c:pt>
                <c:pt idx="37">
                  <c:v>14.222222222222221</c:v>
                </c:pt>
                <c:pt idx="38">
                  <c:v>17.700000000000003</c:v>
                </c:pt>
                <c:pt idx="39">
                  <c:v>20.62222222222222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A-452A-B0A7-55D811BB15A4}"/>
            </c:ext>
          </c:extLst>
        </c:ser>
        <c:ser>
          <c:idx val="1"/>
          <c:order val="1"/>
          <c:tx>
            <c:strRef>
              <c:f>'fig fysico-chemie'!$BB$3</c:f>
              <c:strCache>
                <c:ptCount val="1"/>
                <c:pt idx="0">
                  <c:v>bottom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fysico-chemie'!$BB$4:$BB$43</c:f>
              <c:numCache>
                <c:formatCode>0.0</c:formatCode>
                <c:ptCount val="40"/>
                <c:pt idx="0">
                  <c:v>5.9483333333333341</c:v>
                </c:pt>
                <c:pt idx="1">
                  <c:v>6.4033333333333333</c:v>
                </c:pt>
                <c:pt idx="2">
                  <c:v>6.8916666666666666</c:v>
                </c:pt>
                <c:pt idx="3">
                  <c:v>9.0166666666666657</c:v>
                </c:pt>
                <c:pt idx="4">
                  <c:v>9.6911111111111126</c:v>
                </c:pt>
                <c:pt idx="5">
                  <c:v>10.671111111111109</c:v>
                </c:pt>
                <c:pt idx="6">
                  <c:v>12.378888888888888</c:v>
                </c:pt>
                <c:pt idx="7">
                  <c:v>12.615555555555556</c:v>
                </c:pt>
                <c:pt idx="8">
                  <c:v>10.586666666666666</c:v>
                </c:pt>
                <c:pt idx="9">
                  <c:v>11.812222222222221</c:v>
                </c:pt>
                <c:pt idx="10">
                  <c:v>16.176666666666669</c:v>
                </c:pt>
                <c:pt idx="13">
                  <c:v>6.3666666666666671</c:v>
                </c:pt>
                <c:pt idx="14">
                  <c:v>8.6</c:v>
                </c:pt>
                <c:pt idx="15">
                  <c:v>10.944444444444445</c:v>
                </c:pt>
                <c:pt idx="16">
                  <c:v>9.68888888888889</c:v>
                </c:pt>
                <c:pt idx="17">
                  <c:v>11.266666666666666</c:v>
                </c:pt>
                <c:pt idx="18">
                  <c:v>12.922222222222221</c:v>
                </c:pt>
                <c:pt idx="19">
                  <c:v>13.855555555555558</c:v>
                </c:pt>
                <c:pt idx="20">
                  <c:v>13.56666666666667</c:v>
                </c:pt>
                <c:pt idx="21">
                  <c:v>12.944444444444443</c:v>
                </c:pt>
                <c:pt idx="22">
                  <c:v>13.655555555555557</c:v>
                </c:pt>
                <c:pt idx="23">
                  <c:v>15.011111111111111</c:v>
                </c:pt>
                <c:pt idx="24">
                  <c:v>16.433333333333334</c:v>
                </c:pt>
                <c:pt idx="25">
                  <c:v>18.266666666666666</c:v>
                </c:pt>
                <c:pt idx="28">
                  <c:v>7.0555555555555554</c:v>
                </c:pt>
                <c:pt idx="29">
                  <c:v>4.8222222222222211</c:v>
                </c:pt>
                <c:pt idx="30">
                  <c:v>6.5222222222222221</c:v>
                </c:pt>
                <c:pt idx="31">
                  <c:v>9.1999999999999993</c:v>
                </c:pt>
                <c:pt idx="32">
                  <c:v>11.344444444444443</c:v>
                </c:pt>
                <c:pt idx="33">
                  <c:v>13.322222222222223</c:v>
                </c:pt>
                <c:pt idx="34">
                  <c:v>14.877777777777778</c:v>
                </c:pt>
                <c:pt idx="35">
                  <c:v>11.711111111111112</c:v>
                </c:pt>
                <c:pt idx="36">
                  <c:v>14.666666666666666</c:v>
                </c:pt>
                <c:pt idx="37">
                  <c:v>15.333333333333334</c:v>
                </c:pt>
                <c:pt idx="38">
                  <c:v>16.200000000000003</c:v>
                </c:pt>
                <c:pt idx="39">
                  <c:v>20.222222222222221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3A-452A-B0A7-55D811BB15A4}"/>
            </c:ext>
          </c:extLst>
        </c:ser>
        <c:ser>
          <c:idx val="2"/>
          <c:order val="2"/>
          <c:tx>
            <c:strRef>
              <c:f>'fig fysico-chemie'!$BC$3</c:f>
              <c:strCache>
                <c:ptCount val="1"/>
                <c:pt idx="0">
                  <c:v>polder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fysico-chemie'!$BC$4:$BC$43</c:f>
              <c:numCache>
                <c:formatCode>General</c:formatCode>
                <c:ptCount val="40"/>
                <c:pt idx="1">
                  <c:v>6.43</c:v>
                </c:pt>
                <c:pt idx="2">
                  <c:v>7.2</c:v>
                </c:pt>
                <c:pt idx="3">
                  <c:v>8.92</c:v>
                </c:pt>
                <c:pt idx="4">
                  <c:v>9.76</c:v>
                </c:pt>
                <c:pt idx="5">
                  <c:v>10.77</c:v>
                </c:pt>
                <c:pt idx="6">
                  <c:v>13.48</c:v>
                </c:pt>
                <c:pt idx="7">
                  <c:v>13.16</c:v>
                </c:pt>
                <c:pt idx="8">
                  <c:v>10.77</c:v>
                </c:pt>
                <c:pt idx="9">
                  <c:v>12.68</c:v>
                </c:pt>
                <c:pt idx="10">
                  <c:v>18.59</c:v>
                </c:pt>
                <c:pt idx="13">
                  <c:v>6.5</c:v>
                </c:pt>
                <c:pt idx="14">
                  <c:v>9.1</c:v>
                </c:pt>
                <c:pt idx="15">
                  <c:v>10.8</c:v>
                </c:pt>
                <c:pt idx="16">
                  <c:v>11.1</c:v>
                </c:pt>
                <c:pt idx="17">
                  <c:v>13.7</c:v>
                </c:pt>
                <c:pt idx="18">
                  <c:v>13.8</c:v>
                </c:pt>
                <c:pt idx="19">
                  <c:v>13.7</c:v>
                </c:pt>
                <c:pt idx="20">
                  <c:v>12.9</c:v>
                </c:pt>
                <c:pt idx="21">
                  <c:v>13</c:v>
                </c:pt>
                <c:pt idx="22">
                  <c:v>14.2</c:v>
                </c:pt>
                <c:pt idx="23">
                  <c:v>16.5</c:v>
                </c:pt>
                <c:pt idx="24">
                  <c:v>17.7</c:v>
                </c:pt>
                <c:pt idx="25">
                  <c:v>19.600000000000001</c:v>
                </c:pt>
                <c:pt idx="30">
                  <c:v>7.7</c:v>
                </c:pt>
                <c:pt idx="31">
                  <c:v>9.9</c:v>
                </c:pt>
                <c:pt idx="32">
                  <c:v>12.2</c:v>
                </c:pt>
                <c:pt idx="33">
                  <c:v>13.8</c:v>
                </c:pt>
                <c:pt idx="34">
                  <c:v>19.100000000000001</c:v>
                </c:pt>
                <c:pt idx="35">
                  <c:v>11.9</c:v>
                </c:pt>
                <c:pt idx="36">
                  <c:v>18.399999999999999</c:v>
                </c:pt>
                <c:pt idx="37" formatCode="0.0">
                  <c:v>18.100000000000001</c:v>
                </c:pt>
                <c:pt idx="38">
                  <c:v>17.7</c:v>
                </c:pt>
                <c:pt idx="39">
                  <c:v>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3A-452A-B0A7-55D811BB1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29568"/>
        <c:axId val="144031104"/>
      </c:lineChart>
      <c:catAx>
        <c:axId val="144029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4031104"/>
        <c:crosses val="autoZero"/>
        <c:auto val="0"/>
        <c:lblAlgn val="ctr"/>
        <c:lblOffset val="100"/>
        <c:noMultiLvlLbl val="0"/>
      </c:catAx>
      <c:valAx>
        <c:axId val="144031104"/>
        <c:scaling>
          <c:orientation val="minMax"/>
          <c:max val="23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 (°C)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3639901342384684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4029568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81129133858267721"/>
          <c:y val="0.58319232692117084"/>
          <c:w val="0.17204199475065618"/>
          <c:h val="0.18851927020887879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8186754190491"/>
          <c:y val="2.5401086675460625E-2"/>
          <c:w val="0.86662970692035213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fysico-chemie'!$BA$3</c:f>
              <c:strCache>
                <c:ptCount val="1"/>
                <c:pt idx="0">
                  <c:v>surface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fysico-chemie'!$BA$172:$BA$211</c:f>
              <c:numCache>
                <c:formatCode>0.0</c:formatCode>
                <c:ptCount val="40"/>
                <c:pt idx="0">
                  <c:v>86.216666666666683</c:v>
                </c:pt>
                <c:pt idx="1">
                  <c:v>71.516666666666666</c:v>
                </c:pt>
                <c:pt idx="2">
                  <c:v>58.06666666666667</c:v>
                </c:pt>
                <c:pt idx="3">
                  <c:v>116.81666666666666</c:v>
                </c:pt>
                <c:pt idx="4">
                  <c:v>112.95555555555556</c:v>
                </c:pt>
                <c:pt idx="5">
                  <c:v>103.43333333333332</c:v>
                </c:pt>
                <c:pt idx="6">
                  <c:v>117.43333333333334</c:v>
                </c:pt>
                <c:pt idx="7">
                  <c:v>147.21111111111111</c:v>
                </c:pt>
                <c:pt idx="8">
                  <c:v>130.66666666666666</c:v>
                </c:pt>
                <c:pt idx="9">
                  <c:v>129.53333333333336</c:v>
                </c:pt>
                <c:pt idx="10">
                  <c:v>75.24444444444444</c:v>
                </c:pt>
                <c:pt idx="13">
                  <c:v>81.850000000000009</c:v>
                </c:pt>
                <c:pt idx="14">
                  <c:v>65.033333333333331</c:v>
                </c:pt>
                <c:pt idx="15">
                  <c:v>78.766666666666666</c:v>
                </c:pt>
                <c:pt idx="16">
                  <c:v>78.144444444444446</c:v>
                </c:pt>
                <c:pt idx="17">
                  <c:v>121.57777777777778</c:v>
                </c:pt>
                <c:pt idx="18">
                  <c:v>175.39999999999998</c:v>
                </c:pt>
                <c:pt idx="19">
                  <c:v>149.19999999999999</c:v>
                </c:pt>
                <c:pt idx="20">
                  <c:v>151.76666666666665</c:v>
                </c:pt>
                <c:pt idx="21">
                  <c:v>180.3111111111111</c:v>
                </c:pt>
                <c:pt idx="22">
                  <c:v>76.822222222222223</c:v>
                </c:pt>
                <c:pt idx="23">
                  <c:v>138.14444444444445</c:v>
                </c:pt>
                <c:pt idx="24">
                  <c:v>149.8422222222222</c:v>
                </c:pt>
                <c:pt idx="25">
                  <c:v>185.86666666666667</c:v>
                </c:pt>
                <c:pt idx="28">
                  <c:v>87.744444444444454</c:v>
                </c:pt>
                <c:pt idx="29">
                  <c:v>86.377777777777794</c:v>
                </c:pt>
                <c:pt idx="30">
                  <c:v>98.86666666666666</c:v>
                </c:pt>
                <c:pt idx="31">
                  <c:v>100.62222222222221</c:v>
                </c:pt>
                <c:pt idx="32">
                  <c:v>121.12222222222223</c:v>
                </c:pt>
                <c:pt idx="33">
                  <c:v>116.94444444444444</c:v>
                </c:pt>
                <c:pt idx="34">
                  <c:v>124.46666666666664</c:v>
                </c:pt>
                <c:pt idx="37">
                  <c:v>70.411111111111097</c:v>
                </c:pt>
                <c:pt idx="38">
                  <c:v>60.244444444444447</c:v>
                </c:pt>
                <c:pt idx="39">
                  <c:v>120.35555555555554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E-4D4F-B898-5F17E5556774}"/>
            </c:ext>
          </c:extLst>
        </c:ser>
        <c:ser>
          <c:idx val="1"/>
          <c:order val="1"/>
          <c:tx>
            <c:strRef>
              <c:f>'fig fysico-chemie'!$BB$3</c:f>
              <c:strCache>
                <c:ptCount val="1"/>
                <c:pt idx="0">
                  <c:v>bottom</c:v>
                </c:pt>
              </c:strCache>
            </c:strRef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fysico-chemie'!$BB$172:$BB$211</c:f>
              <c:numCache>
                <c:formatCode>0.0</c:formatCode>
                <c:ptCount val="40"/>
                <c:pt idx="0">
                  <c:v>79.666666666666671</c:v>
                </c:pt>
                <c:pt idx="1">
                  <c:v>62.616666666666667</c:v>
                </c:pt>
                <c:pt idx="2">
                  <c:v>61.5</c:v>
                </c:pt>
                <c:pt idx="3">
                  <c:v>115.86666666666666</c:v>
                </c:pt>
                <c:pt idx="4">
                  <c:v>96.088888888888903</c:v>
                </c:pt>
                <c:pt idx="5">
                  <c:v>98.755555555555546</c:v>
                </c:pt>
                <c:pt idx="6">
                  <c:v>120.77777777777777</c:v>
                </c:pt>
                <c:pt idx="7">
                  <c:v>150.31111111111113</c:v>
                </c:pt>
                <c:pt idx="8">
                  <c:v>119.58888888888889</c:v>
                </c:pt>
                <c:pt idx="9">
                  <c:v>105.04444444444444</c:v>
                </c:pt>
                <c:pt idx="10">
                  <c:v>60.36666666666666</c:v>
                </c:pt>
                <c:pt idx="13">
                  <c:v>81.100000000000009</c:v>
                </c:pt>
                <c:pt idx="14">
                  <c:v>64.966666666666654</c:v>
                </c:pt>
                <c:pt idx="15">
                  <c:v>75.566666666666663</c:v>
                </c:pt>
                <c:pt idx="16">
                  <c:v>76.63333333333334</c:v>
                </c:pt>
                <c:pt idx="17">
                  <c:v>118.72222222222223</c:v>
                </c:pt>
                <c:pt idx="18">
                  <c:v>188.67777777777778</c:v>
                </c:pt>
                <c:pt idx="19">
                  <c:v>155.56666666666666</c:v>
                </c:pt>
                <c:pt idx="20">
                  <c:v>140.74444444444444</c:v>
                </c:pt>
                <c:pt idx="21">
                  <c:v>54.477777777777781</c:v>
                </c:pt>
                <c:pt idx="22">
                  <c:v>17.466666666666665</c:v>
                </c:pt>
                <c:pt idx="23">
                  <c:v>91.333333333333329</c:v>
                </c:pt>
                <c:pt idx="24">
                  <c:v>68.634444444444455</c:v>
                </c:pt>
                <c:pt idx="25">
                  <c:v>172.85555555555555</c:v>
                </c:pt>
                <c:pt idx="28">
                  <c:v>85.6</c:v>
                </c:pt>
                <c:pt idx="29">
                  <c:v>85.522222222222211</c:v>
                </c:pt>
                <c:pt idx="30">
                  <c:v>100.31111111111112</c:v>
                </c:pt>
                <c:pt idx="31">
                  <c:v>99.8888888888889</c:v>
                </c:pt>
                <c:pt idx="32">
                  <c:v>105.64444444444445</c:v>
                </c:pt>
                <c:pt idx="33">
                  <c:v>116.53333333333333</c:v>
                </c:pt>
                <c:pt idx="34">
                  <c:v>119.80000000000001</c:v>
                </c:pt>
                <c:pt idx="37">
                  <c:v>41.822222222222223</c:v>
                </c:pt>
                <c:pt idx="38">
                  <c:v>23.322222222222219</c:v>
                </c:pt>
                <c:pt idx="39">
                  <c:v>96.111111111111114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E-4D4F-B898-5F17E5556774}"/>
            </c:ext>
          </c:extLst>
        </c:ser>
        <c:ser>
          <c:idx val="2"/>
          <c:order val="2"/>
          <c:tx>
            <c:strRef>
              <c:f>'fig fysico-chemie'!$BC$3</c:f>
              <c:strCache>
                <c:ptCount val="1"/>
                <c:pt idx="0">
                  <c:v>polder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'fig fysico-chemie'!$AF$172:$AF$211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fysico-chemie'!$BC$172:$BC$211</c:f>
              <c:numCache>
                <c:formatCode>0</c:formatCode>
                <c:ptCount val="40"/>
                <c:pt idx="1">
                  <c:v>87.4</c:v>
                </c:pt>
                <c:pt idx="2">
                  <c:v>54</c:v>
                </c:pt>
                <c:pt idx="3">
                  <c:v>112.5</c:v>
                </c:pt>
                <c:pt idx="4">
                  <c:v>105.4</c:v>
                </c:pt>
                <c:pt idx="5">
                  <c:v>103.2</c:v>
                </c:pt>
                <c:pt idx="6">
                  <c:v>114.3</c:v>
                </c:pt>
                <c:pt idx="7">
                  <c:v>124.3</c:v>
                </c:pt>
                <c:pt idx="8">
                  <c:v>122.6</c:v>
                </c:pt>
                <c:pt idx="9">
                  <c:v>109.6</c:v>
                </c:pt>
                <c:pt idx="10">
                  <c:v>70.2</c:v>
                </c:pt>
                <c:pt idx="13">
                  <c:v>87</c:v>
                </c:pt>
                <c:pt idx="14">
                  <c:v>76.099999999999994</c:v>
                </c:pt>
                <c:pt idx="15">
                  <c:v>84.8</c:v>
                </c:pt>
                <c:pt idx="16">
                  <c:v>91.3</c:v>
                </c:pt>
                <c:pt idx="17">
                  <c:v>135</c:v>
                </c:pt>
                <c:pt idx="18">
                  <c:v>200</c:v>
                </c:pt>
                <c:pt idx="19">
                  <c:v>163.5</c:v>
                </c:pt>
                <c:pt idx="20">
                  <c:v>148.9</c:v>
                </c:pt>
                <c:pt idx="21">
                  <c:v>126.9</c:v>
                </c:pt>
                <c:pt idx="22">
                  <c:v>129.6</c:v>
                </c:pt>
                <c:pt idx="23">
                  <c:v>153.6</c:v>
                </c:pt>
                <c:pt idx="24">
                  <c:v>154.6</c:v>
                </c:pt>
                <c:pt idx="25">
                  <c:v>155.6</c:v>
                </c:pt>
                <c:pt idx="30">
                  <c:v>120.3</c:v>
                </c:pt>
                <c:pt idx="31">
                  <c:v>99.8</c:v>
                </c:pt>
                <c:pt idx="32">
                  <c:v>110.8</c:v>
                </c:pt>
                <c:pt idx="33">
                  <c:v>127.8</c:v>
                </c:pt>
                <c:pt idx="34">
                  <c:v>163</c:v>
                </c:pt>
                <c:pt idx="38">
                  <c:v>112.9</c:v>
                </c:pt>
                <c:pt idx="39">
                  <c:v>139.5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DE-4D4F-B898-5F17E5556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07840"/>
        <c:axId val="145509376"/>
      </c:lineChart>
      <c:catAx>
        <c:axId val="145507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509376"/>
        <c:crosses val="autoZero"/>
        <c:auto val="0"/>
        <c:lblAlgn val="ctr"/>
        <c:lblOffset val="100"/>
        <c:noMultiLvlLbl val="0"/>
      </c:catAx>
      <c:valAx>
        <c:axId val="145509376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O</a:t>
                </a:r>
                <a:r>
                  <a:rPr lang="en-US" sz="1400" baseline="-25000"/>
                  <a:t>2  </a:t>
                </a:r>
                <a:r>
                  <a:rPr lang="en-US" sz="1400"/>
                  <a:t>(%)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3639901342384684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507840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12884665604401618"/>
          <c:y val="6.1763402480857408E-4"/>
          <c:w val="0.17204199475065618"/>
          <c:h val="0.2231963352622337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80372408762998"/>
          <c:y val="2.5401124899932372E-2"/>
          <c:w val="0.86662970692035213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fysico-chemie'!$BA$3</c:f>
              <c:strCache>
                <c:ptCount val="1"/>
                <c:pt idx="0">
                  <c:v>surface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fysico-chemie'!$BA$237:$BA$276</c:f>
              <c:numCache>
                <c:formatCode>0.0</c:formatCode>
                <c:ptCount val="40"/>
                <c:pt idx="0">
                  <c:v>8.1150000000000002</c:v>
                </c:pt>
                <c:pt idx="1">
                  <c:v>8.2166666666666668</c:v>
                </c:pt>
                <c:pt idx="2">
                  <c:v>8.5549999999999997</c:v>
                </c:pt>
                <c:pt idx="3">
                  <c:v>8.2933333333333348</c:v>
                </c:pt>
                <c:pt idx="4">
                  <c:v>8.3044444444444458</c:v>
                </c:pt>
                <c:pt idx="5">
                  <c:v>8.4322222222222205</c:v>
                </c:pt>
                <c:pt idx="6">
                  <c:v>8.4022222222222229</c:v>
                </c:pt>
                <c:pt idx="7">
                  <c:v>8.6611111111111097</c:v>
                </c:pt>
                <c:pt idx="8">
                  <c:v>8.6955555555555559</c:v>
                </c:pt>
                <c:pt idx="9">
                  <c:v>8.5744444444444436</c:v>
                </c:pt>
                <c:pt idx="10">
                  <c:v>8.0122222222222224</c:v>
                </c:pt>
                <c:pt idx="13">
                  <c:v>8.0816666666666688</c:v>
                </c:pt>
                <c:pt idx="14">
                  <c:v>7.8522222222222204</c:v>
                </c:pt>
                <c:pt idx="15">
                  <c:v>7.9211111111111121</c:v>
                </c:pt>
                <c:pt idx="16">
                  <c:v>8.2655555555555562</c:v>
                </c:pt>
                <c:pt idx="17">
                  <c:v>8.2666666666666675</c:v>
                </c:pt>
                <c:pt idx="18">
                  <c:v>8.5711111111111116</c:v>
                </c:pt>
                <c:pt idx="19">
                  <c:v>8.6066666666666674</c:v>
                </c:pt>
                <c:pt idx="20">
                  <c:v>8.7100000000000009</c:v>
                </c:pt>
                <c:pt idx="21">
                  <c:v>8.9866666666666681</c:v>
                </c:pt>
                <c:pt idx="22">
                  <c:v>8.4600000000000009</c:v>
                </c:pt>
                <c:pt idx="23">
                  <c:v>8.4799999999999986</c:v>
                </c:pt>
                <c:pt idx="24">
                  <c:v>8.923333333333332</c:v>
                </c:pt>
                <c:pt idx="25">
                  <c:v>8.7899999999999991</c:v>
                </c:pt>
                <c:pt idx="28">
                  <c:v>7.7999999999999989</c:v>
                </c:pt>
                <c:pt idx="29">
                  <c:v>8.0562222222222228</c:v>
                </c:pt>
                <c:pt idx="30">
                  <c:v>8.0652222222222214</c:v>
                </c:pt>
                <c:pt idx="31">
                  <c:v>8.1</c:v>
                </c:pt>
                <c:pt idx="32">
                  <c:v>8.2929999999999993</c:v>
                </c:pt>
                <c:pt idx="33">
                  <c:v>8.1286666666666676</c:v>
                </c:pt>
                <c:pt idx="34">
                  <c:v>8.215888888888891</c:v>
                </c:pt>
                <c:pt idx="35">
                  <c:v>8.0365555555555552</c:v>
                </c:pt>
                <c:pt idx="36">
                  <c:v>8.1731111111111101</c:v>
                </c:pt>
                <c:pt idx="37">
                  <c:v>8.0504444444444445</c:v>
                </c:pt>
                <c:pt idx="38">
                  <c:v>7.9657777777777774</c:v>
                </c:pt>
                <c:pt idx="39">
                  <c:v>8.3925555555555551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7-4577-B5EE-A8B487C27717}"/>
            </c:ext>
          </c:extLst>
        </c:ser>
        <c:ser>
          <c:idx val="1"/>
          <c:order val="1"/>
          <c:tx>
            <c:strRef>
              <c:f>'fig fysico-chemie'!$BB$3</c:f>
              <c:strCache>
                <c:ptCount val="1"/>
                <c:pt idx="0">
                  <c:v>bottom</c:v>
                </c:pt>
              </c:strCache>
            </c:strRef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fysico-chemie'!$BB$237:$BB$276</c:f>
              <c:numCache>
                <c:formatCode>0.0</c:formatCode>
                <c:ptCount val="40"/>
                <c:pt idx="0">
                  <c:v>8.1583333333333332</c:v>
                </c:pt>
                <c:pt idx="1">
                  <c:v>8.2033333333333331</c:v>
                </c:pt>
                <c:pt idx="2">
                  <c:v>8.2733333333333334</c:v>
                </c:pt>
                <c:pt idx="3">
                  <c:v>8.17</c:v>
                </c:pt>
                <c:pt idx="4">
                  <c:v>8.07</c:v>
                </c:pt>
                <c:pt idx="5">
                  <c:v>8.0555555555555554</c:v>
                </c:pt>
                <c:pt idx="6">
                  <c:v>8.0677777777777795</c:v>
                </c:pt>
                <c:pt idx="7">
                  <c:v>8.1911111111111108</c:v>
                </c:pt>
                <c:pt idx="8">
                  <c:v>8.2100000000000009</c:v>
                </c:pt>
                <c:pt idx="9">
                  <c:v>8.1311111111111103</c:v>
                </c:pt>
                <c:pt idx="10">
                  <c:v>7.8611111111111107</c:v>
                </c:pt>
                <c:pt idx="13">
                  <c:v>8.0883333333333329</c:v>
                </c:pt>
                <c:pt idx="14">
                  <c:v>7.8422222222222224</c:v>
                </c:pt>
                <c:pt idx="15">
                  <c:v>7.9122222222222218</c:v>
                </c:pt>
                <c:pt idx="16">
                  <c:v>8.0755555555555549</c:v>
                </c:pt>
                <c:pt idx="17">
                  <c:v>8.206666666666667</c:v>
                </c:pt>
                <c:pt idx="18">
                  <c:v>8.5977777777777771</c:v>
                </c:pt>
                <c:pt idx="19">
                  <c:v>8.4655555555555555</c:v>
                </c:pt>
                <c:pt idx="20">
                  <c:v>8.5744444444444454</c:v>
                </c:pt>
                <c:pt idx="21">
                  <c:v>8.2966666666666669</c:v>
                </c:pt>
                <c:pt idx="22">
                  <c:v>8.0677777777777795</c:v>
                </c:pt>
                <c:pt idx="23">
                  <c:v>8.3833333333333329</c:v>
                </c:pt>
                <c:pt idx="24">
                  <c:v>8.3555555555555561</c:v>
                </c:pt>
                <c:pt idx="25">
                  <c:v>8.5511111111111102</c:v>
                </c:pt>
                <c:pt idx="28">
                  <c:v>7.7999999999999989</c:v>
                </c:pt>
                <c:pt idx="29">
                  <c:v>8.035222222222222</c:v>
                </c:pt>
                <c:pt idx="30">
                  <c:v>8.1031111111111116</c:v>
                </c:pt>
                <c:pt idx="31">
                  <c:v>8.1</c:v>
                </c:pt>
                <c:pt idx="32">
                  <c:v>8.0816666666666688</c:v>
                </c:pt>
                <c:pt idx="33">
                  <c:v>8.1222222222222218</c:v>
                </c:pt>
                <c:pt idx="34">
                  <c:v>8.285222222222222</c:v>
                </c:pt>
                <c:pt idx="35">
                  <c:v>8.0377777777777784</c:v>
                </c:pt>
                <c:pt idx="36">
                  <c:v>8.0338888888888889</c:v>
                </c:pt>
                <c:pt idx="37">
                  <c:v>7.9266666666666667</c:v>
                </c:pt>
                <c:pt idx="38">
                  <c:v>7.6671111111111099</c:v>
                </c:pt>
                <c:pt idx="39">
                  <c:v>8.270999999999999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7-4577-B5EE-A8B487C27717}"/>
            </c:ext>
          </c:extLst>
        </c:ser>
        <c:ser>
          <c:idx val="2"/>
          <c:order val="2"/>
          <c:tx>
            <c:strRef>
              <c:f>'fig fysico-chemie'!$BC$3</c:f>
              <c:strCache>
                <c:ptCount val="1"/>
                <c:pt idx="0">
                  <c:v>polder</c:v>
                </c:pt>
              </c:strCache>
            </c:strRef>
          </c:tx>
          <c:spPr>
            <a:ln w="254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'fig fysico-chemie'!$AF$237:$AF$276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fysico-chemie'!$BC$237:$BC$276</c:f>
              <c:numCache>
                <c:formatCode>General</c:formatCode>
                <c:ptCount val="40"/>
                <c:pt idx="1">
                  <c:v>8.15</c:v>
                </c:pt>
                <c:pt idx="2">
                  <c:v>8.23</c:v>
                </c:pt>
                <c:pt idx="3">
                  <c:v>8.2100000000000009</c:v>
                </c:pt>
                <c:pt idx="4">
                  <c:v>8.36</c:v>
                </c:pt>
                <c:pt idx="5">
                  <c:v>8.3699999999999992</c:v>
                </c:pt>
                <c:pt idx="6">
                  <c:v>8.43</c:v>
                </c:pt>
                <c:pt idx="7">
                  <c:v>8.77</c:v>
                </c:pt>
                <c:pt idx="8">
                  <c:v>8.5</c:v>
                </c:pt>
                <c:pt idx="9">
                  <c:v>8.36</c:v>
                </c:pt>
                <c:pt idx="10">
                  <c:v>8.24</c:v>
                </c:pt>
                <c:pt idx="13">
                  <c:v>8.0500000000000007</c:v>
                </c:pt>
                <c:pt idx="14">
                  <c:v>7.78</c:v>
                </c:pt>
                <c:pt idx="15">
                  <c:v>7.92</c:v>
                </c:pt>
                <c:pt idx="16">
                  <c:v>8.27</c:v>
                </c:pt>
                <c:pt idx="17">
                  <c:v>8.48</c:v>
                </c:pt>
                <c:pt idx="18">
                  <c:v>8.8000000000000007</c:v>
                </c:pt>
                <c:pt idx="19">
                  <c:v>8.7899999999999991</c:v>
                </c:pt>
                <c:pt idx="20">
                  <c:v>8.9499999999999993</c:v>
                </c:pt>
                <c:pt idx="21">
                  <c:v>8.83</c:v>
                </c:pt>
                <c:pt idx="22">
                  <c:v>8.83</c:v>
                </c:pt>
                <c:pt idx="23">
                  <c:v>8.91</c:v>
                </c:pt>
                <c:pt idx="24">
                  <c:v>8.59</c:v>
                </c:pt>
                <c:pt idx="25">
                  <c:v>8.4700000000000006</c:v>
                </c:pt>
                <c:pt idx="30">
                  <c:v>8.5050000000000008</c:v>
                </c:pt>
                <c:pt idx="31">
                  <c:v>8.14</c:v>
                </c:pt>
                <c:pt idx="32">
                  <c:v>8.2479999999999993</c:v>
                </c:pt>
                <c:pt idx="33">
                  <c:v>8.1489999999999991</c:v>
                </c:pt>
                <c:pt idx="34" formatCode="#,##0.00">
                  <c:v>8.4730000000000008</c:v>
                </c:pt>
                <c:pt idx="35" formatCode="#,##0.00">
                  <c:v>8.09</c:v>
                </c:pt>
                <c:pt idx="36" formatCode="#,##0.00">
                  <c:v>8.657</c:v>
                </c:pt>
                <c:pt idx="37" formatCode="#,##0.00">
                  <c:v>8.5555000000000003</c:v>
                </c:pt>
                <c:pt idx="38" formatCode="#,##0.00">
                  <c:v>8.4540000000000006</c:v>
                </c:pt>
                <c:pt idx="39" formatCode="#,##0.00">
                  <c:v>8.5359999999999996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67-4577-B5EE-A8B487C2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35744"/>
        <c:axId val="145537280"/>
      </c:lineChart>
      <c:catAx>
        <c:axId val="145535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537280"/>
        <c:crosses val="autoZero"/>
        <c:auto val="0"/>
        <c:lblAlgn val="ctr"/>
        <c:lblOffset val="100"/>
        <c:noMultiLvlLbl val="0"/>
      </c:catAx>
      <c:valAx>
        <c:axId val="145537280"/>
        <c:scaling>
          <c:orientation val="minMax"/>
          <c:max val="9.5"/>
          <c:min val="7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pH 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36399013423846843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535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092728006083942"/>
          <c:y val="7.5530470354795536E-3"/>
          <c:w val="0.17204199475065618"/>
          <c:h val="0.1919869767142143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96751294713752"/>
          <c:y val="3.93183466563009E-2"/>
          <c:w val="0.84186239753206205"/>
          <c:h val="0.7414102482235190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fysico-chemie'!$V$302:$V$341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fysico-chemie'!$W$302:$W$341</c:f>
              <c:numCache>
                <c:formatCode>0</c:formatCode>
                <c:ptCount val="40"/>
                <c:pt idx="0">
                  <c:v>64.285714285714292</c:v>
                </c:pt>
                <c:pt idx="1">
                  <c:v>35.285714285714285</c:v>
                </c:pt>
                <c:pt idx="2">
                  <c:v>84.428571428571431</c:v>
                </c:pt>
                <c:pt idx="3">
                  <c:v>62.833333333333336</c:v>
                </c:pt>
                <c:pt idx="4">
                  <c:v>75.142857142857139</c:v>
                </c:pt>
                <c:pt idx="5">
                  <c:v>69.666666666666671</c:v>
                </c:pt>
                <c:pt idx="6">
                  <c:v>80.25</c:v>
                </c:pt>
                <c:pt idx="7">
                  <c:v>90.833333333333329</c:v>
                </c:pt>
                <c:pt idx="8">
                  <c:v>65.222222222222229</c:v>
                </c:pt>
                <c:pt idx="9">
                  <c:v>72</c:v>
                </c:pt>
                <c:pt idx="13">
                  <c:v>40.5</c:v>
                </c:pt>
                <c:pt idx="14">
                  <c:v>52.833333333333336</c:v>
                </c:pt>
                <c:pt idx="15">
                  <c:v>54.833333333333336</c:v>
                </c:pt>
                <c:pt idx="16">
                  <c:v>86</c:v>
                </c:pt>
                <c:pt idx="17">
                  <c:v>92.833333333333329</c:v>
                </c:pt>
                <c:pt idx="18">
                  <c:v>130.33333333333334</c:v>
                </c:pt>
                <c:pt idx="19">
                  <c:v>78.75</c:v>
                </c:pt>
                <c:pt idx="20">
                  <c:v>74.666666666666671</c:v>
                </c:pt>
                <c:pt idx="21">
                  <c:v>69.5</c:v>
                </c:pt>
                <c:pt idx="22">
                  <c:v>72.333333333333329</c:v>
                </c:pt>
                <c:pt idx="23">
                  <c:v>80.333333333333329</c:v>
                </c:pt>
                <c:pt idx="24">
                  <c:v>63.111111111111114</c:v>
                </c:pt>
                <c:pt idx="25">
                  <c:v>71.833333333333329</c:v>
                </c:pt>
                <c:pt idx="28">
                  <c:v>55</c:v>
                </c:pt>
                <c:pt idx="29">
                  <c:v>72.5</c:v>
                </c:pt>
                <c:pt idx="30">
                  <c:v>77.666666666666671</c:v>
                </c:pt>
                <c:pt idx="31">
                  <c:v>78.222222222222229</c:v>
                </c:pt>
                <c:pt idx="32">
                  <c:v>78.25</c:v>
                </c:pt>
                <c:pt idx="33">
                  <c:v>53</c:v>
                </c:pt>
                <c:pt idx="34">
                  <c:v>103.33333333333333</c:v>
                </c:pt>
                <c:pt idx="35">
                  <c:v>44.888888888888886</c:v>
                </c:pt>
                <c:pt idx="36">
                  <c:v>69</c:v>
                </c:pt>
                <c:pt idx="37">
                  <c:v>99.375</c:v>
                </c:pt>
                <c:pt idx="38">
                  <c:v>127</c:v>
                </c:pt>
                <c:pt idx="39">
                  <c:v>76.666666666666671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1-4641-BD36-9BE71A0E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54656"/>
        <c:axId val="145260544"/>
      </c:lineChart>
      <c:catAx>
        <c:axId val="145254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3960000"/>
          <a:lstStyle/>
          <a:p>
            <a:pPr>
              <a:defRPr/>
            </a:pPr>
            <a:endParaRPr lang="nl-BE"/>
          </a:p>
        </c:txPr>
        <c:crossAx val="145260544"/>
        <c:crosses val="autoZero"/>
        <c:auto val="0"/>
        <c:lblAlgn val="ctr"/>
        <c:lblOffset val="100"/>
        <c:noMultiLvlLbl val="0"/>
      </c:catAx>
      <c:valAx>
        <c:axId val="145260544"/>
        <c:scaling>
          <c:orientation val="minMax"/>
          <c:min val="3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Secchi-depth (cm)</a:t>
                </a:r>
              </a:p>
            </c:rich>
          </c:tx>
          <c:layout>
            <c:manualLayout>
              <c:xMode val="edge"/>
              <c:yMode val="edge"/>
              <c:x val="1.8957345971563982E-2"/>
              <c:y val="0.21497266019419642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452546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13621992883937"/>
          <c:y val="2.5401086675460625E-2"/>
          <c:w val="0.82089873783121647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fysico-chemie'!$AG$3</c:f>
              <c:strCache>
                <c:ptCount val="1"/>
                <c:pt idx="0">
                  <c:v>SC-O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fysico-chemie'!$AG$67:$AG$106</c:f>
              <c:numCache>
                <c:formatCode>0</c:formatCode>
                <c:ptCount val="40"/>
                <c:pt idx="0">
                  <c:v>2067.3333333333335</c:v>
                </c:pt>
                <c:pt idx="1">
                  <c:v>1329.5</c:v>
                </c:pt>
                <c:pt idx="2">
                  <c:v>2042.5</c:v>
                </c:pt>
                <c:pt idx="3">
                  <c:v>1786.5</c:v>
                </c:pt>
                <c:pt idx="4">
                  <c:v>1928</c:v>
                </c:pt>
                <c:pt idx="5">
                  <c:v>2086</c:v>
                </c:pt>
                <c:pt idx="6">
                  <c:v>2213</c:v>
                </c:pt>
                <c:pt idx="7">
                  <c:v>6253.333333333333</c:v>
                </c:pt>
                <c:pt idx="8">
                  <c:v>2290.3333333333335</c:v>
                </c:pt>
                <c:pt idx="9">
                  <c:v>2935.6666666666665</c:v>
                </c:pt>
                <c:pt idx="10">
                  <c:v>25088.333333333332</c:v>
                </c:pt>
                <c:pt idx="13">
                  <c:v>1745.5</c:v>
                </c:pt>
                <c:pt idx="14">
                  <c:v>1715.6666666666667</c:v>
                </c:pt>
                <c:pt idx="15">
                  <c:v>2583.3333333333335</c:v>
                </c:pt>
                <c:pt idx="16">
                  <c:v>16620</c:v>
                </c:pt>
                <c:pt idx="17">
                  <c:v>32300</c:v>
                </c:pt>
                <c:pt idx="18">
                  <c:v>29500</c:v>
                </c:pt>
                <c:pt idx="19">
                  <c:v>14613.333333333334</c:v>
                </c:pt>
                <c:pt idx="20">
                  <c:v>18926.666666666668</c:v>
                </c:pt>
                <c:pt idx="21">
                  <c:v>10053.333333333334</c:v>
                </c:pt>
                <c:pt idx="22">
                  <c:v>17456.666666666668</c:v>
                </c:pt>
                <c:pt idx="23">
                  <c:v>19120</c:v>
                </c:pt>
                <c:pt idx="24">
                  <c:v>19573.333333333332</c:v>
                </c:pt>
                <c:pt idx="25">
                  <c:v>17276.666666666668</c:v>
                </c:pt>
                <c:pt idx="28">
                  <c:v>2043.3333333333333</c:v>
                </c:pt>
                <c:pt idx="29">
                  <c:v>1982</c:v>
                </c:pt>
                <c:pt idx="30">
                  <c:v>27966.666666666668</c:v>
                </c:pt>
                <c:pt idx="31">
                  <c:v>8273.3333333333339</c:v>
                </c:pt>
                <c:pt idx="32">
                  <c:v>2960</c:v>
                </c:pt>
                <c:pt idx="33">
                  <c:v>1980.6666666666667</c:v>
                </c:pt>
                <c:pt idx="34">
                  <c:v>31000</c:v>
                </c:pt>
                <c:pt idx="35">
                  <c:v>1905.3333333333333</c:v>
                </c:pt>
                <c:pt idx="36">
                  <c:v>15880</c:v>
                </c:pt>
                <c:pt idx="37">
                  <c:v>19813.333333333332</c:v>
                </c:pt>
                <c:pt idx="38">
                  <c:v>24733.333333333332</c:v>
                </c:pt>
                <c:pt idx="39">
                  <c:v>2380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D-4B94-821B-B6FDB66C9926}"/>
            </c:ext>
          </c:extLst>
        </c:ser>
        <c:ser>
          <c:idx val="1"/>
          <c:order val="1"/>
          <c:tx>
            <c:strRef>
              <c:f>'fig fysico-chemie'!$AH$3</c:f>
              <c:strCache>
                <c:ptCount val="1"/>
                <c:pt idx="0">
                  <c:v>SC-B</c:v>
                </c:pt>
              </c:strCache>
            </c:strRef>
          </c:tx>
          <c:spPr>
            <a:ln w="19050">
              <a:solidFill>
                <a:srgbClr val="00B050"/>
              </a:solidFill>
              <a:prstDash val="sysDot"/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fysico-chemie'!$AH$67:$AH$106</c:f>
              <c:numCache>
                <c:formatCode>0</c:formatCode>
                <c:ptCount val="40"/>
                <c:pt idx="0">
                  <c:v>5487.666666666667</c:v>
                </c:pt>
                <c:pt idx="1">
                  <c:v>1340</c:v>
                </c:pt>
                <c:pt idx="2">
                  <c:v>12612.5</c:v>
                </c:pt>
                <c:pt idx="3">
                  <c:v>5365.5</c:v>
                </c:pt>
                <c:pt idx="4">
                  <c:v>8348.3333333333339</c:v>
                </c:pt>
                <c:pt idx="5">
                  <c:v>12037.333333333334</c:v>
                </c:pt>
                <c:pt idx="6">
                  <c:v>17900.333333333332</c:v>
                </c:pt>
                <c:pt idx="7">
                  <c:v>23180</c:v>
                </c:pt>
                <c:pt idx="8">
                  <c:v>21674.333333333332</c:v>
                </c:pt>
                <c:pt idx="9">
                  <c:v>21688.333333333332</c:v>
                </c:pt>
                <c:pt idx="10">
                  <c:v>32578.333333333332</c:v>
                </c:pt>
                <c:pt idx="13">
                  <c:v>1749</c:v>
                </c:pt>
                <c:pt idx="14">
                  <c:v>1718</c:v>
                </c:pt>
                <c:pt idx="15">
                  <c:v>2713.3333333333335</c:v>
                </c:pt>
                <c:pt idx="16">
                  <c:v>23366.666666666668</c:v>
                </c:pt>
                <c:pt idx="17">
                  <c:v>40866.666666666664</c:v>
                </c:pt>
                <c:pt idx="18">
                  <c:v>41533.333333333336</c:v>
                </c:pt>
                <c:pt idx="19">
                  <c:v>28366.666666666668</c:v>
                </c:pt>
                <c:pt idx="20">
                  <c:v>23233.333333333332</c:v>
                </c:pt>
                <c:pt idx="21">
                  <c:v>21700</c:v>
                </c:pt>
                <c:pt idx="22">
                  <c:v>23733.333333333332</c:v>
                </c:pt>
                <c:pt idx="23">
                  <c:v>28266.666666666668</c:v>
                </c:pt>
                <c:pt idx="24">
                  <c:v>27136.666666666668</c:v>
                </c:pt>
                <c:pt idx="25">
                  <c:v>23200</c:v>
                </c:pt>
                <c:pt idx="28">
                  <c:v>2070</c:v>
                </c:pt>
                <c:pt idx="29">
                  <c:v>2063.3333333333335</c:v>
                </c:pt>
                <c:pt idx="30">
                  <c:v>37133.333333333336</c:v>
                </c:pt>
                <c:pt idx="31">
                  <c:v>9880</c:v>
                </c:pt>
                <c:pt idx="32">
                  <c:v>13300</c:v>
                </c:pt>
                <c:pt idx="33">
                  <c:v>1979.3333333333333</c:v>
                </c:pt>
                <c:pt idx="34">
                  <c:v>40033.333333333336</c:v>
                </c:pt>
                <c:pt idx="35">
                  <c:v>1898.3333333333333</c:v>
                </c:pt>
                <c:pt idx="36">
                  <c:v>29400</c:v>
                </c:pt>
                <c:pt idx="37">
                  <c:v>33600</c:v>
                </c:pt>
                <c:pt idx="38">
                  <c:v>31033.333333333332</c:v>
                </c:pt>
                <c:pt idx="39">
                  <c:v>2503.3333333333335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D-4B94-821B-B6FDB66C9926}"/>
            </c:ext>
          </c:extLst>
        </c:ser>
        <c:ser>
          <c:idx val="2"/>
          <c:order val="2"/>
          <c:tx>
            <c:strRef>
              <c:f>'fig fysico-chemie'!$AI$3</c:f>
              <c:strCache>
                <c:ptCount val="1"/>
                <c:pt idx="0">
                  <c:v>MI-O</c:v>
                </c:pt>
              </c:strCache>
            </c:strRef>
          </c:tx>
          <c:spPr>
            <a:ln w="19050">
              <a:solidFill>
                <a:srgbClr val="0066FF"/>
              </a:solidFill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fysico-chemie'!$AI$67:$AI$106</c:f>
              <c:numCache>
                <c:formatCode>0</c:formatCode>
                <c:ptCount val="40"/>
                <c:pt idx="0">
                  <c:v>1875</c:v>
                </c:pt>
                <c:pt idx="1">
                  <c:v>1342</c:v>
                </c:pt>
                <c:pt idx="2">
                  <c:v>2030</c:v>
                </c:pt>
                <c:pt idx="3">
                  <c:v>1814</c:v>
                </c:pt>
                <c:pt idx="4">
                  <c:v>2000.6666666666667</c:v>
                </c:pt>
                <c:pt idx="5">
                  <c:v>2098</c:v>
                </c:pt>
                <c:pt idx="6">
                  <c:v>2303</c:v>
                </c:pt>
                <c:pt idx="7">
                  <c:v>4814.333333333333</c:v>
                </c:pt>
                <c:pt idx="8">
                  <c:v>2671</c:v>
                </c:pt>
                <c:pt idx="9">
                  <c:v>3528.6666666666665</c:v>
                </c:pt>
                <c:pt idx="10">
                  <c:v>22562.666666666668</c:v>
                </c:pt>
                <c:pt idx="13">
                  <c:v>1749</c:v>
                </c:pt>
                <c:pt idx="14">
                  <c:v>1712.3333333333333</c:v>
                </c:pt>
                <c:pt idx="15">
                  <c:v>2273.3333333333335</c:v>
                </c:pt>
                <c:pt idx="16">
                  <c:v>22133.333333333332</c:v>
                </c:pt>
                <c:pt idx="17">
                  <c:v>36433.333333333336</c:v>
                </c:pt>
                <c:pt idx="18">
                  <c:v>28766.666666666668</c:v>
                </c:pt>
                <c:pt idx="19">
                  <c:v>16506.666666666668</c:v>
                </c:pt>
                <c:pt idx="20">
                  <c:v>18826.666666666668</c:v>
                </c:pt>
                <c:pt idx="21">
                  <c:v>7990</c:v>
                </c:pt>
                <c:pt idx="22">
                  <c:v>16763.333333333332</c:v>
                </c:pt>
                <c:pt idx="23">
                  <c:v>20200</c:v>
                </c:pt>
                <c:pt idx="24">
                  <c:v>19786.666666666668</c:v>
                </c:pt>
                <c:pt idx="25">
                  <c:v>16613.333333333332</c:v>
                </c:pt>
                <c:pt idx="28">
                  <c:v>2086.6666666666665</c:v>
                </c:pt>
                <c:pt idx="29">
                  <c:v>2276.6666666666665</c:v>
                </c:pt>
                <c:pt idx="30">
                  <c:v>22900</c:v>
                </c:pt>
                <c:pt idx="31">
                  <c:v>6750</c:v>
                </c:pt>
                <c:pt idx="32">
                  <c:v>4196.666666666667</c:v>
                </c:pt>
                <c:pt idx="33">
                  <c:v>1996</c:v>
                </c:pt>
                <c:pt idx="34">
                  <c:v>34833.333333333336</c:v>
                </c:pt>
                <c:pt idx="35">
                  <c:v>1896</c:v>
                </c:pt>
                <c:pt idx="36">
                  <c:v>12856.666666666666</c:v>
                </c:pt>
                <c:pt idx="37">
                  <c:v>27200</c:v>
                </c:pt>
                <c:pt idx="38">
                  <c:v>27800</c:v>
                </c:pt>
                <c:pt idx="39">
                  <c:v>2636.6666666666665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9D-4B94-821B-B6FDB66C9926}"/>
            </c:ext>
          </c:extLst>
        </c:ser>
        <c:ser>
          <c:idx val="3"/>
          <c:order val="3"/>
          <c:tx>
            <c:strRef>
              <c:f>'fig fysico-chemie'!$AJ$3</c:f>
              <c:strCache>
                <c:ptCount val="1"/>
                <c:pt idx="0">
                  <c:v>MI-B</c:v>
                </c:pt>
              </c:strCache>
            </c:strRef>
          </c:tx>
          <c:spPr>
            <a:ln w="19050">
              <a:solidFill>
                <a:srgbClr val="0066FF"/>
              </a:solidFill>
              <a:prstDash val="sysDot"/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fysico-chemie'!$AJ$67:$AJ$106</c:f>
              <c:numCache>
                <c:formatCode>0</c:formatCode>
                <c:ptCount val="40"/>
                <c:pt idx="0">
                  <c:v>5383.5</c:v>
                </c:pt>
                <c:pt idx="1">
                  <c:v>1347</c:v>
                </c:pt>
                <c:pt idx="2">
                  <c:v>13090</c:v>
                </c:pt>
                <c:pt idx="3">
                  <c:v>6121.5</c:v>
                </c:pt>
                <c:pt idx="4">
                  <c:v>10834</c:v>
                </c:pt>
                <c:pt idx="5">
                  <c:v>15132.333333333334</c:v>
                </c:pt>
                <c:pt idx="6">
                  <c:v>15249.666666666666</c:v>
                </c:pt>
                <c:pt idx="7">
                  <c:v>23034</c:v>
                </c:pt>
                <c:pt idx="8">
                  <c:v>23143.666666666668</c:v>
                </c:pt>
                <c:pt idx="9">
                  <c:v>23891.333333333332</c:v>
                </c:pt>
                <c:pt idx="10">
                  <c:v>32366</c:v>
                </c:pt>
                <c:pt idx="13">
                  <c:v>1749.5</c:v>
                </c:pt>
                <c:pt idx="14">
                  <c:v>1714</c:v>
                </c:pt>
                <c:pt idx="15">
                  <c:v>2380</c:v>
                </c:pt>
                <c:pt idx="16">
                  <c:v>25100</c:v>
                </c:pt>
                <c:pt idx="17">
                  <c:v>41033.333333333336</c:v>
                </c:pt>
                <c:pt idx="18">
                  <c:v>42566.666666666664</c:v>
                </c:pt>
                <c:pt idx="19">
                  <c:v>29400</c:v>
                </c:pt>
                <c:pt idx="20">
                  <c:v>22400</c:v>
                </c:pt>
                <c:pt idx="21">
                  <c:v>20116.666666666668</c:v>
                </c:pt>
                <c:pt idx="22">
                  <c:v>23966.666666666668</c:v>
                </c:pt>
                <c:pt idx="23">
                  <c:v>27300</c:v>
                </c:pt>
                <c:pt idx="24">
                  <c:v>26166.666666666668</c:v>
                </c:pt>
                <c:pt idx="25">
                  <c:v>23166.666666666668</c:v>
                </c:pt>
                <c:pt idx="28">
                  <c:v>2173.3333333333335</c:v>
                </c:pt>
                <c:pt idx="29">
                  <c:v>2290</c:v>
                </c:pt>
                <c:pt idx="30">
                  <c:v>31566.666666666668</c:v>
                </c:pt>
                <c:pt idx="31">
                  <c:v>6813.333333333333</c:v>
                </c:pt>
                <c:pt idx="32">
                  <c:v>20633.333333333332</c:v>
                </c:pt>
                <c:pt idx="33">
                  <c:v>2006</c:v>
                </c:pt>
                <c:pt idx="34">
                  <c:v>41066.666666666664</c:v>
                </c:pt>
                <c:pt idx="35">
                  <c:v>1896</c:v>
                </c:pt>
                <c:pt idx="36">
                  <c:v>27866.666666666668</c:v>
                </c:pt>
                <c:pt idx="37">
                  <c:v>39066.666666666664</c:v>
                </c:pt>
                <c:pt idx="38">
                  <c:v>33766.666666666664</c:v>
                </c:pt>
                <c:pt idx="39">
                  <c:v>2860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9D-4B94-821B-B6FDB66C9926}"/>
            </c:ext>
          </c:extLst>
        </c:ser>
        <c:ser>
          <c:idx val="4"/>
          <c:order val="4"/>
          <c:tx>
            <c:strRef>
              <c:f>'fig fysico-chemie'!$AK$3</c:f>
              <c:strCache>
                <c:ptCount val="1"/>
                <c:pt idx="0">
                  <c:v>PS-O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fysico-chemie'!$AK$67:$AK$106</c:f>
              <c:numCache>
                <c:formatCode>0</c:formatCode>
                <c:ptCount val="40"/>
                <c:pt idx="0">
                  <c:v>1861</c:v>
                </c:pt>
                <c:pt idx="1">
                  <c:v>1387.5</c:v>
                </c:pt>
                <c:pt idx="2">
                  <c:v>1867.5</c:v>
                </c:pt>
                <c:pt idx="3">
                  <c:v>1786.5</c:v>
                </c:pt>
                <c:pt idx="4">
                  <c:v>1975</c:v>
                </c:pt>
                <c:pt idx="5">
                  <c:v>2115.3333333333335</c:v>
                </c:pt>
                <c:pt idx="6">
                  <c:v>2466</c:v>
                </c:pt>
                <c:pt idx="7">
                  <c:v>2610</c:v>
                </c:pt>
                <c:pt idx="8">
                  <c:v>3159.3333333333335</c:v>
                </c:pt>
                <c:pt idx="9">
                  <c:v>4089.3333333333335</c:v>
                </c:pt>
                <c:pt idx="10">
                  <c:v>15755</c:v>
                </c:pt>
                <c:pt idx="13">
                  <c:v>1739</c:v>
                </c:pt>
                <c:pt idx="14">
                  <c:v>1687.6666666666667</c:v>
                </c:pt>
                <c:pt idx="15">
                  <c:v>2106.3333333333335</c:v>
                </c:pt>
                <c:pt idx="16">
                  <c:v>7846.666666666667</c:v>
                </c:pt>
                <c:pt idx="17">
                  <c:v>39600</c:v>
                </c:pt>
                <c:pt idx="18">
                  <c:v>28533.333333333332</c:v>
                </c:pt>
                <c:pt idx="19">
                  <c:v>18126.666666666668</c:v>
                </c:pt>
                <c:pt idx="20">
                  <c:v>17643.333333333332</c:v>
                </c:pt>
                <c:pt idx="21">
                  <c:v>7203.333333333333</c:v>
                </c:pt>
                <c:pt idx="22">
                  <c:v>14400</c:v>
                </c:pt>
                <c:pt idx="23">
                  <c:v>21166.666666666668</c:v>
                </c:pt>
                <c:pt idx="24">
                  <c:v>19546.666666666668</c:v>
                </c:pt>
                <c:pt idx="25">
                  <c:v>15880</c:v>
                </c:pt>
                <c:pt idx="28">
                  <c:v>2233.3333333333335</c:v>
                </c:pt>
                <c:pt idx="29">
                  <c:v>2490</c:v>
                </c:pt>
                <c:pt idx="30">
                  <c:v>23733.333333333332</c:v>
                </c:pt>
                <c:pt idx="31">
                  <c:v>6093.333333333333</c:v>
                </c:pt>
                <c:pt idx="32">
                  <c:v>5140</c:v>
                </c:pt>
                <c:pt idx="33">
                  <c:v>1996</c:v>
                </c:pt>
                <c:pt idx="34">
                  <c:v>35000</c:v>
                </c:pt>
                <c:pt idx="35">
                  <c:v>1913.3333333333333</c:v>
                </c:pt>
                <c:pt idx="36">
                  <c:v>12386.666666666666</c:v>
                </c:pt>
                <c:pt idx="37">
                  <c:v>31700</c:v>
                </c:pt>
                <c:pt idx="38">
                  <c:v>28666.666666666668</c:v>
                </c:pt>
                <c:pt idx="39">
                  <c:v>2606.6666666666665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9D-4B94-821B-B6FDB66C9926}"/>
            </c:ext>
          </c:extLst>
        </c:ser>
        <c:ser>
          <c:idx val="5"/>
          <c:order val="5"/>
          <c:tx>
            <c:strRef>
              <c:f>'fig fysico-chemie'!$AL$3</c:f>
              <c:strCache>
                <c:ptCount val="1"/>
                <c:pt idx="0">
                  <c:v>PS-B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fysico-chemie'!$AL$67:$AL$106</c:f>
              <c:numCache>
                <c:formatCode>0</c:formatCode>
                <c:ptCount val="40"/>
                <c:pt idx="0">
                  <c:v>1873</c:v>
                </c:pt>
                <c:pt idx="1">
                  <c:v>1348</c:v>
                </c:pt>
                <c:pt idx="2">
                  <c:v>7824.5</c:v>
                </c:pt>
                <c:pt idx="3">
                  <c:v>1933.5</c:v>
                </c:pt>
                <c:pt idx="4">
                  <c:v>9126</c:v>
                </c:pt>
                <c:pt idx="5">
                  <c:v>12249.666666666666</c:v>
                </c:pt>
                <c:pt idx="6">
                  <c:v>11644</c:v>
                </c:pt>
                <c:pt idx="7">
                  <c:v>23183.333333333332</c:v>
                </c:pt>
                <c:pt idx="8">
                  <c:v>21652</c:v>
                </c:pt>
                <c:pt idx="9">
                  <c:v>21259</c:v>
                </c:pt>
                <c:pt idx="10">
                  <c:v>30896.333333333332</c:v>
                </c:pt>
                <c:pt idx="13">
                  <c:v>1741.5</c:v>
                </c:pt>
                <c:pt idx="14">
                  <c:v>1698</c:v>
                </c:pt>
                <c:pt idx="15">
                  <c:v>2162.6666666666665</c:v>
                </c:pt>
                <c:pt idx="16">
                  <c:v>21460</c:v>
                </c:pt>
                <c:pt idx="17">
                  <c:v>41066.666666666664</c:v>
                </c:pt>
                <c:pt idx="18">
                  <c:v>42866.666666666664</c:v>
                </c:pt>
                <c:pt idx="19">
                  <c:v>29300</c:v>
                </c:pt>
                <c:pt idx="20">
                  <c:v>22116.666666666668</c:v>
                </c:pt>
                <c:pt idx="21">
                  <c:v>21666.666666666668</c:v>
                </c:pt>
                <c:pt idx="22">
                  <c:v>23466.666666666668</c:v>
                </c:pt>
                <c:pt idx="23">
                  <c:v>27366.666666666668</c:v>
                </c:pt>
                <c:pt idx="24">
                  <c:v>26433.333333333332</c:v>
                </c:pt>
                <c:pt idx="25">
                  <c:v>22843.333333333332</c:v>
                </c:pt>
                <c:pt idx="28">
                  <c:v>2273.3333333333335</c:v>
                </c:pt>
                <c:pt idx="29">
                  <c:v>2516.6666666666665</c:v>
                </c:pt>
                <c:pt idx="30">
                  <c:v>36466.666666666664</c:v>
                </c:pt>
                <c:pt idx="31">
                  <c:v>6073.333333333333</c:v>
                </c:pt>
                <c:pt idx="32">
                  <c:v>16413.333333333332</c:v>
                </c:pt>
                <c:pt idx="33">
                  <c:v>1997</c:v>
                </c:pt>
                <c:pt idx="34">
                  <c:v>41900</c:v>
                </c:pt>
                <c:pt idx="35">
                  <c:v>1914.3333333333333</c:v>
                </c:pt>
                <c:pt idx="36">
                  <c:v>29033.333333333332</c:v>
                </c:pt>
                <c:pt idx="37">
                  <c:v>38100</c:v>
                </c:pt>
                <c:pt idx="38">
                  <c:v>33866.666666666664</c:v>
                </c:pt>
                <c:pt idx="39">
                  <c:v>3096.6666666666665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9D-4B94-821B-B6FDB66C9926}"/>
            </c:ext>
          </c:extLst>
        </c:ser>
        <c:ser>
          <c:idx val="6"/>
          <c:order val="6"/>
          <c:tx>
            <c:strRef>
              <c:f>'fig fysico-chemie'!$AM$3</c:f>
              <c:strCache>
                <c:ptCount val="1"/>
                <c:pt idx="0">
                  <c:v>PO-O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fysico-chemie'!$AM$67:$AM$106</c:f>
              <c:numCache>
                <c:formatCode>General</c:formatCode>
                <c:ptCount val="40"/>
                <c:pt idx="1">
                  <c:v>1328</c:v>
                </c:pt>
                <c:pt idx="2">
                  <c:v>1624</c:v>
                </c:pt>
                <c:pt idx="3">
                  <c:v>1733</c:v>
                </c:pt>
                <c:pt idx="4">
                  <c:v>1924</c:v>
                </c:pt>
                <c:pt idx="5">
                  <c:v>2005</c:v>
                </c:pt>
                <c:pt idx="6">
                  <c:v>1919</c:v>
                </c:pt>
                <c:pt idx="7">
                  <c:v>2003</c:v>
                </c:pt>
                <c:pt idx="8">
                  <c:v>2000</c:v>
                </c:pt>
                <c:pt idx="9">
                  <c:v>2009</c:v>
                </c:pt>
                <c:pt idx="10">
                  <c:v>2139</c:v>
                </c:pt>
                <c:pt idx="13">
                  <c:v>1505</c:v>
                </c:pt>
                <c:pt idx="14">
                  <c:v>1570</c:v>
                </c:pt>
                <c:pt idx="15">
                  <c:v>1888</c:v>
                </c:pt>
                <c:pt idx="16">
                  <c:v>2250</c:v>
                </c:pt>
                <c:pt idx="17">
                  <c:v>2580</c:v>
                </c:pt>
                <c:pt idx="18">
                  <c:v>2960</c:v>
                </c:pt>
                <c:pt idx="19">
                  <c:v>3050</c:v>
                </c:pt>
                <c:pt idx="20">
                  <c:v>2840</c:v>
                </c:pt>
                <c:pt idx="21">
                  <c:v>2850</c:v>
                </c:pt>
                <c:pt idx="22">
                  <c:v>2780</c:v>
                </c:pt>
                <c:pt idx="23">
                  <c:v>2710</c:v>
                </c:pt>
                <c:pt idx="24">
                  <c:v>2780</c:v>
                </c:pt>
                <c:pt idx="25">
                  <c:v>2850</c:v>
                </c:pt>
                <c:pt idx="30">
                  <c:v>1846</c:v>
                </c:pt>
                <c:pt idx="31">
                  <c:v>2080</c:v>
                </c:pt>
                <c:pt idx="32">
                  <c:v>2020</c:v>
                </c:pt>
                <c:pt idx="33">
                  <c:v>1932</c:v>
                </c:pt>
                <c:pt idx="34">
                  <c:v>2050</c:v>
                </c:pt>
                <c:pt idx="35">
                  <c:v>1937</c:v>
                </c:pt>
                <c:pt idx="36">
                  <c:v>1792</c:v>
                </c:pt>
                <c:pt idx="38">
                  <c:v>2080</c:v>
                </c:pt>
                <c:pt idx="39">
                  <c:v>2010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9D-4B94-821B-B6FDB66C9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6464"/>
        <c:axId val="145328000"/>
      </c:lineChart>
      <c:catAx>
        <c:axId val="145326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328000"/>
        <c:crosses val="autoZero"/>
        <c:auto val="0"/>
        <c:lblAlgn val="ctr"/>
        <c:lblOffset val="100"/>
        <c:noMultiLvlLbl val="0"/>
      </c:catAx>
      <c:valAx>
        <c:axId val="145328000"/>
        <c:scaling>
          <c:orientation val="minMax"/>
          <c:max val="4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Conductance (µS/cm)</a:t>
                </a:r>
              </a:p>
            </c:rich>
          </c:tx>
          <c:layout>
            <c:manualLayout>
              <c:xMode val="edge"/>
              <c:yMode val="edge"/>
              <c:x val="1.5412672933440674E-2"/>
              <c:y val="0.22874958053038436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326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502350449824359"/>
          <c:y val="2.1423873056821512E-2"/>
          <c:w val="0.17204199475065618"/>
          <c:h val="0.34109835644364034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61415007819543"/>
          <c:y val="2.5401086675460625E-2"/>
          <c:w val="0.82922123389850944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fysico-chemie'!$BA$3</c:f>
              <c:strCache>
                <c:ptCount val="1"/>
                <c:pt idx="0">
                  <c:v>surface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fysico-chemie'!$BA$67:$BA$106</c:f>
              <c:numCache>
                <c:formatCode>0</c:formatCode>
                <c:ptCount val="40"/>
                <c:pt idx="0">
                  <c:v>1953.4285714285713</c:v>
                </c:pt>
                <c:pt idx="1">
                  <c:v>1353</c:v>
                </c:pt>
                <c:pt idx="2">
                  <c:v>1980</c:v>
                </c:pt>
                <c:pt idx="3">
                  <c:v>1795.6666666666667</c:v>
                </c:pt>
                <c:pt idx="4">
                  <c:v>1967.8888888888889</c:v>
                </c:pt>
                <c:pt idx="5">
                  <c:v>2099.7777777777778</c:v>
                </c:pt>
                <c:pt idx="6">
                  <c:v>2327.3333333333335</c:v>
                </c:pt>
                <c:pt idx="7">
                  <c:v>4559.2222222222226</c:v>
                </c:pt>
                <c:pt idx="8">
                  <c:v>2706.8888888888887</c:v>
                </c:pt>
                <c:pt idx="9">
                  <c:v>3517.8888888888887</c:v>
                </c:pt>
                <c:pt idx="10">
                  <c:v>21135.333333333332</c:v>
                </c:pt>
                <c:pt idx="13">
                  <c:v>1744.5</c:v>
                </c:pt>
                <c:pt idx="14">
                  <c:v>1705.2222222222222</c:v>
                </c:pt>
                <c:pt idx="15">
                  <c:v>2321</c:v>
                </c:pt>
                <c:pt idx="16">
                  <c:v>15533.333333333334</c:v>
                </c:pt>
                <c:pt idx="17">
                  <c:v>36111.111111111109</c:v>
                </c:pt>
                <c:pt idx="18">
                  <c:v>28933.333333333332</c:v>
                </c:pt>
                <c:pt idx="19">
                  <c:v>16415.555555555555</c:v>
                </c:pt>
                <c:pt idx="20">
                  <c:v>18465.555555555555</c:v>
                </c:pt>
                <c:pt idx="21">
                  <c:v>8415.5555555555547</c:v>
                </c:pt>
                <c:pt idx="22">
                  <c:v>16206.666666666666</c:v>
                </c:pt>
                <c:pt idx="23">
                  <c:v>20162.222222222223</c:v>
                </c:pt>
                <c:pt idx="24">
                  <c:v>19635.555555555555</c:v>
                </c:pt>
                <c:pt idx="25">
                  <c:v>16590</c:v>
                </c:pt>
                <c:pt idx="28">
                  <c:v>2121.1111111111113</c:v>
                </c:pt>
                <c:pt idx="29">
                  <c:v>2249.5555555555557</c:v>
                </c:pt>
                <c:pt idx="30">
                  <c:v>24866.666666666668</c:v>
                </c:pt>
                <c:pt idx="31">
                  <c:v>7038.8888888888887</c:v>
                </c:pt>
                <c:pt idx="32">
                  <c:v>4098.8888888888887</c:v>
                </c:pt>
                <c:pt idx="33">
                  <c:v>1990.8888888888889</c:v>
                </c:pt>
                <c:pt idx="34">
                  <c:v>33611.111111111109</c:v>
                </c:pt>
                <c:pt idx="35">
                  <c:v>1904.8888888888889</c:v>
                </c:pt>
                <c:pt idx="36">
                  <c:v>13707.777777777777</c:v>
                </c:pt>
                <c:pt idx="37">
                  <c:v>26237.777777777777</c:v>
                </c:pt>
                <c:pt idx="38">
                  <c:v>27066.666666666668</c:v>
                </c:pt>
                <c:pt idx="39">
                  <c:v>2541.1111111111113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2-4724-AC37-37832BB66F30}"/>
            </c:ext>
          </c:extLst>
        </c:ser>
        <c:ser>
          <c:idx val="1"/>
          <c:order val="1"/>
          <c:tx>
            <c:strRef>
              <c:f>'fig fysico-chemie'!$BB$3</c:f>
              <c:strCache>
                <c:ptCount val="1"/>
                <c:pt idx="0">
                  <c:v>bottom</c:v>
                </c:pt>
              </c:strCache>
            </c:strRef>
          </c:tx>
          <c:spPr>
            <a:ln w="1905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fysico-chemie'!$BB$67:$BB$106</c:f>
              <c:numCache>
                <c:formatCode>0</c:formatCode>
                <c:ptCount val="40"/>
                <c:pt idx="0">
                  <c:v>4425.1428571428569</c:v>
                </c:pt>
                <c:pt idx="1">
                  <c:v>1344.2857142857142</c:v>
                </c:pt>
                <c:pt idx="2">
                  <c:v>11175.666666666666</c:v>
                </c:pt>
                <c:pt idx="3">
                  <c:v>4473.5</c:v>
                </c:pt>
                <c:pt idx="4">
                  <c:v>9436.1111111111113</c:v>
                </c:pt>
                <c:pt idx="5">
                  <c:v>13139.777777777777</c:v>
                </c:pt>
                <c:pt idx="6">
                  <c:v>14931.333333333334</c:v>
                </c:pt>
                <c:pt idx="7">
                  <c:v>23132.444444444445</c:v>
                </c:pt>
                <c:pt idx="8">
                  <c:v>22156.666666666668</c:v>
                </c:pt>
                <c:pt idx="9">
                  <c:v>22279.555555555555</c:v>
                </c:pt>
                <c:pt idx="10">
                  <c:v>31946.888888888891</c:v>
                </c:pt>
                <c:pt idx="13">
                  <c:v>1746.6666666666667</c:v>
                </c:pt>
                <c:pt idx="14">
                  <c:v>1710</c:v>
                </c:pt>
                <c:pt idx="15">
                  <c:v>2418.6666666666665</c:v>
                </c:pt>
                <c:pt idx="16">
                  <c:v>23308.888888888891</c:v>
                </c:pt>
                <c:pt idx="17">
                  <c:v>40988.888888888891</c:v>
                </c:pt>
                <c:pt idx="18">
                  <c:v>42322.222222222219</c:v>
                </c:pt>
                <c:pt idx="19">
                  <c:v>29022.222222222223</c:v>
                </c:pt>
                <c:pt idx="20">
                  <c:v>22583.333333333332</c:v>
                </c:pt>
                <c:pt idx="21">
                  <c:v>21161.111111111109</c:v>
                </c:pt>
                <c:pt idx="22">
                  <c:v>23722.222222222223</c:v>
                </c:pt>
                <c:pt idx="23">
                  <c:v>27644.444444444445</c:v>
                </c:pt>
                <c:pt idx="24">
                  <c:v>26578.888888888891</c:v>
                </c:pt>
                <c:pt idx="25">
                  <c:v>23070</c:v>
                </c:pt>
                <c:pt idx="28">
                  <c:v>2172.2222222222222</c:v>
                </c:pt>
                <c:pt idx="29">
                  <c:v>2290</c:v>
                </c:pt>
                <c:pt idx="30">
                  <c:v>35055.555555555555</c:v>
                </c:pt>
                <c:pt idx="31">
                  <c:v>7588.8888888888887</c:v>
                </c:pt>
                <c:pt idx="32">
                  <c:v>16782.222222222223</c:v>
                </c:pt>
                <c:pt idx="33">
                  <c:v>1994.1111111111111</c:v>
                </c:pt>
                <c:pt idx="34">
                  <c:v>41000</c:v>
                </c:pt>
                <c:pt idx="35">
                  <c:v>1902.8888888888889</c:v>
                </c:pt>
                <c:pt idx="36">
                  <c:v>28766.666666666668</c:v>
                </c:pt>
                <c:pt idx="37">
                  <c:v>36922.222222222219</c:v>
                </c:pt>
                <c:pt idx="38">
                  <c:v>32888.888888888891</c:v>
                </c:pt>
                <c:pt idx="39">
                  <c:v>2820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2-4724-AC37-37832BB66F30}"/>
            </c:ext>
          </c:extLst>
        </c:ser>
        <c:ser>
          <c:idx val="2"/>
          <c:order val="2"/>
          <c:tx>
            <c:strRef>
              <c:f>'fig fysico-chemie'!$BC$3</c:f>
              <c:strCache>
                <c:ptCount val="1"/>
                <c:pt idx="0">
                  <c:v>polder</c:v>
                </c:pt>
              </c:strCache>
            </c:strRef>
          </c:tx>
          <c:spPr>
            <a:ln w="19050"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fysico-chemie'!$BC$67:$BC$106</c:f>
              <c:numCache>
                <c:formatCode>General</c:formatCode>
                <c:ptCount val="40"/>
                <c:pt idx="1">
                  <c:v>1328</c:v>
                </c:pt>
                <c:pt idx="2">
                  <c:v>1624</c:v>
                </c:pt>
                <c:pt idx="3">
                  <c:v>1733</c:v>
                </c:pt>
                <c:pt idx="4">
                  <c:v>1924</c:v>
                </c:pt>
                <c:pt idx="5">
                  <c:v>2005</c:v>
                </c:pt>
                <c:pt idx="6">
                  <c:v>1919</c:v>
                </c:pt>
                <c:pt idx="7">
                  <c:v>2003</c:v>
                </c:pt>
                <c:pt idx="8">
                  <c:v>2000</c:v>
                </c:pt>
                <c:pt idx="9">
                  <c:v>2009</c:v>
                </c:pt>
                <c:pt idx="10">
                  <c:v>2139</c:v>
                </c:pt>
                <c:pt idx="13">
                  <c:v>1505</c:v>
                </c:pt>
                <c:pt idx="14">
                  <c:v>1570</c:v>
                </c:pt>
                <c:pt idx="15">
                  <c:v>1888</c:v>
                </c:pt>
                <c:pt idx="16">
                  <c:v>2250</c:v>
                </c:pt>
                <c:pt idx="17">
                  <c:v>2580</c:v>
                </c:pt>
                <c:pt idx="18">
                  <c:v>2960</c:v>
                </c:pt>
                <c:pt idx="19">
                  <c:v>3050</c:v>
                </c:pt>
                <c:pt idx="20">
                  <c:v>2840</c:v>
                </c:pt>
                <c:pt idx="21">
                  <c:v>2850</c:v>
                </c:pt>
                <c:pt idx="22">
                  <c:v>2780</c:v>
                </c:pt>
                <c:pt idx="23">
                  <c:v>2710</c:v>
                </c:pt>
                <c:pt idx="24">
                  <c:v>2780</c:v>
                </c:pt>
                <c:pt idx="25">
                  <c:v>2850</c:v>
                </c:pt>
                <c:pt idx="30">
                  <c:v>1846</c:v>
                </c:pt>
                <c:pt idx="31">
                  <c:v>2080</c:v>
                </c:pt>
                <c:pt idx="32">
                  <c:v>2020</c:v>
                </c:pt>
                <c:pt idx="33">
                  <c:v>1932</c:v>
                </c:pt>
                <c:pt idx="34">
                  <c:v>2050</c:v>
                </c:pt>
                <c:pt idx="35">
                  <c:v>1937</c:v>
                </c:pt>
                <c:pt idx="36">
                  <c:v>1792</c:v>
                </c:pt>
                <c:pt idx="38">
                  <c:v>2080</c:v>
                </c:pt>
                <c:pt idx="39">
                  <c:v>2010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E2-4724-AC37-37832BB6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45536"/>
        <c:axId val="145355520"/>
      </c:lineChart>
      <c:catAx>
        <c:axId val="145345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355520"/>
        <c:crosses val="autoZero"/>
        <c:auto val="0"/>
        <c:lblAlgn val="ctr"/>
        <c:lblOffset val="100"/>
        <c:noMultiLvlLbl val="0"/>
      </c:catAx>
      <c:valAx>
        <c:axId val="145355520"/>
        <c:scaling>
          <c:orientation val="minMax"/>
          <c:max val="45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Conductance (µS/cm)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2183464610143778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34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502350449824359"/>
          <c:y val="3.1826992572827978E-2"/>
          <c:w val="0.17204199475065618"/>
          <c:h val="0.18851927020887879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2483409890468"/>
          <c:y val="2.5401086675460625E-2"/>
          <c:w val="0.87168595093855805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fysico-chemie'!$BA$3</c:f>
              <c:strCache>
                <c:ptCount val="1"/>
                <c:pt idx="0">
                  <c:v>surface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fysico-chemie'!$BA$110:$BA$149</c:f>
              <c:numCache>
                <c:formatCode>0.0</c:formatCode>
                <c:ptCount val="40"/>
                <c:pt idx="0">
                  <c:v>0.99249509289144555</c:v>
                </c:pt>
                <c:pt idx="1">
                  <c:v>0.67552693723580359</c:v>
                </c:pt>
                <c:pt idx="2">
                  <c:v>1.0064077372598448</c:v>
                </c:pt>
                <c:pt idx="3">
                  <c:v>0.90824937723188526</c:v>
                </c:pt>
                <c:pt idx="4">
                  <c:v>0.99986537468039516</c:v>
                </c:pt>
                <c:pt idx="5">
                  <c:v>1.0703605557489837</c:v>
                </c:pt>
                <c:pt idx="6">
                  <c:v>1.1928289010306787</c:v>
                </c:pt>
                <c:pt idx="7">
                  <c:v>2.440715169781341</c:v>
                </c:pt>
                <c:pt idx="8">
                  <c:v>1.3995141876522696</c:v>
                </c:pt>
                <c:pt idx="9">
                  <c:v>1.8476310006917354</c:v>
                </c:pt>
                <c:pt idx="10">
                  <c:v>12.68848417290045</c:v>
                </c:pt>
                <c:pt idx="13">
                  <c:v>0.88114012221097315</c:v>
                </c:pt>
                <c:pt idx="14">
                  <c:v>0.86036715224295801</c:v>
                </c:pt>
                <c:pt idx="15">
                  <c:v>1.1897041116930778</c:v>
                </c:pt>
                <c:pt idx="16">
                  <c:v>9.1497830303283489</c:v>
                </c:pt>
                <c:pt idx="17">
                  <c:v>22.799067583701444</c:v>
                </c:pt>
                <c:pt idx="18">
                  <c:v>17.847919071858584</c:v>
                </c:pt>
                <c:pt idx="19">
                  <c:v>9.6189055636719516</c:v>
                </c:pt>
                <c:pt idx="20">
                  <c:v>10.925708708179243</c:v>
                </c:pt>
                <c:pt idx="21">
                  <c:v>4.6801595133041385</c:v>
                </c:pt>
                <c:pt idx="22">
                  <c:v>9.4846952683564858</c:v>
                </c:pt>
                <c:pt idx="23">
                  <c:v>12.023423787127182</c:v>
                </c:pt>
                <c:pt idx="24">
                  <c:v>11.680246824583511</c:v>
                </c:pt>
                <c:pt idx="25">
                  <c:v>9.7254414655065009</c:v>
                </c:pt>
                <c:pt idx="28">
                  <c:v>1.0818588977937766</c:v>
                </c:pt>
                <c:pt idx="29">
                  <c:v>1.1511478445555474</c:v>
                </c:pt>
                <c:pt idx="30">
                  <c:v>15.125536521565948</c:v>
                </c:pt>
                <c:pt idx="31">
                  <c:v>3.8641531281192312</c:v>
                </c:pt>
                <c:pt idx="32">
                  <c:v>2.1741179144175007</c:v>
                </c:pt>
                <c:pt idx="33">
                  <c:v>1.0121236527130875</c:v>
                </c:pt>
                <c:pt idx="34">
                  <c:v>21.066178734036153</c:v>
                </c:pt>
                <c:pt idx="35">
                  <c:v>0.96628157235312051</c:v>
                </c:pt>
                <c:pt idx="36">
                  <c:v>7.9336133139658962</c:v>
                </c:pt>
                <c:pt idx="37">
                  <c:v>16.069076296390861</c:v>
                </c:pt>
                <c:pt idx="38">
                  <c:v>16.591856718975375</c:v>
                </c:pt>
                <c:pt idx="39">
                  <c:v>1.3085095176363919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B-4E01-9A3A-59B1DA98AE6F}"/>
            </c:ext>
          </c:extLst>
        </c:ser>
        <c:ser>
          <c:idx val="1"/>
          <c:order val="1"/>
          <c:tx>
            <c:strRef>
              <c:f>'fig fysico-chemie'!$BB$3</c:f>
              <c:strCache>
                <c:ptCount val="1"/>
                <c:pt idx="0">
                  <c:v>bottom</c:v>
                </c:pt>
              </c:strCache>
            </c:strRef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fysico-chemie'!$BB$110:$BB$149</c:f>
              <c:numCache>
                <c:formatCode>0.0</c:formatCode>
                <c:ptCount val="40"/>
                <c:pt idx="0">
                  <c:v>2.4265237371110966</c:v>
                </c:pt>
                <c:pt idx="1">
                  <c:v>0.67097272892996662</c:v>
                </c:pt>
                <c:pt idx="2">
                  <c:v>6.3721912007234485</c:v>
                </c:pt>
                <c:pt idx="3">
                  <c:v>2.4180773501076218</c:v>
                </c:pt>
                <c:pt idx="4">
                  <c:v>5.3113447670059193</c:v>
                </c:pt>
                <c:pt idx="5">
                  <c:v>7.6345389190963324</c:v>
                </c:pt>
                <c:pt idx="6">
                  <c:v>8.8478718465977746</c:v>
                </c:pt>
                <c:pt idx="7">
                  <c:v>13.980104329374059</c:v>
                </c:pt>
                <c:pt idx="8">
                  <c:v>13.345393428289311</c:v>
                </c:pt>
                <c:pt idx="9">
                  <c:v>13.417863005160427</c:v>
                </c:pt>
                <c:pt idx="10">
                  <c:v>19.904503343280808</c:v>
                </c:pt>
                <c:pt idx="13">
                  <c:v>0.88228678951821149</c:v>
                </c:pt>
                <c:pt idx="14">
                  <c:v>0.86289167864109495</c:v>
                </c:pt>
                <c:pt idx="15">
                  <c:v>1.2425216258919631</c:v>
                </c:pt>
                <c:pt idx="16">
                  <c:v>14.106526586043451</c:v>
                </c:pt>
                <c:pt idx="17">
                  <c:v>26.224342487477212</c:v>
                </c:pt>
                <c:pt idx="18">
                  <c:v>27.175092670339513</c:v>
                </c:pt>
                <c:pt idx="19">
                  <c:v>17.909009654131765</c:v>
                </c:pt>
                <c:pt idx="20">
                  <c:v>13.606977129252916</c:v>
                </c:pt>
                <c:pt idx="21">
                  <c:v>12.674514899356721</c:v>
                </c:pt>
                <c:pt idx="22">
                  <c:v>14.356813771855984</c:v>
                </c:pt>
                <c:pt idx="23">
                  <c:v>16.977314817305619</c:v>
                </c:pt>
                <c:pt idx="24">
                  <c:v>16.260431202638543</c:v>
                </c:pt>
                <c:pt idx="25">
                  <c:v>13.925850621687706</c:v>
                </c:pt>
                <c:pt idx="28">
                  <c:v>1.1092816566439849</c:v>
                </c:pt>
                <c:pt idx="29">
                  <c:v>1.1728423229031888</c:v>
                </c:pt>
                <c:pt idx="30">
                  <c:v>22.0607752802227</c:v>
                </c:pt>
                <c:pt idx="31">
                  <c:v>4.1936298459530397</c:v>
                </c:pt>
                <c:pt idx="32">
                  <c:v>9.900538626606</c:v>
                </c:pt>
                <c:pt idx="33">
                  <c:v>1.0138445329823929</c:v>
                </c:pt>
                <c:pt idx="34">
                  <c:v>26.235600948999522</c:v>
                </c:pt>
                <c:pt idx="35">
                  <c:v>0.96522110875954636</c:v>
                </c:pt>
                <c:pt idx="36">
                  <c:v>17.735579821336085</c:v>
                </c:pt>
                <c:pt idx="37">
                  <c:v>23.395713983040963</c:v>
                </c:pt>
                <c:pt idx="38">
                  <c:v>20.562109985094949</c:v>
                </c:pt>
                <c:pt idx="39">
                  <c:v>1.4607975456086155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B-4E01-9A3A-59B1DA98AE6F}"/>
            </c:ext>
          </c:extLst>
        </c:ser>
        <c:ser>
          <c:idx val="2"/>
          <c:order val="2"/>
          <c:tx>
            <c:strRef>
              <c:f>'fig fysico-chemie'!$BC$3</c:f>
              <c:strCache>
                <c:ptCount val="1"/>
                <c:pt idx="0">
                  <c:v>polder</c:v>
                </c:pt>
              </c:strCache>
            </c:strRef>
          </c:tx>
          <c:spPr>
            <a:ln w="2540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'fig fysico-chemie'!$AF$67:$AF$106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fysico-chemie'!$BC$110:$BC$149</c:f>
              <c:numCache>
                <c:formatCode>0.000</c:formatCode>
                <c:ptCount val="40"/>
                <c:pt idx="1">
                  <c:v>0.66249535451895769</c:v>
                </c:pt>
                <c:pt idx="2">
                  <c:v>0.8175043703654683</c:v>
                </c:pt>
                <c:pt idx="3">
                  <c:v>0.87505420543716406</c:v>
                </c:pt>
                <c:pt idx="4">
                  <c:v>0.9764535002713125</c:v>
                </c:pt>
                <c:pt idx="5">
                  <c:v>1.0196578331437121</c:v>
                </c:pt>
                <c:pt idx="6">
                  <c:v>0.97379042280449146</c:v>
                </c:pt>
                <c:pt idx="7">
                  <c:v>1.0185896573579709</c:v>
                </c:pt>
                <c:pt idx="8">
                  <c:v>1.0169875255320771</c:v>
                </c:pt>
                <c:pt idx="9">
                  <c:v>1.0217943954452047</c:v>
                </c:pt>
                <c:pt idx="10">
                  <c:v>1.0913831332641577</c:v>
                </c:pt>
                <c:pt idx="13">
                  <c:v>0.7549544164498404</c:v>
                </c:pt>
                <c:pt idx="14">
                  <c:v>0.78908324197627078</c:v>
                </c:pt>
                <c:pt idx="15">
                  <c:v>0.95728950315116212</c:v>
                </c:pt>
                <c:pt idx="16">
                  <c:v>1.1510257337864527</c:v>
                </c:pt>
                <c:pt idx="17">
                  <c:v>1.3294893119867819</c:v>
                </c:pt>
                <c:pt idx="18">
                  <c:v>1.5369561142575985</c:v>
                </c:pt>
                <c:pt idx="19">
                  <c:v>1.5863793426591211</c:v>
                </c:pt>
                <c:pt idx="20">
                  <c:v>1.4712253099619421</c:v>
                </c:pt>
                <c:pt idx="21">
                  <c:v>1.4766954736152649</c:v>
                </c:pt>
                <c:pt idx="22">
                  <c:v>1.4384330286124396</c:v>
                </c:pt>
                <c:pt idx="23">
                  <c:v>1.4002383107789633</c:v>
                </c:pt>
                <c:pt idx="24">
                  <c:v>1.4384330286124396</c:v>
                </c:pt>
                <c:pt idx="25">
                  <c:v>1.4766954736152649</c:v>
                </c:pt>
                <c:pt idx="30">
                  <c:v>0.93496162067929789</c:v>
                </c:pt>
                <c:pt idx="31">
                  <c:v>1.0597646951237396</c:v>
                </c:pt>
                <c:pt idx="32">
                  <c:v>1.0276713875138204</c:v>
                </c:pt>
                <c:pt idx="33">
                  <c:v>0.98071536569515305</c:v>
                </c:pt>
                <c:pt idx="34">
                  <c:v>1.0437102658869726</c:v>
                </c:pt>
                <c:pt idx="35">
                  <c:v>0.98337961864536227</c:v>
                </c:pt>
                <c:pt idx="36">
                  <c:v>0.90630284601769129</c:v>
                </c:pt>
                <c:pt idx="37">
                  <c:v>0.98284673198421524</c:v>
                </c:pt>
                <c:pt idx="38">
                  <c:v>1.0597646951237396</c:v>
                </c:pt>
                <c:pt idx="39">
                  <c:v>1.0223285798847783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B-4E01-9A3A-59B1DA98A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59456"/>
        <c:axId val="145465344"/>
      </c:lineChart>
      <c:catAx>
        <c:axId val="145459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465344"/>
        <c:crosses val="autoZero"/>
        <c:auto val="0"/>
        <c:lblAlgn val="ctr"/>
        <c:lblOffset val="100"/>
        <c:noMultiLvlLbl val="0"/>
      </c:catAx>
      <c:valAx>
        <c:axId val="145465344"/>
        <c:scaling>
          <c:orientation val="minMax"/>
          <c:max val="3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Salinity (PSU)</a:t>
                </a:r>
              </a:p>
            </c:rich>
          </c:tx>
          <c:layout>
            <c:manualLayout>
              <c:xMode val="edge"/>
              <c:yMode val="edge"/>
              <c:x val="7.0901768661477231E-3"/>
              <c:y val="0.2958452108100131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459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502350449824359"/>
          <c:y val="3.1826992572827978E-2"/>
          <c:w val="0.17204199475065618"/>
          <c:h val="0.18851927020887879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20124352508167"/>
          <c:y val="2.5401086675460625E-2"/>
          <c:w val="0.87083371423497424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fysico-chemie'!$AG$3</c:f>
              <c:strCache>
                <c:ptCount val="1"/>
                <c:pt idx="0">
                  <c:v>SC-O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'fig fysico-chemie'!$AF$110:$AF$149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fysico-chemie'!$AG$110:$AG$149</c:f>
              <c:numCache>
                <c:formatCode>0.00</c:formatCode>
                <c:ptCount val="40"/>
                <c:pt idx="0">
                  <c:v>1.0536169127870589</c:v>
                </c:pt>
                <c:pt idx="1">
                  <c:v>0.66327652430496098</c:v>
                </c:pt>
                <c:pt idx="2">
                  <c:v>1.0397318495082915</c:v>
                </c:pt>
                <c:pt idx="3">
                  <c:v>0.90338901387969583</c:v>
                </c:pt>
                <c:pt idx="4">
                  <c:v>0.97860954727429761</c:v>
                </c:pt>
                <c:pt idx="5">
                  <c:v>1.0629780459673193</c:v>
                </c:pt>
                <c:pt idx="6">
                  <c:v>1.1311227621257274</c:v>
                </c:pt>
                <c:pt idx="7">
                  <c:v>3.4020492647893636</c:v>
                </c:pt>
                <c:pt idx="8">
                  <c:v>1.1727478736476027</c:v>
                </c:pt>
                <c:pt idx="9">
                  <c:v>1.5236119904552705</c:v>
                </c:pt>
                <c:pt idx="10">
                  <c:v>15.265038572109953</c:v>
                </c:pt>
                <c:pt idx="13">
                  <c:v>0.88166934019148813</c:v>
                </c:pt>
                <c:pt idx="14">
                  <c:v>0.8658868354886885</c:v>
                </c:pt>
                <c:pt idx="15">
                  <c:v>1.3313150805359169</c:v>
                </c:pt>
                <c:pt idx="16">
                  <c:v>9.7503703571402429</c:v>
                </c:pt>
                <c:pt idx="17">
                  <c:v>20.146213985778335</c:v>
                </c:pt>
                <c:pt idx="18">
                  <c:v>18.232178785623034</c:v>
                </c:pt>
                <c:pt idx="19">
                  <c:v>8.4749966698304551</c:v>
                </c:pt>
                <c:pt idx="20">
                  <c:v>11.22191071211617</c:v>
                </c:pt>
                <c:pt idx="21">
                  <c:v>5.6606322928371879</c:v>
                </c:pt>
                <c:pt idx="22">
                  <c:v>10.277514972215288</c:v>
                </c:pt>
                <c:pt idx="23">
                  <c:v>11.346693898105023</c:v>
                </c:pt>
                <c:pt idx="24">
                  <c:v>11.639883257517242</c:v>
                </c:pt>
                <c:pt idx="25">
                  <c:v>10.162988630570075</c:v>
                </c:pt>
                <c:pt idx="28">
                  <c:v>1.1420652938742724</c:v>
                </c:pt>
                <c:pt idx="29">
                  <c:v>1.2806591887519756</c:v>
                </c:pt>
                <c:pt idx="30">
                  <c:v>14.367437731073052</c:v>
                </c:pt>
                <c:pt idx="31">
                  <c:v>3.3090142026935925</c:v>
                </c:pt>
                <c:pt idx="32">
                  <c:v>2.7607623610072873</c:v>
                </c:pt>
                <c:pt idx="33">
                  <c:v>1.0148516020381464</c:v>
                </c:pt>
                <c:pt idx="34">
                  <c:v>22.034798564967428</c:v>
                </c:pt>
                <c:pt idx="35">
                  <c:v>0.97077376456212949</c:v>
                </c:pt>
                <c:pt idx="36">
                  <c:v>7.135868727840422</c:v>
                </c:pt>
                <c:pt idx="37">
                  <c:v>19.734263979422071</c:v>
                </c:pt>
                <c:pt idx="38">
                  <c:v>17.666944124466493</c:v>
                </c:pt>
                <c:pt idx="39">
                  <c:v>1.3439900148233548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0-41DF-81B8-E9C47272A1AD}"/>
            </c:ext>
          </c:extLst>
        </c:ser>
        <c:ser>
          <c:idx val="1"/>
          <c:order val="1"/>
          <c:tx>
            <c:strRef>
              <c:f>'fig fysico-chemie'!$AH$3</c:f>
              <c:strCache>
                <c:ptCount val="1"/>
                <c:pt idx="0">
                  <c:v>SC-B</c:v>
                </c:pt>
              </c:strCache>
            </c:strRef>
          </c:tx>
          <c:spPr>
            <a:ln w="19050">
              <a:solidFill>
                <a:srgbClr val="00B050"/>
              </a:solidFill>
              <a:prstDash val="sysDot"/>
            </a:ln>
          </c:spPr>
          <c:marker>
            <c:symbol val="none"/>
          </c:marker>
          <c:cat>
            <c:numRef>
              <c:f>'fig fysico-chemie'!$AF$110:$AF$149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fysico-chemie'!$AH$110:$AH$149</c:f>
              <c:numCache>
                <c:formatCode>0.00</c:formatCode>
                <c:ptCount val="40"/>
                <c:pt idx="0">
                  <c:v>3.0631298072203861</c:v>
                </c:pt>
                <c:pt idx="1">
                  <c:v>0.66874103956000719</c:v>
                </c:pt>
                <c:pt idx="2">
                  <c:v>7.2568940096089909</c:v>
                </c:pt>
                <c:pt idx="3">
                  <c:v>2.8935257589249419</c:v>
                </c:pt>
                <c:pt idx="4">
                  <c:v>4.6950433616002538</c:v>
                </c:pt>
                <c:pt idx="5">
                  <c:v>6.9779098862384359</c:v>
                </c:pt>
                <c:pt idx="6">
                  <c:v>10.668033858480449</c:v>
                </c:pt>
                <c:pt idx="7">
                  <c:v>14.023197993898586</c:v>
                </c:pt>
                <c:pt idx="8">
                  <c:v>13.060896849866134</c:v>
                </c:pt>
                <c:pt idx="9">
                  <c:v>13.041219673743518</c:v>
                </c:pt>
                <c:pt idx="10">
                  <c:v>20.338000366995193</c:v>
                </c:pt>
                <c:pt idx="13">
                  <c:v>0.88352190257202901</c:v>
                </c:pt>
                <c:pt idx="14">
                  <c:v>0.86712043871931188</c:v>
                </c:pt>
                <c:pt idx="15">
                  <c:v>1.4021202992044959</c:v>
                </c:pt>
                <c:pt idx="16">
                  <c:v>14.121526405378534</c:v>
                </c:pt>
                <c:pt idx="17">
                  <c:v>26.137636035477954</c:v>
                </c:pt>
                <c:pt idx="18">
                  <c:v>26.611749129821192</c:v>
                </c:pt>
                <c:pt idx="19">
                  <c:v>17.464954742243521</c:v>
                </c:pt>
                <c:pt idx="20">
                  <c:v>14.033696990659251</c:v>
                </c:pt>
                <c:pt idx="21">
                  <c:v>13.026213287521839</c:v>
                </c:pt>
                <c:pt idx="22">
                  <c:v>14.363863578008806</c:v>
                </c:pt>
                <c:pt idx="23">
                  <c:v>17.396693663269033</c:v>
                </c:pt>
                <c:pt idx="24">
                  <c:v>16.634886721192441</c:v>
                </c:pt>
                <c:pt idx="25">
                  <c:v>14.01153612632209</c:v>
                </c:pt>
                <c:pt idx="28">
                  <c:v>1.1636006912495456</c:v>
                </c:pt>
                <c:pt idx="29">
                  <c:v>1.2951132908001435</c:v>
                </c:pt>
                <c:pt idx="30">
                  <c:v>23.036559323445527</c:v>
                </c:pt>
                <c:pt idx="31">
                  <c:v>3.2974152022272034</c:v>
                </c:pt>
                <c:pt idx="32">
                  <c:v>9.6295632566823954</c:v>
                </c:pt>
                <c:pt idx="33">
                  <c:v>1.0153855755759589</c:v>
                </c:pt>
                <c:pt idx="34">
                  <c:v>26.873101158948533</c:v>
                </c:pt>
                <c:pt idx="35">
                  <c:v>0.97130564676291653</c:v>
                </c:pt>
                <c:pt idx="36">
                  <c:v>17.915616842107688</c:v>
                </c:pt>
                <c:pt idx="37">
                  <c:v>24.183940128880067</c:v>
                </c:pt>
                <c:pt idx="38">
                  <c:v>21.226939139327033</c:v>
                </c:pt>
                <c:pt idx="39">
                  <c:v>1.6123036229908889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0-41DF-81B8-E9C47272A1AD}"/>
            </c:ext>
          </c:extLst>
        </c:ser>
        <c:ser>
          <c:idx val="2"/>
          <c:order val="2"/>
          <c:tx>
            <c:strRef>
              <c:f>'fig fysico-chemie'!$AI$3</c:f>
              <c:strCache>
                <c:ptCount val="1"/>
                <c:pt idx="0">
                  <c:v>MI-O</c:v>
                </c:pt>
              </c:strCache>
            </c:strRef>
          </c:tx>
          <c:spPr>
            <a:ln w="19050">
              <a:solidFill>
                <a:srgbClr val="0066FF"/>
              </a:solidFill>
            </a:ln>
          </c:spPr>
          <c:marker>
            <c:symbol val="none"/>
          </c:marker>
          <c:cat>
            <c:numRef>
              <c:f>'fig fysico-chemie'!$AF$110:$AF$149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fysico-chemie'!$AI$110:$AI$149</c:f>
              <c:numCache>
                <c:formatCode>0.00</c:formatCode>
                <c:ptCount val="40"/>
                <c:pt idx="0">
                  <c:v>0.95037533628068727</c:v>
                </c:pt>
                <c:pt idx="1">
                  <c:v>0.66978326148376943</c:v>
                </c:pt>
                <c:pt idx="2">
                  <c:v>1.0330160202927696</c:v>
                </c:pt>
                <c:pt idx="3">
                  <c:v>0.91797199929710849</c:v>
                </c:pt>
                <c:pt idx="4">
                  <c:v>1.017343719045805</c:v>
                </c:pt>
                <c:pt idx="5">
                  <c:v>1.0694054785200533</c:v>
                </c:pt>
                <c:pt idx="6">
                  <c:v>1.1795744044921703</c:v>
                </c:pt>
                <c:pt idx="7">
                  <c:v>2.5742916639780957</c:v>
                </c:pt>
                <c:pt idx="8">
                  <c:v>1.3792040967153094</c:v>
                </c:pt>
                <c:pt idx="9">
                  <c:v>1.8538680143465267</c:v>
                </c:pt>
                <c:pt idx="10">
                  <c:v>13.604480885173126</c:v>
                </c:pt>
                <c:pt idx="13">
                  <c:v>0.8835218344884368</c:v>
                </c:pt>
                <c:pt idx="14">
                  <c:v>0.86412439307150635</c:v>
                </c:pt>
                <c:pt idx="15">
                  <c:v>1.1635910596228873</c:v>
                </c:pt>
                <c:pt idx="16">
                  <c:v>13.312742985211097</c:v>
                </c:pt>
                <c:pt idx="17">
                  <c:v>23.012009045151832</c:v>
                </c:pt>
                <c:pt idx="18">
                  <c:v>17.73476434148893</c:v>
                </c:pt>
                <c:pt idx="19">
                  <c:v>9.673770228112927</c:v>
                </c:pt>
                <c:pt idx="20">
                  <c:v>11.15739582633551</c:v>
                </c:pt>
                <c:pt idx="21">
                  <c:v>4.4225134151407097</c:v>
                </c:pt>
                <c:pt idx="22">
                  <c:v>9.8349347922208405</c:v>
                </c:pt>
                <c:pt idx="23">
                  <c:v>12.046404094395038</c:v>
                </c:pt>
                <c:pt idx="24">
                  <c:v>11.778113837245423</c:v>
                </c:pt>
                <c:pt idx="25">
                  <c:v>9.7394343512367936</c:v>
                </c:pt>
                <c:pt idx="28">
                  <c:v>1.063366486295118</c:v>
                </c:pt>
                <c:pt idx="29">
                  <c:v>1.1653843516756635</c:v>
                </c:pt>
                <c:pt idx="30">
                  <c:v>13.813838090502164</c:v>
                </c:pt>
                <c:pt idx="31">
                  <c:v>3.6914536858020632</c:v>
                </c:pt>
                <c:pt idx="32">
                  <c:v>2.2246260123903538</c:v>
                </c:pt>
                <c:pt idx="33">
                  <c:v>1.0148516196620991</c:v>
                </c:pt>
                <c:pt idx="34">
                  <c:v>21.897403928101824</c:v>
                </c:pt>
                <c:pt idx="35">
                  <c:v>0.96154821685708658</c:v>
                </c:pt>
                <c:pt idx="36">
                  <c:v>7.3887986171143751</c:v>
                </c:pt>
                <c:pt idx="37">
                  <c:v>16.677116014369108</c:v>
                </c:pt>
                <c:pt idx="38">
                  <c:v>17.081279371208705</c:v>
                </c:pt>
                <c:pt idx="39">
                  <c:v>1.3603008923653241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0-41DF-81B8-E9C47272A1AD}"/>
            </c:ext>
          </c:extLst>
        </c:ser>
        <c:ser>
          <c:idx val="3"/>
          <c:order val="3"/>
          <c:tx>
            <c:strRef>
              <c:f>'fig fysico-chemie'!$AJ$3</c:f>
              <c:strCache>
                <c:ptCount val="1"/>
                <c:pt idx="0">
                  <c:v>MI-B</c:v>
                </c:pt>
              </c:strCache>
            </c:strRef>
          </c:tx>
          <c:spPr>
            <a:ln w="19050">
              <a:solidFill>
                <a:srgbClr val="0066FF"/>
              </a:solidFill>
              <a:prstDash val="sysDot"/>
            </a:ln>
          </c:spPr>
          <c:marker>
            <c:symbol val="none"/>
          </c:marker>
          <c:cat>
            <c:numRef>
              <c:f>'fig fysico-chemie'!$AF$110:$AF$149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fysico-chemie'!$AJ$110:$AJ$149</c:f>
              <c:numCache>
                <c:formatCode>0.00</c:formatCode>
                <c:ptCount val="40"/>
                <c:pt idx="0">
                  <c:v>2.9488268484466058</c:v>
                </c:pt>
                <c:pt idx="1">
                  <c:v>0.67238656418283038</c:v>
                </c:pt>
                <c:pt idx="2">
                  <c:v>7.5335996267178738</c:v>
                </c:pt>
                <c:pt idx="3">
                  <c:v>3.3789952605043783</c:v>
                </c:pt>
                <c:pt idx="4">
                  <c:v>6.1384926419572823</c:v>
                </c:pt>
                <c:pt idx="5">
                  <c:v>8.8669229634102056</c:v>
                </c:pt>
                <c:pt idx="6">
                  <c:v>9.1231662048351687</c:v>
                </c:pt>
                <c:pt idx="7">
                  <c:v>13.916113681131131</c:v>
                </c:pt>
                <c:pt idx="8">
                  <c:v>13.981546802702852</c:v>
                </c:pt>
                <c:pt idx="9">
                  <c:v>14.475396013947636</c:v>
                </c:pt>
                <c:pt idx="10">
                  <c:v>20.191598819505234</c:v>
                </c:pt>
                <c:pt idx="13">
                  <c:v>0.88378649882091609</c:v>
                </c:pt>
                <c:pt idx="14">
                  <c:v>0.86500552218819016</c:v>
                </c:pt>
                <c:pt idx="15">
                  <c:v>1.2211702716987223</c:v>
                </c:pt>
                <c:pt idx="16">
                  <c:v>15.271304855468136</c:v>
                </c:pt>
                <c:pt idx="17">
                  <c:v>26.255915009489001</c:v>
                </c:pt>
                <c:pt idx="18">
                  <c:v>27.349437835136641</c:v>
                </c:pt>
                <c:pt idx="19">
                  <c:v>18.164740697734093</c:v>
                </c:pt>
                <c:pt idx="20">
                  <c:v>13.48493277298104</c:v>
                </c:pt>
                <c:pt idx="21">
                  <c:v>11.993938155415231</c:v>
                </c:pt>
                <c:pt idx="22">
                  <c:v>14.51845455739929</c:v>
                </c:pt>
                <c:pt idx="23">
                  <c:v>16.744640223038683</c:v>
                </c:pt>
                <c:pt idx="24">
                  <c:v>15.984109829449151</c:v>
                </c:pt>
                <c:pt idx="25">
                  <c:v>13.989496505209024</c:v>
                </c:pt>
                <c:pt idx="28">
                  <c:v>1.1098173925905075</c:v>
                </c:pt>
                <c:pt idx="29">
                  <c:v>1.1725692551449891</c:v>
                </c:pt>
                <c:pt idx="30">
                  <c:v>19.643667662824548</c:v>
                </c:pt>
                <c:pt idx="31">
                  <c:v>3.7285197770493332</c:v>
                </c:pt>
                <c:pt idx="32">
                  <c:v>12.328695309452447</c:v>
                </c:pt>
                <c:pt idx="33">
                  <c:v>1.0201922284652163</c:v>
                </c:pt>
                <c:pt idx="34">
                  <c:v>26.279686517864672</c:v>
                </c:pt>
                <c:pt idx="35">
                  <c:v>0.96154671539502934</c:v>
                </c:pt>
                <c:pt idx="36">
                  <c:v>17.126686014128509</c:v>
                </c:pt>
                <c:pt idx="37">
                  <c:v>24.862346777572281</c:v>
                </c:pt>
                <c:pt idx="38">
                  <c:v>21.157923650989826</c:v>
                </c:pt>
                <c:pt idx="39">
                  <c:v>1.4822082578969631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0-41DF-81B8-E9C47272A1AD}"/>
            </c:ext>
          </c:extLst>
        </c:ser>
        <c:ser>
          <c:idx val="4"/>
          <c:order val="4"/>
          <c:tx>
            <c:strRef>
              <c:f>'fig fysico-chemie'!$AK$3</c:f>
              <c:strCache>
                <c:ptCount val="1"/>
                <c:pt idx="0">
                  <c:v>PS-O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fysico-chemie'!$AF$110:$AF$149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fysico-chemie'!$AK$110:$AK$149</c:f>
              <c:numCache>
                <c:formatCode>0.00</c:formatCode>
                <c:ptCount val="40"/>
                <c:pt idx="0">
                  <c:v>0.94293211965878365</c:v>
                </c:pt>
                <c:pt idx="1">
                  <c:v>0.69352102591868037</c:v>
                </c:pt>
                <c:pt idx="2">
                  <c:v>0.94647534197847327</c:v>
                </c:pt>
                <c:pt idx="3">
                  <c:v>0.90338711851885167</c:v>
                </c:pt>
                <c:pt idx="4">
                  <c:v>1.003642857721083</c:v>
                </c:pt>
                <c:pt idx="5">
                  <c:v>1.0786981427595785</c:v>
                </c:pt>
                <c:pt idx="6">
                  <c:v>1.2677895364741374</c:v>
                </c:pt>
                <c:pt idx="7">
                  <c:v>1.3458045805765646</c:v>
                </c:pt>
                <c:pt idx="8">
                  <c:v>1.6465905925938966</c:v>
                </c:pt>
                <c:pt idx="9">
                  <c:v>2.1654129972734082</c:v>
                </c:pt>
                <c:pt idx="10">
                  <c:v>9.1959330614182679</c:v>
                </c:pt>
                <c:pt idx="13">
                  <c:v>0.87822919195299431</c:v>
                </c:pt>
                <c:pt idx="14">
                  <c:v>0.85109022816867907</c:v>
                </c:pt>
                <c:pt idx="15">
                  <c:v>1.0742061949204287</c:v>
                </c:pt>
                <c:pt idx="16">
                  <c:v>4.386235748633708</c:v>
                </c:pt>
                <c:pt idx="17">
                  <c:v>25.238979720174161</c:v>
                </c:pt>
                <c:pt idx="18">
                  <c:v>17.576814088463781</c:v>
                </c:pt>
                <c:pt idx="19">
                  <c:v>10.707949793072467</c:v>
                </c:pt>
                <c:pt idx="20">
                  <c:v>10.397819586086046</c:v>
                </c:pt>
                <c:pt idx="21">
                  <c:v>3.9573328319345187</c:v>
                </c:pt>
                <c:pt idx="22">
                  <c:v>8.3416360406333254</c:v>
                </c:pt>
                <c:pt idx="23">
                  <c:v>12.677173368881483</c:v>
                </c:pt>
                <c:pt idx="24">
                  <c:v>11.622743378987861</c:v>
                </c:pt>
                <c:pt idx="25">
                  <c:v>9.2739014147126344</c:v>
                </c:pt>
                <c:pt idx="28">
                  <c:v>1.0401449132119396</c:v>
                </c:pt>
                <c:pt idx="29">
                  <c:v>1.0073999932390034</c:v>
                </c:pt>
                <c:pt idx="30">
                  <c:v>17.195333743122621</c:v>
                </c:pt>
                <c:pt idx="31">
                  <c:v>4.5919914958620387</c:v>
                </c:pt>
                <c:pt idx="32">
                  <c:v>1.5369653698548607</c:v>
                </c:pt>
                <c:pt idx="33">
                  <c:v>1.0066677364390175</c:v>
                </c:pt>
                <c:pt idx="34">
                  <c:v>19.266333709039206</c:v>
                </c:pt>
                <c:pt idx="35">
                  <c:v>0.96652273564014557</c:v>
                </c:pt>
                <c:pt idx="36">
                  <c:v>9.2761725969428888</c:v>
                </c:pt>
                <c:pt idx="37">
                  <c:v>11.795848895381411</c:v>
                </c:pt>
                <c:pt idx="38">
                  <c:v>15.027346661250931</c:v>
                </c:pt>
                <c:pt idx="39">
                  <c:v>1.2212376457204968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80-41DF-81B8-E9C47272A1AD}"/>
            </c:ext>
          </c:extLst>
        </c:ser>
        <c:ser>
          <c:idx val="5"/>
          <c:order val="5"/>
          <c:tx>
            <c:strRef>
              <c:f>'fig fysico-chemie'!$AL$3</c:f>
              <c:strCache>
                <c:ptCount val="1"/>
                <c:pt idx="0">
                  <c:v>PS-B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'fig fysico-chemie'!$AF$110:$AF$149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fysico-chemie'!$AL$110:$AL$149</c:f>
              <c:numCache>
                <c:formatCode>0.00</c:formatCode>
                <c:ptCount val="40"/>
                <c:pt idx="0">
                  <c:v>0.94931152061165358</c:v>
                </c:pt>
                <c:pt idx="1">
                  <c:v>0.67290642773204157</c:v>
                </c:pt>
                <c:pt idx="2">
                  <c:v>4.326079965843479</c:v>
                </c:pt>
                <c:pt idx="3">
                  <c:v>0.98171103089354461</c:v>
                </c:pt>
                <c:pt idx="4">
                  <c:v>5.1004982974602235</c:v>
                </c:pt>
                <c:pt idx="5">
                  <c:v>7.0587839076403567</c:v>
                </c:pt>
                <c:pt idx="6">
                  <c:v>6.7524154764777036</c:v>
                </c:pt>
                <c:pt idx="7">
                  <c:v>14.001001313092459</c:v>
                </c:pt>
                <c:pt idx="8">
                  <c:v>12.99373663229894</c:v>
                </c:pt>
                <c:pt idx="9">
                  <c:v>12.736973327790132</c:v>
                </c:pt>
                <c:pt idx="10">
                  <c:v>19.183910843341998</c:v>
                </c:pt>
                <c:pt idx="13">
                  <c:v>0.8795519671616896</c:v>
                </c:pt>
                <c:pt idx="14">
                  <c:v>0.8565490750157827</c:v>
                </c:pt>
                <c:pt idx="15">
                  <c:v>1.1042743067726719</c:v>
                </c:pt>
                <c:pt idx="16">
                  <c:v>12.926748497283681</c:v>
                </c:pt>
                <c:pt idx="17">
                  <c:v>26.279476417464679</c:v>
                </c:pt>
                <c:pt idx="18">
                  <c:v>27.564091046060707</c:v>
                </c:pt>
                <c:pt idx="19">
                  <c:v>18.097333522417674</c:v>
                </c:pt>
                <c:pt idx="20">
                  <c:v>13.302301624118462</c:v>
                </c:pt>
                <c:pt idx="21">
                  <c:v>13.003393255133096</c:v>
                </c:pt>
                <c:pt idx="22">
                  <c:v>14.188123180159861</c:v>
                </c:pt>
                <c:pt idx="23">
                  <c:v>16.790610565609143</c:v>
                </c:pt>
                <c:pt idx="24">
                  <c:v>16.162297057274049</c:v>
                </c:pt>
                <c:pt idx="25">
                  <c:v>13.776519233532001</c:v>
                </c:pt>
                <c:pt idx="28">
                  <c:v>1.0544268860919015</c:v>
                </c:pt>
                <c:pt idx="29">
                  <c:v>1.0508444227644338</c:v>
                </c:pt>
                <c:pt idx="30">
                  <c:v>23.502098854398014</c:v>
                </c:pt>
                <c:pt idx="31">
                  <c:v>5.5549545585825824</c:v>
                </c:pt>
                <c:pt idx="32">
                  <c:v>7.7433573136831582</c:v>
                </c:pt>
                <c:pt idx="33">
                  <c:v>1.0059557949060038</c:v>
                </c:pt>
                <c:pt idx="34">
                  <c:v>25.554015170185352</c:v>
                </c:pt>
                <c:pt idx="35">
                  <c:v>0.96281096412069367</c:v>
                </c:pt>
                <c:pt idx="36">
                  <c:v>18.164436607772053</c:v>
                </c:pt>
                <c:pt idx="37">
                  <c:v>21.140855042670548</c:v>
                </c:pt>
                <c:pt idx="38">
                  <c:v>19.301467164967999</c:v>
                </c:pt>
                <c:pt idx="39">
                  <c:v>1.2878807559379943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80-41DF-81B8-E9C47272A1AD}"/>
            </c:ext>
          </c:extLst>
        </c:ser>
        <c:ser>
          <c:idx val="6"/>
          <c:order val="6"/>
          <c:tx>
            <c:strRef>
              <c:f>'fig fysico-chemie'!$AM$3</c:f>
              <c:strCache>
                <c:ptCount val="1"/>
                <c:pt idx="0">
                  <c:v>PO-O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fysico-chemie'!$AF$110:$AF$149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fysico-chemie'!$AM$110:$AM$149</c:f>
              <c:numCache>
                <c:formatCode>0.000</c:formatCode>
                <c:ptCount val="40"/>
                <c:pt idx="1">
                  <c:v>0.66249535451895769</c:v>
                </c:pt>
                <c:pt idx="2">
                  <c:v>0.8175043703654683</c:v>
                </c:pt>
                <c:pt idx="3">
                  <c:v>0.87505420543716406</c:v>
                </c:pt>
                <c:pt idx="4">
                  <c:v>0.9764535002713125</c:v>
                </c:pt>
                <c:pt idx="5">
                  <c:v>1.0196578331437121</c:v>
                </c:pt>
                <c:pt idx="6">
                  <c:v>0.97379042280449146</c:v>
                </c:pt>
                <c:pt idx="7">
                  <c:v>1.0185896573579709</c:v>
                </c:pt>
                <c:pt idx="8">
                  <c:v>1.0169875255320771</c:v>
                </c:pt>
                <c:pt idx="9">
                  <c:v>1.0217943954452047</c:v>
                </c:pt>
                <c:pt idx="10">
                  <c:v>1.0913831332641577</c:v>
                </c:pt>
                <c:pt idx="13">
                  <c:v>0.7549544164498404</c:v>
                </c:pt>
                <c:pt idx="14">
                  <c:v>0.78908324197627078</c:v>
                </c:pt>
                <c:pt idx="15">
                  <c:v>0.95728950315116212</c:v>
                </c:pt>
                <c:pt idx="16">
                  <c:v>1.1510257337864527</c:v>
                </c:pt>
                <c:pt idx="17">
                  <c:v>1.3294893119867819</c:v>
                </c:pt>
                <c:pt idx="18">
                  <c:v>1.5369561142575985</c:v>
                </c:pt>
                <c:pt idx="19">
                  <c:v>1.5863793426591211</c:v>
                </c:pt>
                <c:pt idx="20">
                  <c:v>1.4712253099619421</c:v>
                </c:pt>
                <c:pt idx="21">
                  <c:v>1.4766954736152649</c:v>
                </c:pt>
                <c:pt idx="22">
                  <c:v>1.4384330286124396</c:v>
                </c:pt>
                <c:pt idx="23">
                  <c:v>1.4002383107789633</c:v>
                </c:pt>
                <c:pt idx="24">
                  <c:v>1.4384330286124396</c:v>
                </c:pt>
                <c:pt idx="25">
                  <c:v>1.4766954736152649</c:v>
                </c:pt>
                <c:pt idx="30">
                  <c:v>0.93496162067929789</c:v>
                </c:pt>
                <c:pt idx="31">
                  <c:v>1.0597646951237396</c:v>
                </c:pt>
                <c:pt idx="32">
                  <c:v>1.0276713875138204</c:v>
                </c:pt>
                <c:pt idx="33">
                  <c:v>0.98071536569515305</c:v>
                </c:pt>
                <c:pt idx="34">
                  <c:v>1.0437102658869726</c:v>
                </c:pt>
                <c:pt idx="35">
                  <c:v>0.98337961864536227</c:v>
                </c:pt>
                <c:pt idx="36">
                  <c:v>0.90630284601769129</c:v>
                </c:pt>
                <c:pt idx="37">
                  <c:v>0.98284673198421524</c:v>
                </c:pt>
                <c:pt idx="38">
                  <c:v>1.0597646951237396</c:v>
                </c:pt>
                <c:pt idx="39">
                  <c:v>1.0223285798847783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80-41DF-81B8-E9C47272A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39232"/>
        <c:axId val="145840768"/>
      </c:lineChart>
      <c:catAx>
        <c:axId val="145839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840768"/>
        <c:crosses val="autoZero"/>
        <c:auto val="0"/>
        <c:lblAlgn val="ctr"/>
        <c:lblOffset val="100"/>
        <c:noMultiLvlLbl val="0"/>
      </c:catAx>
      <c:valAx>
        <c:axId val="145840768"/>
        <c:scaling>
          <c:orientation val="minMax"/>
          <c:max val="3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saliniteit (PSU)</a:t>
                </a:r>
              </a:p>
            </c:rich>
          </c:tx>
          <c:layout>
            <c:manualLayout>
              <c:xMode val="edge"/>
              <c:yMode val="edge"/>
              <c:x val="8.4830481567800997E-4"/>
              <c:y val="0.2420997057214292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839232"/>
        <c:crosses val="autoZero"/>
        <c:crossBetween val="between"/>
        <c:majorUnit val="5"/>
      </c:valAx>
    </c:plotArea>
    <c:legend>
      <c:legendPos val="r"/>
      <c:layout>
        <c:manualLayout>
          <c:xMode val="edge"/>
          <c:yMode val="edge"/>
          <c:x val="0.11636291194307676"/>
          <c:y val="1.8086385135436995E-2"/>
          <c:w val="0.17204199475065618"/>
          <c:h val="0.34109835644364034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8186754190491"/>
          <c:y val="2.5401086675460625E-2"/>
          <c:w val="0.86662970692035213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v>SC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'fig fysico-chemie'!$AF$302:$AF$343</c:f>
              <c:numCache>
                <c:formatCode>m/d/yyyy</c:formatCode>
                <c:ptCount val="42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4">
                  <c:v>42797</c:v>
                </c:pt>
                <c:pt idx="15">
                  <c:v>42804</c:v>
                </c:pt>
                <c:pt idx="16">
                  <c:v>42811</c:v>
                </c:pt>
                <c:pt idx="17">
                  <c:v>42818</c:v>
                </c:pt>
                <c:pt idx="18">
                  <c:v>42825</c:v>
                </c:pt>
                <c:pt idx="19">
                  <c:v>42832</c:v>
                </c:pt>
                <c:pt idx="20">
                  <c:v>42839</c:v>
                </c:pt>
                <c:pt idx="21">
                  <c:v>42846</c:v>
                </c:pt>
                <c:pt idx="22">
                  <c:v>42853</c:v>
                </c:pt>
                <c:pt idx="23">
                  <c:v>42860</c:v>
                </c:pt>
                <c:pt idx="24">
                  <c:v>42867</c:v>
                </c:pt>
                <c:pt idx="25">
                  <c:v>42874</c:v>
                </c:pt>
                <c:pt idx="27">
                  <c:v>42879</c:v>
                </c:pt>
                <c:pt idx="30">
                  <c:v>43171</c:v>
                </c:pt>
                <c:pt idx="31">
                  <c:v>43178</c:v>
                </c:pt>
                <c:pt idx="32">
                  <c:v>43185</c:v>
                </c:pt>
                <c:pt idx="33">
                  <c:v>43193</c:v>
                </c:pt>
                <c:pt idx="34">
                  <c:v>43199</c:v>
                </c:pt>
                <c:pt idx="35">
                  <c:v>43206</c:v>
                </c:pt>
                <c:pt idx="36">
                  <c:v>43213</c:v>
                </c:pt>
                <c:pt idx="37">
                  <c:v>43222</c:v>
                </c:pt>
                <c:pt idx="38">
                  <c:v>43227</c:v>
                </c:pt>
                <c:pt idx="39">
                  <c:v>43234</c:v>
                </c:pt>
                <c:pt idx="40">
                  <c:v>43242</c:v>
                </c:pt>
                <c:pt idx="41">
                  <c:v>43248</c:v>
                </c:pt>
              </c:numCache>
            </c:numRef>
          </c:cat>
          <c:val>
            <c:numRef>
              <c:f>'fig fysico-chemie'!$AG$302:$AG$343</c:f>
              <c:numCache>
                <c:formatCode>0</c:formatCode>
                <c:ptCount val="42"/>
                <c:pt idx="0">
                  <c:v>64.5</c:v>
                </c:pt>
                <c:pt idx="1">
                  <c:v>36.5</c:v>
                </c:pt>
                <c:pt idx="2">
                  <c:v>84.5</c:v>
                </c:pt>
                <c:pt idx="3">
                  <c:v>63</c:v>
                </c:pt>
                <c:pt idx="4">
                  <c:v>74.5</c:v>
                </c:pt>
                <c:pt idx="5">
                  <c:v>68</c:v>
                </c:pt>
                <c:pt idx="6">
                  <c:v>81.333333333333329</c:v>
                </c:pt>
                <c:pt idx="7">
                  <c:v>91.5</c:v>
                </c:pt>
                <c:pt idx="8">
                  <c:v>66</c:v>
                </c:pt>
                <c:pt idx="14">
                  <c:v>41.5</c:v>
                </c:pt>
                <c:pt idx="15">
                  <c:v>53</c:v>
                </c:pt>
                <c:pt idx="16">
                  <c:v>54.5</c:v>
                </c:pt>
                <c:pt idx="17">
                  <c:v>84.5</c:v>
                </c:pt>
                <c:pt idx="18">
                  <c:v>92</c:v>
                </c:pt>
                <c:pt idx="19">
                  <c:v>130</c:v>
                </c:pt>
                <c:pt idx="20">
                  <c:v>78</c:v>
                </c:pt>
                <c:pt idx="21">
                  <c:v>75.333333333333329</c:v>
                </c:pt>
                <c:pt idx="22">
                  <c:v>69.5</c:v>
                </c:pt>
                <c:pt idx="23">
                  <c:v>72.5</c:v>
                </c:pt>
                <c:pt idx="24">
                  <c:v>80</c:v>
                </c:pt>
                <c:pt idx="25">
                  <c:v>63.333333333333336</c:v>
                </c:pt>
                <c:pt idx="27">
                  <c:v>71.5</c:v>
                </c:pt>
                <c:pt idx="31">
                  <c:v>75</c:v>
                </c:pt>
                <c:pt idx="32">
                  <c:v>71</c:v>
                </c:pt>
                <c:pt idx="33">
                  <c:v>78.666666666666671</c:v>
                </c:pt>
                <c:pt idx="34">
                  <c:v>80</c:v>
                </c:pt>
                <c:pt idx="35">
                  <c:v>51</c:v>
                </c:pt>
                <c:pt idx="36">
                  <c:v>120</c:v>
                </c:pt>
                <c:pt idx="37">
                  <c:v>44.333333333333336</c:v>
                </c:pt>
                <c:pt idx="38">
                  <c:v>53</c:v>
                </c:pt>
                <c:pt idx="39">
                  <c:v>97.333333333333329</c:v>
                </c:pt>
                <c:pt idx="40">
                  <c:v>135.33333333333334</c:v>
                </c:pt>
                <c:pt idx="4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4-4406-A316-58FD5F2E9E9C}"/>
            </c:ext>
          </c:extLst>
        </c:ser>
        <c:ser>
          <c:idx val="1"/>
          <c:order val="1"/>
          <c:tx>
            <c:v>MI</c:v>
          </c:tx>
          <c:spPr>
            <a:ln w="19050">
              <a:solidFill>
                <a:srgbClr val="0066FF"/>
              </a:solidFill>
              <a:prstDash val="solid"/>
            </a:ln>
          </c:spPr>
          <c:marker>
            <c:symbol val="none"/>
          </c:marker>
          <c:cat>
            <c:numRef>
              <c:f>'fig fysico-chemie'!$AF$302:$AF$343</c:f>
              <c:numCache>
                <c:formatCode>m/d/yyyy</c:formatCode>
                <c:ptCount val="42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4">
                  <c:v>42797</c:v>
                </c:pt>
                <c:pt idx="15">
                  <c:v>42804</c:v>
                </c:pt>
                <c:pt idx="16">
                  <c:v>42811</c:v>
                </c:pt>
                <c:pt idx="17">
                  <c:v>42818</c:v>
                </c:pt>
                <c:pt idx="18">
                  <c:v>42825</c:v>
                </c:pt>
                <c:pt idx="19">
                  <c:v>42832</c:v>
                </c:pt>
                <c:pt idx="20">
                  <c:v>42839</c:v>
                </c:pt>
                <c:pt idx="21">
                  <c:v>42846</c:v>
                </c:pt>
                <c:pt idx="22">
                  <c:v>42853</c:v>
                </c:pt>
                <c:pt idx="23">
                  <c:v>42860</c:v>
                </c:pt>
                <c:pt idx="24">
                  <c:v>42867</c:v>
                </c:pt>
                <c:pt idx="25">
                  <c:v>42874</c:v>
                </c:pt>
                <c:pt idx="27">
                  <c:v>42879</c:v>
                </c:pt>
                <c:pt idx="30">
                  <c:v>43171</c:v>
                </c:pt>
                <c:pt idx="31">
                  <c:v>43178</c:v>
                </c:pt>
                <c:pt idx="32">
                  <c:v>43185</c:v>
                </c:pt>
                <c:pt idx="33">
                  <c:v>43193</c:v>
                </c:pt>
                <c:pt idx="34">
                  <c:v>43199</c:v>
                </c:pt>
                <c:pt idx="35">
                  <c:v>43206</c:v>
                </c:pt>
                <c:pt idx="36">
                  <c:v>43213</c:v>
                </c:pt>
                <c:pt idx="37">
                  <c:v>43222</c:v>
                </c:pt>
                <c:pt idx="38">
                  <c:v>43227</c:v>
                </c:pt>
                <c:pt idx="39">
                  <c:v>43234</c:v>
                </c:pt>
                <c:pt idx="40">
                  <c:v>43242</c:v>
                </c:pt>
                <c:pt idx="41">
                  <c:v>43248</c:v>
                </c:pt>
              </c:numCache>
            </c:numRef>
          </c:cat>
          <c:val>
            <c:numRef>
              <c:f>'fig fysico-chemie'!$AH$302:$AH$343</c:f>
              <c:numCache>
                <c:formatCode>0</c:formatCode>
                <c:ptCount val="42"/>
                <c:pt idx="0">
                  <c:v>65</c:v>
                </c:pt>
                <c:pt idx="1">
                  <c:v>34.666666666666664</c:v>
                </c:pt>
                <c:pt idx="2">
                  <c:v>85.333333333333329</c:v>
                </c:pt>
                <c:pt idx="3">
                  <c:v>62.5</c:v>
                </c:pt>
                <c:pt idx="4">
                  <c:v>75</c:v>
                </c:pt>
                <c:pt idx="5">
                  <c:v>71</c:v>
                </c:pt>
                <c:pt idx="6">
                  <c:v>80.666666666666671</c:v>
                </c:pt>
                <c:pt idx="7">
                  <c:v>91</c:v>
                </c:pt>
                <c:pt idx="8">
                  <c:v>65</c:v>
                </c:pt>
                <c:pt idx="14">
                  <c:v>40</c:v>
                </c:pt>
                <c:pt idx="15">
                  <c:v>53</c:v>
                </c:pt>
                <c:pt idx="16">
                  <c:v>55</c:v>
                </c:pt>
                <c:pt idx="17">
                  <c:v>82</c:v>
                </c:pt>
                <c:pt idx="18">
                  <c:v>93.5</c:v>
                </c:pt>
                <c:pt idx="19">
                  <c:v>126</c:v>
                </c:pt>
                <c:pt idx="20">
                  <c:v>80</c:v>
                </c:pt>
                <c:pt idx="21">
                  <c:v>75</c:v>
                </c:pt>
                <c:pt idx="22">
                  <c:v>70</c:v>
                </c:pt>
                <c:pt idx="23">
                  <c:v>72.333333333333329</c:v>
                </c:pt>
                <c:pt idx="24">
                  <c:v>80.5</c:v>
                </c:pt>
                <c:pt idx="25">
                  <c:v>62.666666666666664</c:v>
                </c:pt>
                <c:pt idx="27">
                  <c:v>73</c:v>
                </c:pt>
                <c:pt idx="31">
                  <c:v>72</c:v>
                </c:pt>
                <c:pt idx="32">
                  <c:v>92</c:v>
                </c:pt>
                <c:pt idx="33">
                  <c:v>77.333333333333329</c:v>
                </c:pt>
                <c:pt idx="34">
                  <c:v>82</c:v>
                </c:pt>
                <c:pt idx="35">
                  <c:v>53</c:v>
                </c:pt>
                <c:pt idx="36">
                  <c:v>90</c:v>
                </c:pt>
                <c:pt idx="37">
                  <c:v>45</c:v>
                </c:pt>
                <c:pt idx="38">
                  <c:v>82.5</c:v>
                </c:pt>
                <c:pt idx="39">
                  <c:v>105</c:v>
                </c:pt>
                <c:pt idx="40">
                  <c:v>128</c:v>
                </c:pt>
                <c:pt idx="4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4-4406-A316-58FD5F2E9E9C}"/>
            </c:ext>
          </c:extLst>
        </c:ser>
        <c:ser>
          <c:idx val="2"/>
          <c:order val="2"/>
          <c:tx>
            <c:v>PS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'fig fysico-chemie'!$AF$302:$AF$343</c:f>
              <c:numCache>
                <c:formatCode>m/d/yyyy</c:formatCode>
                <c:ptCount val="42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4">
                  <c:v>42797</c:v>
                </c:pt>
                <c:pt idx="15">
                  <c:v>42804</c:v>
                </c:pt>
                <c:pt idx="16">
                  <c:v>42811</c:v>
                </c:pt>
                <c:pt idx="17">
                  <c:v>42818</c:v>
                </c:pt>
                <c:pt idx="18">
                  <c:v>42825</c:v>
                </c:pt>
                <c:pt idx="19">
                  <c:v>42832</c:v>
                </c:pt>
                <c:pt idx="20">
                  <c:v>42839</c:v>
                </c:pt>
                <c:pt idx="21">
                  <c:v>42846</c:v>
                </c:pt>
                <c:pt idx="22">
                  <c:v>42853</c:v>
                </c:pt>
                <c:pt idx="23">
                  <c:v>42860</c:v>
                </c:pt>
                <c:pt idx="24">
                  <c:v>42867</c:v>
                </c:pt>
                <c:pt idx="25">
                  <c:v>42874</c:v>
                </c:pt>
                <c:pt idx="27">
                  <c:v>42879</c:v>
                </c:pt>
                <c:pt idx="30">
                  <c:v>43171</c:v>
                </c:pt>
                <c:pt idx="31">
                  <c:v>43178</c:v>
                </c:pt>
                <c:pt idx="32">
                  <c:v>43185</c:v>
                </c:pt>
                <c:pt idx="33">
                  <c:v>43193</c:v>
                </c:pt>
                <c:pt idx="34">
                  <c:v>43199</c:v>
                </c:pt>
                <c:pt idx="35">
                  <c:v>43206</c:v>
                </c:pt>
                <c:pt idx="36">
                  <c:v>43213</c:v>
                </c:pt>
                <c:pt idx="37">
                  <c:v>43222</c:v>
                </c:pt>
                <c:pt idx="38">
                  <c:v>43227</c:v>
                </c:pt>
                <c:pt idx="39">
                  <c:v>43234</c:v>
                </c:pt>
                <c:pt idx="40">
                  <c:v>43242</c:v>
                </c:pt>
                <c:pt idx="41">
                  <c:v>43248</c:v>
                </c:pt>
              </c:numCache>
            </c:numRef>
          </c:cat>
          <c:val>
            <c:numRef>
              <c:f>'fig fysico-chemie'!$AI$302:$AI$343</c:f>
              <c:numCache>
                <c:formatCode>0</c:formatCode>
                <c:ptCount val="42"/>
                <c:pt idx="0">
                  <c:v>63</c:v>
                </c:pt>
                <c:pt idx="1">
                  <c:v>35</c:v>
                </c:pt>
                <c:pt idx="2">
                  <c:v>83</c:v>
                </c:pt>
                <c:pt idx="3">
                  <c:v>63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90</c:v>
                </c:pt>
                <c:pt idx="8">
                  <c:v>64.666666666666671</c:v>
                </c:pt>
                <c:pt idx="9">
                  <c:v>72</c:v>
                </c:pt>
                <c:pt idx="14">
                  <c:v>40</c:v>
                </c:pt>
                <c:pt idx="15">
                  <c:v>52.5</c:v>
                </c:pt>
                <c:pt idx="16">
                  <c:v>55</c:v>
                </c:pt>
                <c:pt idx="17">
                  <c:v>91.5</c:v>
                </c:pt>
                <c:pt idx="18">
                  <c:v>93</c:v>
                </c:pt>
                <c:pt idx="19">
                  <c:v>135</c:v>
                </c:pt>
                <c:pt idx="20">
                  <c:v>79</c:v>
                </c:pt>
                <c:pt idx="21">
                  <c:v>73.666666666666671</c:v>
                </c:pt>
                <c:pt idx="22">
                  <c:v>69</c:v>
                </c:pt>
                <c:pt idx="23">
                  <c:v>72</c:v>
                </c:pt>
                <c:pt idx="24">
                  <c:v>80.5</c:v>
                </c:pt>
                <c:pt idx="25">
                  <c:v>63.333333333333336</c:v>
                </c:pt>
                <c:pt idx="27">
                  <c:v>71</c:v>
                </c:pt>
                <c:pt idx="30">
                  <c:v>55</c:v>
                </c:pt>
                <c:pt idx="31">
                  <c:v>71</c:v>
                </c:pt>
                <c:pt idx="32">
                  <c:v>70</c:v>
                </c:pt>
                <c:pt idx="33">
                  <c:v>78.666666666666671</c:v>
                </c:pt>
                <c:pt idx="34">
                  <c:v>71</c:v>
                </c:pt>
                <c:pt idx="35">
                  <c:v>55</c:v>
                </c:pt>
                <c:pt idx="36">
                  <c:v>100</c:v>
                </c:pt>
                <c:pt idx="37">
                  <c:v>45.333333333333336</c:v>
                </c:pt>
                <c:pt idx="38">
                  <c:v>63.5</c:v>
                </c:pt>
                <c:pt idx="39">
                  <c:v>97.666666666666671</c:v>
                </c:pt>
                <c:pt idx="40">
                  <c:v>113.5</c:v>
                </c:pt>
                <c:pt idx="41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24-4406-A316-58FD5F2E9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98112"/>
        <c:axId val="145904000"/>
      </c:lineChart>
      <c:catAx>
        <c:axId val="145898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904000"/>
        <c:crosses val="autoZero"/>
        <c:auto val="0"/>
        <c:lblAlgn val="ctr"/>
        <c:lblOffset val="100"/>
        <c:noMultiLvlLbl val="0"/>
      </c:catAx>
      <c:valAx>
        <c:axId val="145904000"/>
        <c:scaling>
          <c:orientation val="minMax"/>
          <c:max val="14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secchi-diepte</a:t>
                </a:r>
                <a:r>
                  <a:rPr lang="en-US" sz="1400" baseline="0"/>
                  <a:t> (cm)</a:t>
                </a:r>
                <a:r>
                  <a:rPr lang="en-US" sz="1400"/>
                  <a:t> </a:t>
                </a:r>
              </a:p>
            </c:rich>
          </c:tx>
          <c:layout>
            <c:manualLayout>
              <c:xMode val="edge"/>
              <c:yMode val="edge"/>
              <c:x val="7.0957284431396863E-3"/>
              <c:y val="0.2549214281308709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898112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13923884327633548"/>
          <c:y val="4.0604205611246537E-2"/>
          <c:w val="0.12217270750085038"/>
          <c:h val="0.1732172501836679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8186754190491"/>
          <c:y val="2.5401086675460625E-2"/>
          <c:w val="0.86662970692035213"/>
          <c:h val="0.78867441594402299"/>
        </c:manualLayout>
      </c:layout>
      <c:lineChart>
        <c:grouping val="standard"/>
        <c:varyColors val="0"/>
        <c:ser>
          <c:idx val="0"/>
          <c:order val="0"/>
          <c:tx>
            <c:strRef>
              <c:f>'fig fysico-chemie'!$BA$3</c:f>
              <c:strCache>
                <c:ptCount val="1"/>
                <c:pt idx="0">
                  <c:v>surface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fysico-chemie'!$BA$4:$BA$43</c:f>
              <c:numCache>
                <c:formatCode>0.0</c:formatCode>
                <c:ptCount val="40"/>
                <c:pt idx="0">
                  <c:v>6.16</c:v>
                </c:pt>
                <c:pt idx="1">
                  <c:v>6.6116666666666655</c:v>
                </c:pt>
                <c:pt idx="2">
                  <c:v>6.7316666666666665</c:v>
                </c:pt>
                <c:pt idx="3">
                  <c:v>9.4366666666666656</c:v>
                </c:pt>
                <c:pt idx="4">
                  <c:v>9.7711111111111109</c:v>
                </c:pt>
                <c:pt idx="5">
                  <c:v>10.352222222222222</c:v>
                </c:pt>
                <c:pt idx="6">
                  <c:v>12.73</c:v>
                </c:pt>
                <c:pt idx="7">
                  <c:v>14.224444444444446</c:v>
                </c:pt>
                <c:pt idx="8">
                  <c:v>10.884444444444444</c:v>
                </c:pt>
                <c:pt idx="9">
                  <c:v>13.333333333333334</c:v>
                </c:pt>
                <c:pt idx="10">
                  <c:v>17.297777777777775</c:v>
                </c:pt>
                <c:pt idx="13">
                  <c:v>6.3666666666666671</c:v>
                </c:pt>
                <c:pt idx="14">
                  <c:v>8.7222222222222214</c:v>
                </c:pt>
                <c:pt idx="15">
                  <c:v>10.977777777777778</c:v>
                </c:pt>
                <c:pt idx="16">
                  <c:v>9.9111111111111097</c:v>
                </c:pt>
                <c:pt idx="17">
                  <c:v>12.288888888888888</c:v>
                </c:pt>
                <c:pt idx="18">
                  <c:v>12.655555555555557</c:v>
                </c:pt>
                <c:pt idx="19">
                  <c:v>13.155555555555557</c:v>
                </c:pt>
                <c:pt idx="20">
                  <c:v>13.344444444444443</c:v>
                </c:pt>
                <c:pt idx="21">
                  <c:v>12.37777777777778</c:v>
                </c:pt>
                <c:pt idx="22">
                  <c:v>13.2</c:v>
                </c:pt>
                <c:pt idx="23">
                  <c:v>15.888888888888889</c:v>
                </c:pt>
                <c:pt idx="24">
                  <c:v>16.566666666666666</c:v>
                </c:pt>
                <c:pt idx="25">
                  <c:v>19.62222222222222</c:v>
                </c:pt>
                <c:pt idx="28">
                  <c:v>7.0666666666666664</c:v>
                </c:pt>
                <c:pt idx="29">
                  <c:v>4.822222222222222</c:v>
                </c:pt>
                <c:pt idx="30">
                  <c:v>6.5333333333333341</c:v>
                </c:pt>
                <c:pt idx="31">
                  <c:v>9.3222222222222229</c:v>
                </c:pt>
                <c:pt idx="32">
                  <c:v>11.888888888888889</c:v>
                </c:pt>
                <c:pt idx="33">
                  <c:v>13.411111111111111</c:v>
                </c:pt>
                <c:pt idx="34">
                  <c:v>16.033333333333335</c:v>
                </c:pt>
                <c:pt idx="35">
                  <c:v>11.733333333333334</c:v>
                </c:pt>
                <c:pt idx="36">
                  <c:v>17.166666666666664</c:v>
                </c:pt>
                <c:pt idx="37">
                  <c:v>14.222222222222221</c:v>
                </c:pt>
                <c:pt idx="38">
                  <c:v>17.700000000000003</c:v>
                </c:pt>
                <c:pt idx="39">
                  <c:v>20.62222222222222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2-4668-91DC-E042F4F68C85}"/>
            </c:ext>
          </c:extLst>
        </c:ser>
        <c:ser>
          <c:idx val="1"/>
          <c:order val="1"/>
          <c:tx>
            <c:strRef>
              <c:f>'fig fysico-chemie'!$BB$3</c:f>
              <c:strCache>
                <c:ptCount val="1"/>
                <c:pt idx="0">
                  <c:v>bottom</c:v>
                </c:pt>
              </c:strCache>
            </c:strRef>
          </c:tx>
          <c:spPr>
            <a:ln w="19050">
              <a:solidFill>
                <a:schemeClr val="tx1">
                  <a:lumMod val="75000"/>
                  <a:lumOff val="2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fysico-chemie'!$BB$4:$BB$43</c:f>
              <c:numCache>
                <c:formatCode>0.0</c:formatCode>
                <c:ptCount val="40"/>
                <c:pt idx="0">
                  <c:v>5.9483333333333341</c:v>
                </c:pt>
                <c:pt idx="1">
                  <c:v>6.4033333333333333</c:v>
                </c:pt>
                <c:pt idx="2">
                  <c:v>6.8916666666666666</c:v>
                </c:pt>
                <c:pt idx="3">
                  <c:v>9.0166666666666657</c:v>
                </c:pt>
                <c:pt idx="4">
                  <c:v>9.6911111111111126</c:v>
                </c:pt>
                <c:pt idx="5">
                  <c:v>10.671111111111109</c:v>
                </c:pt>
                <c:pt idx="6">
                  <c:v>12.378888888888888</c:v>
                </c:pt>
                <c:pt idx="7">
                  <c:v>12.615555555555556</c:v>
                </c:pt>
                <c:pt idx="8">
                  <c:v>10.586666666666666</c:v>
                </c:pt>
                <c:pt idx="9">
                  <c:v>11.812222222222221</c:v>
                </c:pt>
                <c:pt idx="10">
                  <c:v>16.176666666666669</c:v>
                </c:pt>
                <c:pt idx="13">
                  <c:v>6.3666666666666671</c:v>
                </c:pt>
                <c:pt idx="14">
                  <c:v>8.6</c:v>
                </c:pt>
                <c:pt idx="15">
                  <c:v>10.944444444444445</c:v>
                </c:pt>
                <c:pt idx="16">
                  <c:v>9.68888888888889</c:v>
                </c:pt>
                <c:pt idx="17">
                  <c:v>11.266666666666666</c:v>
                </c:pt>
                <c:pt idx="18">
                  <c:v>12.922222222222221</c:v>
                </c:pt>
                <c:pt idx="19">
                  <c:v>13.855555555555558</c:v>
                </c:pt>
                <c:pt idx="20">
                  <c:v>13.56666666666667</c:v>
                </c:pt>
                <c:pt idx="21">
                  <c:v>12.944444444444443</c:v>
                </c:pt>
                <c:pt idx="22">
                  <c:v>13.655555555555557</c:v>
                </c:pt>
                <c:pt idx="23">
                  <c:v>15.011111111111111</c:v>
                </c:pt>
                <c:pt idx="24">
                  <c:v>16.433333333333334</c:v>
                </c:pt>
                <c:pt idx="25">
                  <c:v>18.266666666666666</c:v>
                </c:pt>
                <c:pt idx="28">
                  <c:v>7.0555555555555554</c:v>
                </c:pt>
                <c:pt idx="29">
                  <c:v>4.8222222222222211</c:v>
                </c:pt>
                <c:pt idx="30">
                  <c:v>6.5222222222222221</c:v>
                </c:pt>
                <c:pt idx="31">
                  <c:v>9.1999999999999993</c:v>
                </c:pt>
                <c:pt idx="32">
                  <c:v>11.344444444444443</c:v>
                </c:pt>
                <c:pt idx="33">
                  <c:v>13.322222222222223</c:v>
                </c:pt>
                <c:pt idx="34">
                  <c:v>14.877777777777778</c:v>
                </c:pt>
                <c:pt idx="35">
                  <c:v>11.711111111111112</c:v>
                </c:pt>
                <c:pt idx="36">
                  <c:v>14.666666666666666</c:v>
                </c:pt>
                <c:pt idx="37">
                  <c:v>15.333333333333334</c:v>
                </c:pt>
                <c:pt idx="38">
                  <c:v>16.200000000000003</c:v>
                </c:pt>
                <c:pt idx="39">
                  <c:v>20.222222222222221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2-4668-91DC-E042F4F68C85}"/>
            </c:ext>
          </c:extLst>
        </c:ser>
        <c:ser>
          <c:idx val="2"/>
          <c:order val="2"/>
          <c:tx>
            <c:strRef>
              <c:f>'fig fysico-chemie'!$BC$3</c:f>
              <c:strCache>
                <c:ptCount val="1"/>
                <c:pt idx="0">
                  <c:v>polder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'fig fysico-chemie'!$AF$4:$AF$43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fysico-chemie'!$BC$4:$BC$43</c:f>
              <c:numCache>
                <c:formatCode>General</c:formatCode>
                <c:ptCount val="40"/>
                <c:pt idx="1">
                  <c:v>6.43</c:v>
                </c:pt>
                <c:pt idx="2">
                  <c:v>7.2</c:v>
                </c:pt>
                <c:pt idx="3">
                  <c:v>8.92</c:v>
                </c:pt>
                <c:pt idx="4">
                  <c:v>9.76</c:v>
                </c:pt>
                <c:pt idx="5">
                  <c:v>10.77</c:v>
                </c:pt>
                <c:pt idx="6">
                  <c:v>13.48</c:v>
                </c:pt>
                <c:pt idx="7">
                  <c:v>13.16</c:v>
                </c:pt>
                <c:pt idx="8">
                  <c:v>10.77</c:v>
                </c:pt>
                <c:pt idx="9">
                  <c:v>12.68</c:v>
                </c:pt>
                <c:pt idx="10">
                  <c:v>18.59</c:v>
                </c:pt>
                <c:pt idx="13">
                  <c:v>6.5</c:v>
                </c:pt>
                <c:pt idx="14">
                  <c:v>9.1</c:v>
                </c:pt>
                <c:pt idx="15">
                  <c:v>10.8</c:v>
                </c:pt>
                <c:pt idx="16">
                  <c:v>11.1</c:v>
                </c:pt>
                <c:pt idx="17">
                  <c:v>13.7</c:v>
                </c:pt>
                <c:pt idx="18">
                  <c:v>13.8</c:v>
                </c:pt>
                <c:pt idx="19">
                  <c:v>13.7</c:v>
                </c:pt>
                <c:pt idx="20">
                  <c:v>12.9</c:v>
                </c:pt>
                <c:pt idx="21">
                  <c:v>13</c:v>
                </c:pt>
                <c:pt idx="22">
                  <c:v>14.2</c:v>
                </c:pt>
                <c:pt idx="23">
                  <c:v>16.5</c:v>
                </c:pt>
                <c:pt idx="24">
                  <c:v>17.7</c:v>
                </c:pt>
                <c:pt idx="25">
                  <c:v>19.600000000000001</c:v>
                </c:pt>
                <c:pt idx="30">
                  <c:v>7.7</c:v>
                </c:pt>
                <c:pt idx="31">
                  <c:v>9.9</c:v>
                </c:pt>
                <c:pt idx="32">
                  <c:v>12.2</c:v>
                </c:pt>
                <c:pt idx="33">
                  <c:v>13.8</c:v>
                </c:pt>
                <c:pt idx="34">
                  <c:v>19.100000000000001</c:v>
                </c:pt>
                <c:pt idx="35">
                  <c:v>11.9</c:v>
                </c:pt>
                <c:pt idx="36">
                  <c:v>18.399999999999999</c:v>
                </c:pt>
                <c:pt idx="37" formatCode="0.0">
                  <c:v>18.100000000000001</c:v>
                </c:pt>
                <c:pt idx="38">
                  <c:v>17.7</c:v>
                </c:pt>
                <c:pt idx="39">
                  <c:v>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C2-4668-91DC-E042F4F68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38304"/>
        <c:axId val="145939840"/>
      </c:lineChart>
      <c:catAx>
        <c:axId val="145938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939840"/>
        <c:crosses val="autoZero"/>
        <c:auto val="0"/>
        <c:lblAlgn val="ctr"/>
        <c:lblOffset val="100"/>
        <c:noMultiLvlLbl val="0"/>
      </c:catAx>
      <c:valAx>
        <c:axId val="145939840"/>
        <c:scaling>
          <c:orientation val="minMax"/>
          <c:max val="23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 (°C)</a:t>
                </a:r>
              </a:p>
            </c:rich>
          </c:tx>
          <c:layout>
            <c:manualLayout>
              <c:xMode val="edge"/>
              <c:yMode val="edge"/>
              <c:x val="1.1251424899794199E-2"/>
              <c:y val="0.3639901342384684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938304"/>
        <c:crosses val="autoZero"/>
        <c:crossBetween val="between"/>
        <c:majorUnit val="3"/>
      </c:valAx>
    </c:plotArea>
    <c:legend>
      <c:legendPos val="r"/>
      <c:layout>
        <c:manualLayout>
          <c:xMode val="edge"/>
          <c:yMode val="edge"/>
          <c:x val="0.81129133858267721"/>
          <c:y val="0.58319232692117084"/>
          <c:w val="0.17204199475065618"/>
          <c:h val="0.18851927020887879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067857394094728E-2"/>
          <c:y val="4.2722531998268094E-2"/>
          <c:w val="0.89005726491293014"/>
          <c:h val="0.69709093983086357"/>
        </c:manualLayout>
      </c:layout>
      <c:barChart>
        <c:barDir val="col"/>
        <c:grouping val="clustered"/>
        <c:varyColors val="0"/>
        <c:ser>
          <c:idx val="4"/>
          <c:order val="0"/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'fig fysico-chemie'!$A$4:$A$43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fysico-chemie'!$B$459:$B$498</c:f>
              <c:numCache>
                <c:formatCode>General</c:formatCode>
                <c:ptCount val="40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8">
                  <c:v>6</c:v>
                </c:pt>
                <c:pt idx="29">
                  <c:v>7</c:v>
                </c:pt>
                <c:pt idx="30">
                  <c:v>4</c:v>
                </c:pt>
                <c:pt idx="31">
                  <c:v>7</c:v>
                </c:pt>
                <c:pt idx="32">
                  <c:v>6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D-4DBC-B2FC-62B2C1C9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645568"/>
        <c:axId val="145647104"/>
      </c:barChart>
      <c:catAx>
        <c:axId val="145645568"/>
        <c:scaling>
          <c:orientation val="minMax"/>
          <c:min val="-2"/>
        </c:scaling>
        <c:delete val="0"/>
        <c:axPos val="b"/>
        <c:numFmt formatCode="m/d/yyyy" sourceLinked="1"/>
        <c:majorTickMark val="out"/>
        <c:minorTickMark val="none"/>
        <c:tickLblPos val="nextTo"/>
        <c:crossAx val="145647104"/>
        <c:crosses val="autoZero"/>
        <c:auto val="0"/>
        <c:lblAlgn val="ctr"/>
        <c:lblOffset val="100"/>
        <c:noMultiLvlLbl val="1"/>
      </c:catAx>
      <c:valAx>
        <c:axId val="1456471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dagen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6455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 fysico-chemie'!$A$406:$A$445</c:f>
              <c:numCache>
                <c:formatCode>m/d/yyyy</c:formatCode>
                <c:ptCount val="40"/>
                <c:pt idx="0">
                  <c:v>42433</c:v>
                </c:pt>
                <c:pt idx="1">
                  <c:v>42440</c:v>
                </c:pt>
                <c:pt idx="2">
                  <c:v>42447</c:v>
                </c:pt>
                <c:pt idx="3">
                  <c:v>42454</c:v>
                </c:pt>
                <c:pt idx="4">
                  <c:v>42461</c:v>
                </c:pt>
                <c:pt idx="5">
                  <c:v>42468</c:v>
                </c:pt>
                <c:pt idx="6">
                  <c:v>42475</c:v>
                </c:pt>
                <c:pt idx="7">
                  <c:v>42482</c:v>
                </c:pt>
                <c:pt idx="8">
                  <c:v>42489</c:v>
                </c:pt>
                <c:pt idx="9">
                  <c:v>42494</c:v>
                </c:pt>
                <c:pt idx="10">
                  <c:v>42503</c:v>
                </c:pt>
                <c:pt idx="13">
                  <c:v>42797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42839</c:v>
                </c:pt>
                <c:pt idx="20">
                  <c:v>42846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  <c:pt idx="28">
                  <c:v>43171</c:v>
                </c:pt>
                <c:pt idx="29">
                  <c:v>43178</c:v>
                </c:pt>
                <c:pt idx="30">
                  <c:v>43185</c:v>
                </c:pt>
                <c:pt idx="31">
                  <c:v>43193</c:v>
                </c:pt>
                <c:pt idx="32">
                  <c:v>43199</c:v>
                </c:pt>
                <c:pt idx="33">
                  <c:v>43206</c:v>
                </c:pt>
                <c:pt idx="34">
                  <c:v>43213</c:v>
                </c:pt>
                <c:pt idx="35">
                  <c:v>43222</c:v>
                </c:pt>
                <c:pt idx="36">
                  <c:v>43227</c:v>
                </c:pt>
                <c:pt idx="37">
                  <c:v>43234</c:v>
                </c:pt>
                <c:pt idx="38">
                  <c:v>43242</c:v>
                </c:pt>
                <c:pt idx="39">
                  <c:v>43248</c:v>
                </c:pt>
              </c:numCache>
            </c:numRef>
          </c:cat>
          <c:val>
            <c:numRef>
              <c:f>'fig fysico-chemie'!$B$406:$B$445</c:f>
              <c:numCache>
                <c:formatCode>0</c:formatCode>
                <c:ptCount val="40"/>
                <c:pt idx="0">
                  <c:v>3.7</c:v>
                </c:pt>
                <c:pt idx="1">
                  <c:v>1</c:v>
                </c:pt>
                <c:pt idx="2">
                  <c:v>1.48</c:v>
                </c:pt>
                <c:pt idx="3">
                  <c:v>9.25</c:v>
                </c:pt>
                <c:pt idx="4">
                  <c:v>23.257142857000002</c:v>
                </c:pt>
                <c:pt idx="5">
                  <c:v>20.350000000000001</c:v>
                </c:pt>
                <c:pt idx="6">
                  <c:v>18.088888889</c:v>
                </c:pt>
                <c:pt idx="7">
                  <c:v>42.755555555999997</c:v>
                </c:pt>
                <c:pt idx="8">
                  <c:v>21.142857143000001</c:v>
                </c:pt>
                <c:pt idx="9">
                  <c:v>44.4</c:v>
                </c:pt>
                <c:pt idx="10">
                  <c:v>17.760000000000002</c:v>
                </c:pt>
                <c:pt idx="13">
                  <c:v>2.96</c:v>
                </c:pt>
                <c:pt idx="14">
                  <c:v>7.4</c:v>
                </c:pt>
                <c:pt idx="15">
                  <c:v>9.4</c:v>
                </c:pt>
                <c:pt idx="16">
                  <c:v>3.63</c:v>
                </c:pt>
                <c:pt idx="17">
                  <c:v>12.35</c:v>
                </c:pt>
                <c:pt idx="18">
                  <c:v>16.3</c:v>
                </c:pt>
                <c:pt idx="19">
                  <c:v>32.25</c:v>
                </c:pt>
                <c:pt idx="20">
                  <c:v>29.75</c:v>
                </c:pt>
                <c:pt idx="21">
                  <c:v>33.299999999999997</c:v>
                </c:pt>
                <c:pt idx="22">
                  <c:v>14.95</c:v>
                </c:pt>
                <c:pt idx="23">
                  <c:v>19.149999999999999</c:v>
                </c:pt>
                <c:pt idx="24">
                  <c:v>34.950000000000003</c:v>
                </c:pt>
                <c:pt idx="25">
                  <c:v>15.95</c:v>
                </c:pt>
                <c:pt idx="28">
                  <c:v>22.65</c:v>
                </c:pt>
                <c:pt idx="29">
                  <c:v>22.049999999999997</c:v>
                </c:pt>
                <c:pt idx="30">
                  <c:v>18.5</c:v>
                </c:pt>
                <c:pt idx="31">
                  <c:v>28</c:v>
                </c:pt>
                <c:pt idx="32">
                  <c:v>91.3</c:v>
                </c:pt>
                <c:pt idx="33">
                  <c:v>51.5</c:v>
                </c:pt>
                <c:pt idx="34">
                  <c:v>11.5</c:v>
                </c:pt>
                <c:pt idx="35">
                  <c:v>37.6</c:v>
                </c:pt>
                <c:pt idx="36">
                  <c:v>37.799999999999997</c:v>
                </c:pt>
                <c:pt idx="37">
                  <c:v>5</c:v>
                </c:pt>
                <c:pt idx="38">
                  <c:v>158.5</c:v>
                </c:pt>
                <c:pt idx="39">
                  <c:v>63.4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C-4140-B0B5-0F5FF5087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71680"/>
        <c:axId val="145673216"/>
      </c:lineChart>
      <c:catAx>
        <c:axId val="145671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5673216"/>
        <c:crosses val="autoZero"/>
        <c:auto val="0"/>
        <c:lblAlgn val="ctr"/>
        <c:lblOffset val="100"/>
        <c:noMultiLvlLbl val="0"/>
      </c:catAx>
      <c:valAx>
        <c:axId val="1456732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chl a (µg L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</a:p>
            </c:rich>
          </c:tx>
          <c:layout>
            <c:manualLayout>
              <c:xMode val="edge"/>
              <c:yMode val="edge"/>
              <c:x val="6.6006600660066007E-3"/>
              <c:y val="0.27601679080752384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5671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12546579825667E-2"/>
          <c:y val="5.7912511950430803E-2"/>
          <c:w val="0.80840348660121186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tx>
            <c:v>spui 1 (LO)</c:v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nachtvangsten!$AC$2:$AC$9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E-485A-A84E-6D6DB95C020E}"/>
            </c:ext>
          </c:extLst>
        </c:ser>
        <c:ser>
          <c:idx val="1"/>
          <c:order val="1"/>
          <c:tx>
            <c:v>spui 2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nachtvangsten!$AD$2:$AD$9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E-485A-A84E-6D6DB95C020E}"/>
            </c:ext>
          </c:extLst>
        </c:ser>
        <c:ser>
          <c:idx val="2"/>
          <c:order val="2"/>
          <c:tx>
            <c:v>spui 3</c:v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nachtvangsten!$AE$2:$AE$9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7E-485A-A84E-6D6DB95C020E}"/>
            </c:ext>
          </c:extLst>
        </c:ser>
        <c:ser>
          <c:idx val="3"/>
          <c:order val="3"/>
          <c:tx>
            <c:v>spui 4</c:v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nachtvangsten!$AF$2:$AF$9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7E-485A-A84E-6D6DB95C020E}"/>
            </c:ext>
          </c:extLst>
        </c:ser>
        <c:ser>
          <c:idx val="4"/>
          <c:order val="4"/>
          <c:tx>
            <c:v>spui 5</c:v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nachtvangsten!$AG$2:$AG$9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7E-485A-A84E-6D6DB95C020E}"/>
            </c:ext>
          </c:extLst>
        </c:ser>
        <c:ser>
          <c:idx val="5"/>
          <c:order val="5"/>
          <c:tx>
            <c:v>spui 6</c:v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nachtvangsten!$AH$2:$AH$9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7E-485A-A84E-6D6DB95C020E}"/>
            </c:ext>
          </c:extLst>
        </c:ser>
        <c:ser>
          <c:idx val="6"/>
          <c:order val="6"/>
          <c:tx>
            <c:v>spui 7</c:v>
          </c:tx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nachtvangsten!$AI$2:$AI$9</c:f>
              <c:numCache>
                <c:formatCode>General</c:formatCode>
                <c:ptCount val="8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7E-485A-A84E-6D6DB95C020E}"/>
            </c:ext>
          </c:extLst>
        </c:ser>
        <c:ser>
          <c:idx val="7"/>
          <c:order val="7"/>
          <c:tx>
            <c:v>spui 8</c:v>
          </c:tx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nachtvangsten!$AJ$2:$AJ$9</c:f>
              <c:numCache>
                <c:formatCode>General</c:formatCode>
                <c:ptCount val="8"/>
                <c:pt idx="0">
                  <c:v>15</c:v>
                </c:pt>
                <c:pt idx="1">
                  <c:v>3</c:v>
                </c:pt>
                <c:pt idx="2">
                  <c:v>21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7E-485A-A84E-6D6DB95C020E}"/>
            </c:ext>
          </c:extLst>
        </c:ser>
        <c:ser>
          <c:idx val="8"/>
          <c:order val="8"/>
          <c:tx>
            <c:v>spui 9 (RO)</c:v>
          </c:tx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nachtvangsten!$AK$2:$AK$9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7E-485A-A84E-6D6DB95C0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24576"/>
        <c:axId val="142826112"/>
      </c:barChart>
      <c:lineChart>
        <c:grouping val="standard"/>
        <c:varyColors val="0"/>
        <c:ser>
          <c:idx val="9"/>
          <c:order val="9"/>
          <c:tx>
            <c:v>totaal</c:v>
          </c:tx>
          <c:spPr>
            <a:ln w="28575">
              <a:solidFill>
                <a:schemeClr val="bg2">
                  <a:lumMod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nachtvangsten!$AL$2:$AL$9</c:f>
              <c:numCache>
                <c:formatCode>General</c:formatCode>
                <c:ptCount val="8"/>
                <c:pt idx="0">
                  <c:v>30</c:v>
                </c:pt>
                <c:pt idx="1">
                  <c:v>17</c:v>
                </c:pt>
                <c:pt idx="2">
                  <c:v>52</c:v>
                </c:pt>
                <c:pt idx="3">
                  <c:v>16</c:v>
                </c:pt>
                <c:pt idx="4">
                  <c:v>2</c:v>
                </c:pt>
                <c:pt idx="5">
                  <c:v>13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7E-485A-A84E-6D6DB95C0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30208"/>
        <c:axId val="142828288"/>
      </c:lineChart>
      <c:catAx>
        <c:axId val="142824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2826112"/>
        <c:crosses val="autoZero"/>
        <c:auto val="0"/>
        <c:lblAlgn val="ctr"/>
        <c:lblOffset val="100"/>
        <c:noMultiLvlLbl val="0"/>
      </c:catAx>
      <c:valAx>
        <c:axId val="142826112"/>
        <c:scaling>
          <c:orientation val="minMax"/>
          <c:max val="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glasalen/spui</a:t>
                </a:r>
                <a:endParaRPr lang="en-US" sz="1400" baseline="30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824576"/>
        <c:crosses val="autoZero"/>
        <c:crossBetween val="between"/>
      </c:valAx>
      <c:valAx>
        <c:axId val="14282828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totaal N glasalen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830208"/>
        <c:crosses val="max"/>
        <c:crossBetween val="between"/>
      </c:valAx>
      <c:dateAx>
        <c:axId val="142830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2828288"/>
        <c:crosses val="autoZero"/>
        <c:auto val="1"/>
        <c:lblOffset val="100"/>
        <c:baseTimeUnit val="days"/>
      </c:dateAx>
      <c:spPr>
        <a:noFill/>
      </c:spPr>
    </c:plotArea>
    <c:legend>
      <c:legendPos val="r"/>
      <c:layout>
        <c:manualLayout>
          <c:xMode val="edge"/>
          <c:yMode val="edge"/>
          <c:x val="0.68944525452836913"/>
          <c:y val="5.9272196607069227E-2"/>
          <c:w val="0.23873400084248728"/>
          <c:h val="0.4116808337161113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</c:spPr>
          <c:invertIfNegative val="0"/>
          <c:cat>
            <c:strRef>
              <c:f>nachtvangsten!$AC$10:$AK$10</c:f>
              <c:strCache>
                <c:ptCount val="9"/>
                <c:pt idx="0">
                  <c:v>spui 1 (LO)</c:v>
                </c:pt>
                <c:pt idx="1">
                  <c:v>spui 2</c:v>
                </c:pt>
                <c:pt idx="2">
                  <c:v>spui 3</c:v>
                </c:pt>
                <c:pt idx="3">
                  <c:v>spui 4</c:v>
                </c:pt>
                <c:pt idx="4">
                  <c:v>spui 5</c:v>
                </c:pt>
                <c:pt idx="5">
                  <c:v>spui 6</c:v>
                </c:pt>
                <c:pt idx="6">
                  <c:v>spui 7</c:v>
                </c:pt>
                <c:pt idx="7">
                  <c:v>spui 8</c:v>
                </c:pt>
                <c:pt idx="8">
                  <c:v>spui 9 (RO)</c:v>
                </c:pt>
              </c:strCache>
            </c:strRef>
          </c:cat>
          <c:val>
            <c:numRef>
              <c:f>nachtvangsten!$AC$11:$AK$11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13</c:v>
                </c:pt>
                <c:pt idx="7">
                  <c:v>45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E-4F3F-9566-4B79DA91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842112"/>
        <c:axId val="142848384"/>
      </c:barChart>
      <c:catAx>
        <c:axId val="14284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locatie</a:t>
                </a:r>
              </a:p>
            </c:rich>
          </c:tx>
          <c:layout>
            <c:manualLayout>
              <c:xMode val="edge"/>
              <c:yMode val="edge"/>
              <c:x val="0.47117475940507436"/>
              <c:y val="0.8786803732866724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42848384"/>
        <c:crosses val="autoZero"/>
        <c:auto val="1"/>
        <c:lblAlgn val="ctr"/>
        <c:lblOffset val="100"/>
        <c:noMultiLvlLbl val="0"/>
      </c:catAx>
      <c:valAx>
        <c:axId val="142848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N gevangen glasalen</a:t>
                </a:r>
                <a:endParaRPr lang="en-US" sz="1100" baseline="30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84211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9812546579825667E-2"/>
          <c:y val="5.7912511950430803E-2"/>
          <c:w val="0.80840348660121186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solidFill>
                <a:srgbClr val="002060"/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nachtvangsten!$AC$27:$AC$34</c:f>
              <c:numCache>
                <c:formatCode>General</c:formatCode>
                <c:ptCount val="8"/>
                <c:pt idx="0">
                  <c:v>0</c:v>
                </c:pt>
                <c:pt idx="1">
                  <c:v>6</c:v>
                </c:pt>
                <c:pt idx="2">
                  <c:v>17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9-40F7-A2CF-55EB1668CE29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nachtvangsten!$AD$27:$AD$34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9-40F7-A2CF-55EB1668CE29}"/>
            </c:ext>
          </c:extLst>
        </c:ser>
        <c:ser>
          <c:idx val="2"/>
          <c:order val="2"/>
          <c:spPr>
            <a:solidFill>
              <a:srgbClr val="00B050"/>
            </a:solidFill>
            <a:ln>
              <a:solidFill>
                <a:srgbClr val="00B050"/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nachtvangsten!$AE$27:$AE$34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15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19-40F7-A2CF-55EB1668CE29}"/>
            </c:ext>
          </c:extLst>
        </c:ser>
        <c:ser>
          <c:idx val="3"/>
          <c:order val="3"/>
          <c:spPr>
            <a:solidFill>
              <a:schemeClr val="accent2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nachtvangsten!$AF$27:$AF$34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19-40F7-A2CF-55EB1668CE29}"/>
            </c:ext>
          </c:extLst>
        </c:ser>
        <c:ser>
          <c:idx val="4"/>
          <c:order val="4"/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nachtvangsten!$AG$27:$AG$34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17</c:v>
                </c:pt>
                <c:pt idx="3">
                  <c:v>13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19-40F7-A2CF-55EB1668CE29}"/>
            </c:ext>
          </c:extLst>
        </c:ser>
        <c:ser>
          <c:idx val="5"/>
          <c:order val="5"/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nachtvangsten!$AH$27:$AH$34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12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19-40F7-A2CF-55EB1668CE29}"/>
            </c:ext>
          </c:extLst>
        </c:ser>
        <c:ser>
          <c:idx val="6"/>
          <c:order val="6"/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nachtvangsten!$AI$27:$AI$34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3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19-40F7-A2CF-55EB1668CE29}"/>
            </c:ext>
          </c:extLst>
        </c:ser>
        <c:ser>
          <c:idx val="7"/>
          <c:order val="7"/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nachtvangsten!$AJ$27:$AJ$34</c:f>
              <c:numCache>
                <c:formatCode>General</c:formatCode>
                <c:ptCount val="8"/>
                <c:pt idx="0">
                  <c:v>0</c:v>
                </c:pt>
                <c:pt idx="1">
                  <c:v>8</c:v>
                </c:pt>
                <c:pt idx="2">
                  <c:v>14</c:v>
                </c:pt>
                <c:pt idx="3">
                  <c:v>3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19-40F7-A2CF-55EB1668CE29}"/>
            </c:ext>
          </c:extLst>
        </c:ser>
        <c:ser>
          <c:idx val="8"/>
          <c:order val="8"/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nachtvangsten!$AK$27:$AK$34</c:f>
              <c:numCache>
                <c:formatCode>General</c:formatCode>
                <c:ptCount val="8"/>
                <c:pt idx="0">
                  <c:v>0</c:v>
                </c:pt>
                <c:pt idx="1">
                  <c:v>7</c:v>
                </c:pt>
                <c:pt idx="2">
                  <c:v>29</c:v>
                </c:pt>
                <c:pt idx="3">
                  <c:v>7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19-40F7-A2CF-55EB1668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571648"/>
        <c:axId val="146573184"/>
      </c:barChart>
      <c:lineChart>
        <c:grouping val="standard"/>
        <c:varyColors val="0"/>
        <c:ser>
          <c:idx val="9"/>
          <c:order val="9"/>
          <c:spPr>
            <a:ln w="28575">
              <a:solidFill>
                <a:schemeClr val="bg2">
                  <a:lumMod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nachtvangsten!$AL$27:$AL$34</c:f>
              <c:numCache>
                <c:formatCode>General</c:formatCode>
                <c:ptCount val="8"/>
                <c:pt idx="0">
                  <c:v>0</c:v>
                </c:pt>
                <c:pt idx="1">
                  <c:v>37</c:v>
                </c:pt>
                <c:pt idx="2">
                  <c:v>134</c:v>
                </c:pt>
                <c:pt idx="3">
                  <c:v>63</c:v>
                </c:pt>
                <c:pt idx="4">
                  <c:v>36</c:v>
                </c:pt>
                <c:pt idx="5">
                  <c:v>20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19-40F7-A2CF-55EB1668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77280"/>
        <c:axId val="146575360"/>
      </c:lineChart>
      <c:catAx>
        <c:axId val="146571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6573184"/>
        <c:crosses val="autoZero"/>
        <c:auto val="0"/>
        <c:lblAlgn val="ctr"/>
        <c:lblOffset val="100"/>
        <c:noMultiLvlLbl val="0"/>
      </c:catAx>
      <c:valAx>
        <c:axId val="146573184"/>
        <c:scaling>
          <c:orientation val="minMax"/>
          <c:max val="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glasalen/spui</a:t>
                </a:r>
                <a:endParaRPr lang="en-US" sz="1400" baseline="30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571648"/>
        <c:crosses val="autoZero"/>
        <c:crossBetween val="between"/>
      </c:valAx>
      <c:valAx>
        <c:axId val="1465753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totaal N glasalen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577280"/>
        <c:crosses val="max"/>
        <c:crossBetween val="between"/>
      </c:valAx>
      <c:dateAx>
        <c:axId val="1465772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6575360"/>
        <c:crosses val="autoZero"/>
        <c:auto val="1"/>
        <c:lblOffset val="100"/>
        <c:baseTimeUnit val="days"/>
      </c:dateAx>
      <c:spPr>
        <a:noFill/>
      </c:spPr>
    </c:plotArea>
    <c:legend>
      <c:legendPos val="r"/>
      <c:layout>
        <c:manualLayout>
          <c:xMode val="edge"/>
          <c:yMode val="edge"/>
          <c:x val="0.68944525452836913"/>
          <c:y val="5.9272196607069227E-2"/>
          <c:w val="0.23873400084248728"/>
          <c:h val="0.41168083371611136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038867826706847"/>
          <c:y val="4.8168394368099131E-2"/>
          <c:w val="0.77136644956417488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tx>
            <c:v>gravitair</c:v>
          </c:tx>
          <c:spPr>
            <a:solidFill>
              <a:sysClr val="windowText" lastClr="000000">
                <a:alpha val="51000"/>
              </a:sysClr>
            </a:solidFill>
            <a:ln>
              <a:solidFill>
                <a:srgbClr val="002060"/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nachtvangsten!$AZ$2:$AZ$9</c:f>
              <c:numCache>
                <c:formatCode>General</c:formatCode>
                <c:ptCount val="8"/>
                <c:pt idx="0">
                  <c:v>25</c:v>
                </c:pt>
                <c:pt idx="1">
                  <c:v>13</c:v>
                </c:pt>
                <c:pt idx="2">
                  <c:v>43</c:v>
                </c:pt>
                <c:pt idx="3">
                  <c:v>10</c:v>
                </c:pt>
                <c:pt idx="4">
                  <c:v>2</c:v>
                </c:pt>
                <c:pt idx="5">
                  <c:v>8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B-4C60-B1BB-481E2FCB82B3}"/>
            </c:ext>
          </c:extLst>
        </c:ser>
        <c:ser>
          <c:idx val="1"/>
          <c:order val="1"/>
          <c:tx>
            <c:v>pomp</c:v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nachtvangsten!$BA$2:$BA$9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B-4C60-B1BB-481E2FCB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00928"/>
        <c:axId val="146302848"/>
      </c:barChart>
      <c:lineChart>
        <c:grouping val="standard"/>
        <c:varyColors val="0"/>
        <c:ser>
          <c:idx val="2"/>
          <c:order val="2"/>
          <c:tx>
            <c:v>totaal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 w="12700">
                <a:solidFill>
                  <a:sysClr val="windowText" lastClr="000000"/>
                </a:solidFill>
              </a:ln>
            </c:spPr>
          </c:marker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nachtvangsten!$BB$2:$BB$9</c:f>
              <c:numCache>
                <c:formatCode>General</c:formatCode>
                <c:ptCount val="8"/>
                <c:pt idx="0">
                  <c:v>30</c:v>
                </c:pt>
                <c:pt idx="1">
                  <c:v>17</c:v>
                </c:pt>
                <c:pt idx="2">
                  <c:v>52</c:v>
                </c:pt>
                <c:pt idx="3">
                  <c:v>16</c:v>
                </c:pt>
                <c:pt idx="4">
                  <c:v>2</c:v>
                </c:pt>
                <c:pt idx="5">
                  <c:v>13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0B-4C60-B1BB-481E2FCB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06944"/>
        <c:axId val="146305024"/>
      </c:lineChart>
      <c:catAx>
        <c:axId val="146300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6302848"/>
        <c:crosses val="autoZero"/>
        <c:auto val="0"/>
        <c:lblAlgn val="ctr"/>
        <c:lblOffset val="100"/>
        <c:noMultiLvlLbl val="0"/>
      </c:catAx>
      <c:valAx>
        <c:axId val="146302848"/>
        <c:scaling>
          <c:orientation val="minMax"/>
          <c:max val="7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glasalen/spui 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1.1611256926217556E-2"/>
              <c:y val="0.251653191857211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300928"/>
        <c:crosses val="autoZero"/>
        <c:crossBetween val="between"/>
      </c:valAx>
      <c:valAx>
        <c:axId val="146305024"/>
        <c:scaling>
          <c:orientation val="minMax"/>
          <c:max val="14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 totaal</a:t>
                </a:r>
              </a:p>
            </c:rich>
          </c:tx>
          <c:layout>
            <c:manualLayout>
              <c:xMode val="edge"/>
              <c:yMode val="edge"/>
              <c:x val="0.95762629208385985"/>
              <c:y val="0.24240437113747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306944"/>
        <c:crosses val="max"/>
        <c:crossBetween val="between"/>
      </c:valAx>
      <c:dateAx>
        <c:axId val="1463069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6305024"/>
        <c:crosses val="autoZero"/>
        <c:auto val="1"/>
        <c:lblOffset val="100"/>
        <c:baseTimeUnit val="days"/>
      </c:dateAx>
      <c:spPr>
        <a:noFill/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6277168594666408"/>
          <c:y val="6.9016412225844828E-2"/>
          <c:w val="0.23873400084248728"/>
          <c:h val="0.28500603067202862"/>
        </c:manualLayout>
      </c:layout>
      <c:overlay val="0"/>
      <c:txPr>
        <a:bodyPr/>
        <a:lstStyle/>
        <a:p>
          <a:pPr>
            <a:defRPr sz="1400"/>
          </a:pPr>
          <a:endParaRPr lang="nl-BE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038867826706847"/>
          <c:y val="4.8168394368099131E-2"/>
          <c:w val="0.77136644956417488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tx>
            <c:v>gravitair</c:v>
          </c:tx>
          <c:spPr>
            <a:solidFill>
              <a:sysClr val="windowText" lastClr="000000">
                <a:alpha val="51000"/>
              </a:sysClr>
            </a:solidFill>
            <a:ln>
              <a:solidFill>
                <a:srgbClr val="002060"/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nachtvangsten!$AZ$27:$AZ$34</c:f>
              <c:numCache>
                <c:formatCode>General</c:formatCode>
                <c:ptCount val="8"/>
                <c:pt idx="0">
                  <c:v>0</c:v>
                </c:pt>
                <c:pt idx="1">
                  <c:v>23</c:v>
                </c:pt>
                <c:pt idx="2">
                  <c:v>68</c:v>
                </c:pt>
                <c:pt idx="3">
                  <c:v>21</c:v>
                </c:pt>
                <c:pt idx="4">
                  <c:v>15</c:v>
                </c:pt>
                <c:pt idx="5">
                  <c:v>12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E-4718-BFF9-098DDB6FC219}"/>
            </c:ext>
          </c:extLst>
        </c:ser>
        <c:ser>
          <c:idx val="1"/>
          <c:order val="1"/>
          <c:tx>
            <c:v>pomp</c:v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nachtvangsten!$BA$27:$BA$34</c:f>
              <c:numCache>
                <c:formatCode>General</c:formatCode>
                <c:ptCount val="8"/>
                <c:pt idx="0">
                  <c:v>0</c:v>
                </c:pt>
                <c:pt idx="1">
                  <c:v>14</c:v>
                </c:pt>
                <c:pt idx="2">
                  <c:v>66</c:v>
                </c:pt>
                <c:pt idx="3">
                  <c:v>42</c:v>
                </c:pt>
                <c:pt idx="4">
                  <c:v>21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E-4718-BFF9-098DDB6FC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54560"/>
        <c:axId val="146356480"/>
      </c:barChart>
      <c:lineChart>
        <c:grouping val="standard"/>
        <c:varyColors val="0"/>
        <c:ser>
          <c:idx val="2"/>
          <c:order val="2"/>
          <c:tx>
            <c:v>totaal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 w="12700">
                <a:solidFill>
                  <a:sysClr val="windowText" lastClr="000000"/>
                </a:solidFill>
              </a:ln>
            </c:spPr>
          </c:marker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nachtvangsten!$BB$27:$BB$34</c:f>
              <c:numCache>
                <c:formatCode>General</c:formatCode>
                <c:ptCount val="8"/>
                <c:pt idx="0">
                  <c:v>0</c:v>
                </c:pt>
                <c:pt idx="1">
                  <c:v>37</c:v>
                </c:pt>
                <c:pt idx="2">
                  <c:v>134</c:v>
                </c:pt>
                <c:pt idx="3">
                  <c:v>63</c:v>
                </c:pt>
                <c:pt idx="4">
                  <c:v>36</c:v>
                </c:pt>
                <c:pt idx="5">
                  <c:v>20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4E-4718-BFF9-098DDB6FC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64672"/>
        <c:axId val="146362752"/>
      </c:lineChart>
      <c:catAx>
        <c:axId val="146354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6356480"/>
        <c:crosses val="autoZero"/>
        <c:auto val="0"/>
        <c:lblAlgn val="ctr"/>
        <c:lblOffset val="100"/>
        <c:noMultiLvlLbl val="0"/>
      </c:catAx>
      <c:valAx>
        <c:axId val="146356480"/>
        <c:scaling>
          <c:orientation val="minMax"/>
          <c:max val="7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glasalen/spui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1.1611256926217556E-2"/>
              <c:y val="0.251653191857211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354560"/>
        <c:crosses val="autoZero"/>
        <c:crossBetween val="between"/>
      </c:valAx>
      <c:valAx>
        <c:axId val="146362752"/>
        <c:scaling>
          <c:orientation val="minMax"/>
          <c:max val="14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 totaal</a:t>
                </a:r>
              </a:p>
            </c:rich>
          </c:tx>
          <c:layout>
            <c:manualLayout>
              <c:xMode val="edge"/>
              <c:yMode val="edge"/>
              <c:x val="0.95762629208385985"/>
              <c:y val="0.24240437113747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364672"/>
        <c:crosses val="max"/>
        <c:crossBetween val="between"/>
      </c:valAx>
      <c:dateAx>
        <c:axId val="1463646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6362752"/>
        <c:crosses val="autoZero"/>
        <c:auto val="1"/>
        <c:lblOffset val="100"/>
        <c:baseTimeUnit val="days"/>
      </c:dateAx>
      <c:spPr>
        <a:noFill/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6277168594666408"/>
          <c:y val="6.9016412225844828E-2"/>
          <c:w val="0.23873400084248728"/>
          <c:h val="0.28500603067202862"/>
        </c:manualLayout>
      </c:layout>
      <c:overlay val="0"/>
      <c:txPr>
        <a:bodyPr/>
        <a:lstStyle/>
        <a:p>
          <a:pPr>
            <a:defRPr sz="1400"/>
          </a:pPr>
          <a:endParaRPr lang="nl-BE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038867826706847"/>
          <c:y val="4.8168394368099131E-2"/>
          <c:w val="0.77136644956417488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tx>
            <c:v>gravitary canal</c:v>
          </c:tx>
          <c:spPr>
            <a:solidFill>
              <a:srgbClr val="92D050">
                <a:alpha val="51000"/>
              </a:srgbClr>
            </a:solidFill>
            <a:ln>
              <a:noFill/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nachtvangsten!$BD$2:$BD$9</c:f>
              <c:numCache>
                <c:formatCode>0.0</c:formatCode>
                <c:ptCount val="8"/>
                <c:pt idx="0">
                  <c:v>1.5625</c:v>
                </c:pt>
                <c:pt idx="1">
                  <c:v>0.8125</c:v>
                </c:pt>
                <c:pt idx="2">
                  <c:v>2.6875</c:v>
                </c:pt>
                <c:pt idx="3">
                  <c:v>0.625</c:v>
                </c:pt>
                <c:pt idx="4">
                  <c:v>0.125</c:v>
                </c:pt>
                <c:pt idx="5">
                  <c:v>0.5</c:v>
                </c:pt>
                <c:pt idx="6">
                  <c:v>0.125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2-4C93-B2F5-AE3304EA8DD5}"/>
            </c:ext>
          </c:extLst>
        </c:ser>
        <c:ser>
          <c:idx val="1"/>
          <c:order val="1"/>
          <c:tx>
            <c:v>pump canal</c:v>
          </c:tx>
          <c:spPr>
            <a:solidFill>
              <a:srgbClr val="4BACC6">
                <a:lumMod val="60000"/>
                <a:lumOff val="40000"/>
              </a:srgbClr>
            </a:solidFill>
            <a:ln>
              <a:noFill/>
            </a:ln>
          </c:spPr>
          <c:invertIfNegative val="0"/>
          <c:cat>
            <c:numRef>
              <c:f>nachtvangsten!$AB$2:$AB$9</c:f>
              <c:numCache>
                <c:formatCode>m/d/yyyy</c:formatCode>
                <c:ptCount val="8"/>
                <c:pt idx="0">
                  <c:v>42441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42490</c:v>
                </c:pt>
              </c:numCache>
            </c:numRef>
          </c:cat>
          <c:val>
            <c:numRef>
              <c:f>nachtvangsten!$BE$2:$BE$9</c:f>
              <c:numCache>
                <c:formatCode>0.0</c:formatCode>
                <c:ptCount val="8"/>
                <c:pt idx="0">
                  <c:v>0.25</c:v>
                </c:pt>
                <c:pt idx="1">
                  <c:v>0.2</c:v>
                </c:pt>
                <c:pt idx="2">
                  <c:v>0.45</c:v>
                </c:pt>
                <c:pt idx="3">
                  <c:v>0.3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C2-4C93-B2F5-AE3304EA8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10496"/>
        <c:axId val="146412288"/>
      </c:barChart>
      <c:catAx>
        <c:axId val="146410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6412288"/>
        <c:crosses val="autoZero"/>
        <c:auto val="0"/>
        <c:lblAlgn val="ctr"/>
        <c:lblOffset val="100"/>
        <c:noMultiLvlLbl val="0"/>
      </c:catAx>
      <c:valAx>
        <c:axId val="146412288"/>
        <c:scaling>
          <c:orientation val="minMax"/>
          <c:max val="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CPUE (av. N</a:t>
                </a:r>
                <a:r>
                  <a:rPr lang="en-US" sz="1400" baseline="0"/>
                  <a:t> lift</a:t>
                </a:r>
                <a:r>
                  <a:rPr lang="en-US" sz="1400" baseline="30000"/>
                  <a:t>-1</a:t>
                </a:r>
                <a:r>
                  <a:rPr lang="en-US" sz="1400" baseline="0"/>
                  <a:t>)</a:t>
                </a:r>
                <a:r>
                  <a:rPr lang="en-US" sz="1400"/>
                  <a:t> 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1.1611256926217556E-2"/>
              <c:y val="0.2516531918572116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410496"/>
        <c:crosses val="autoZero"/>
        <c:crossBetween val="between"/>
        <c:majorUnit val="1"/>
      </c:valAx>
      <c:spPr>
        <a:noFill/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54746994588639386"/>
          <c:y val="6.9016412225844828E-2"/>
          <c:w val="0.31898091442273419"/>
          <c:h val="0.18106773073842225"/>
        </c:manualLayout>
      </c:layout>
      <c:overlay val="0"/>
      <c:txPr>
        <a:bodyPr/>
        <a:lstStyle/>
        <a:p>
          <a:pPr>
            <a:defRPr sz="1400"/>
          </a:pPr>
          <a:endParaRPr lang="nl-BE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038867826706847"/>
          <c:y val="4.8168394368099131E-2"/>
          <c:w val="0.77136644956417488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tx>
            <c:v>gravitair kanaal</c:v>
          </c:tx>
          <c:spPr>
            <a:solidFill>
              <a:srgbClr val="92D050">
                <a:alpha val="51000"/>
              </a:srgbClr>
            </a:solidFill>
            <a:ln>
              <a:noFill/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nachtvangsten!$BD$27:$BD$34</c:f>
              <c:numCache>
                <c:formatCode>0.0</c:formatCode>
                <c:ptCount val="8"/>
                <c:pt idx="0">
                  <c:v>0</c:v>
                </c:pt>
                <c:pt idx="1">
                  <c:v>1.4375</c:v>
                </c:pt>
                <c:pt idx="2">
                  <c:v>4.25</c:v>
                </c:pt>
                <c:pt idx="3">
                  <c:v>1.3125</c:v>
                </c:pt>
                <c:pt idx="4">
                  <c:v>0.9375</c:v>
                </c:pt>
                <c:pt idx="5">
                  <c:v>0.75</c:v>
                </c:pt>
                <c:pt idx="6">
                  <c:v>0.125</c:v>
                </c:pt>
                <c:pt idx="7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3-420C-8F56-E0B5D6C50883}"/>
            </c:ext>
          </c:extLst>
        </c:ser>
        <c:ser>
          <c:idx val="1"/>
          <c:order val="1"/>
          <c:tx>
            <c:v>pomp kanaal</c:v>
          </c:tx>
          <c:spPr>
            <a:solidFill>
              <a:srgbClr val="4BACC6">
                <a:lumMod val="60000"/>
                <a:lumOff val="40000"/>
              </a:srgbClr>
            </a:solidFill>
            <a:ln>
              <a:noFill/>
            </a:ln>
          </c:spPr>
          <c:invertIfNegative val="0"/>
          <c:cat>
            <c:numRef>
              <c:f>nachtvangsten!$AB$27:$AB$34</c:f>
              <c:numCache>
                <c:formatCode>m/d/yyyy</c:formatCode>
                <c:ptCount val="8"/>
                <c:pt idx="0">
                  <c:v>42798</c:v>
                </c:pt>
                <c:pt idx="1">
                  <c:v>42804</c:v>
                </c:pt>
                <c:pt idx="2">
                  <c:v>42812</c:v>
                </c:pt>
                <c:pt idx="3">
                  <c:v>42818</c:v>
                </c:pt>
                <c:pt idx="4">
                  <c:v>42826</c:v>
                </c:pt>
                <c:pt idx="5">
                  <c:v>42832</c:v>
                </c:pt>
                <c:pt idx="6">
                  <c:v>42840</c:v>
                </c:pt>
                <c:pt idx="7">
                  <c:v>42847</c:v>
                </c:pt>
              </c:numCache>
            </c:numRef>
          </c:cat>
          <c:val>
            <c:numRef>
              <c:f>nachtvangsten!$BE$27:$BE$34</c:f>
              <c:numCache>
                <c:formatCode>0.0</c:formatCode>
                <c:ptCount val="8"/>
                <c:pt idx="0">
                  <c:v>0</c:v>
                </c:pt>
                <c:pt idx="1">
                  <c:v>0.7</c:v>
                </c:pt>
                <c:pt idx="2">
                  <c:v>3.3</c:v>
                </c:pt>
                <c:pt idx="3">
                  <c:v>2.1</c:v>
                </c:pt>
                <c:pt idx="4">
                  <c:v>1.05</c:v>
                </c:pt>
                <c:pt idx="5">
                  <c:v>0.4</c:v>
                </c:pt>
                <c:pt idx="6">
                  <c:v>0.3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3-420C-8F56-E0B5D6C50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54016"/>
        <c:axId val="146455552"/>
      </c:barChart>
      <c:catAx>
        <c:axId val="146454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6455552"/>
        <c:crosses val="autoZero"/>
        <c:auto val="0"/>
        <c:lblAlgn val="ctr"/>
        <c:lblOffset val="100"/>
        <c:noMultiLvlLbl val="0"/>
      </c:catAx>
      <c:valAx>
        <c:axId val="146455552"/>
        <c:scaling>
          <c:orientation val="minMax"/>
          <c:max val="5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 baseline="0"/>
                  <a:t>CPUE (gem. N trek</a:t>
                </a:r>
                <a:r>
                  <a:rPr lang="en-US" sz="1400" baseline="30000"/>
                  <a:t>-1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1.1611256926217556E-2"/>
              <c:y val="0.2516531918572116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454016"/>
        <c:crosses val="autoZero"/>
        <c:crossBetween val="between"/>
        <c:majorUnit val="1"/>
      </c:valAx>
      <c:spPr>
        <a:noFill/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56187323806746381"/>
          <c:y val="6.9016412225844828E-2"/>
          <c:w val="0.30457762224166424"/>
          <c:h val="0.19730809010304826"/>
        </c:manualLayout>
      </c:layout>
      <c:overlay val="0"/>
      <c:txPr>
        <a:bodyPr/>
        <a:lstStyle/>
        <a:p>
          <a:pPr>
            <a:defRPr sz="1400"/>
          </a:pPr>
          <a:endParaRPr lang="nl-BE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038867826706847"/>
          <c:y val="4.8168394368099131E-2"/>
          <c:w val="0.77136644956417488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tx>
            <c:v>gravitair</c:v>
          </c:tx>
          <c:spPr>
            <a:solidFill>
              <a:sysClr val="windowText" lastClr="000000">
                <a:alpha val="51000"/>
              </a:sysClr>
            </a:solidFill>
            <a:ln>
              <a:solidFill>
                <a:srgbClr val="002060"/>
              </a:solidFill>
            </a:ln>
          </c:spPr>
          <c:invertIfNegative val="0"/>
          <c:cat>
            <c:numRef>
              <c:f>nachtvangsten!$AB$59:$AB$66</c:f>
              <c:numCache>
                <c:formatCode>m/d/yyyy</c:formatCode>
                <c:ptCount val="8"/>
                <c:pt idx="0">
                  <c:v>43179</c:v>
                </c:pt>
                <c:pt idx="1">
                  <c:v>43186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43214</c:v>
                </c:pt>
                <c:pt idx="6">
                  <c:v>43222</c:v>
                </c:pt>
                <c:pt idx="7">
                  <c:v>43235</c:v>
                </c:pt>
              </c:numCache>
            </c:numRef>
          </c:cat>
          <c:val>
            <c:numRef>
              <c:f>nachtvangsten!$AZ$59:$AZ$66</c:f>
              <c:numCache>
                <c:formatCode>General</c:formatCode>
                <c:ptCount val="8"/>
                <c:pt idx="0">
                  <c:v>9</c:v>
                </c:pt>
                <c:pt idx="1">
                  <c:v>137</c:v>
                </c:pt>
                <c:pt idx="2">
                  <c:v>114</c:v>
                </c:pt>
                <c:pt idx="3">
                  <c:v>38</c:v>
                </c:pt>
                <c:pt idx="4">
                  <c:v>79</c:v>
                </c:pt>
                <c:pt idx="5">
                  <c:v>55</c:v>
                </c:pt>
                <c:pt idx="6">
                  <c:v>43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9-45DD-871F-1B3CE3289F4F}"/>
            </c:ext>
          </c:extLst>
        </c:ser>
        <c:ser>
          <c:idx val="1"/>
          <c:order val="1"/>
          <c:tx>
            <c:v>pomp</c:v>
          </c:tx>
          <c:spPr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nachtvangsten!$AB$59:$AB$66</c:f>
              <c:numCache>
                <c:formatCode>m/d/yyyy</c:formatCode>
                <c:ptCount val="8"/>
                <c:pt idx="0">
                  <c:v>43179</c:v>
                </c:pt>
                <c:pt idx="1">
                  <c:v>43186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43214</c:v>
                </c:pt>
                <c:pt idx="6">
                  <c:v>43222</c:v>
                </c:pt>
                <c:pt idx="7">
                  <c:v>43235</c:v>
                </c:pt>
              </c:numCache>
            </c:numRef>
          </c:cat>
          <c:val>
            <c:numRef>
              <c:f>nachtvangsten!$BA$59:$BA$66</c:f>
              <c:numCache>
                <c:formatCode>General</c:formatCode>
                <c:ptCount val="8"/>
                <c:pt idx="0">
                  <c:v>8</c:v>
                </c:pt>
                <c:pt idx="1">
                  <c:v>170</c:v>
                </c:pt>
                <c:pt idx="2">
                  <c:v>92</c:v>
                </c:pt>
                <c:pt idx="3">
                  <c:v>60</c:v>
                </c:pt>
                <c:pt idx="4">
                  <c:v>97</c:v>
                </c:pt>
                <c:pt idx="5">
                  <c:v>68</c:v>
                </c:pt>
                <c:pt idx="6">
                  <c:v>17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79-45DD-871F-1B3CE3289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023360"/>
        <c:axId val="147025280"/>
      </c:barChart>
      <c:lineChart>
        <c:grouping val="standard"/>
        <c:varyColors val="0"/>
        <c:ser>
          <c:idx val="2"/>
          <c:order val="2"/>
          <c:tx>
            <c:v>totaal</c:v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 w="12700">
                <a:solidFill>
                  <a:sysClr val="windowText" lastClr="000000"/>
                </a:solidFill>
              </a:ln>
            </c:spPr>
          </c:marker>
          <c:cat>
            <c:numRef>
              <c:f>nachtvangsten!$AB$59:$AB$66</c:f>
              <c:numCache>
                <c:formatCode>m/d/yyyy</c:formatCode>
                <c:ptCount val="8"/>
                <c:pt idx="0">
                  <c:v>43179</c:v>
                </c:pt>
                <c:pt idx="1">
                  <c:v>43186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43214</c:v>
                </c:pt>
                <c:pt idx="6">
                  <c:v>43222</c:v>
                </c:pt>
                <c:pt idx="7">
                  <c:v>43235</c:v>
                </c:pt>
              </c:numCache>
            </c:numRef>
          </c:cat>
          <c:val>
            <c:numRef>
              <c:f>nachtvangsten!$BB$59:$BB$66</c:f>
              <c:numCache>
                <c:formatCode>General</c:formatCode>
                <c:ptCount val="8"/>
                <c:pt idx="0">
                  <c:v>17</c:v>
                </c:pt>
                <c:pt idx="1">
                  <c:v>307</c:v>
                </c:pt>
                <c:pt idx="2">
                  <c:v>206</c:v>
                </c:pt>
                <c:pt idx="3">
                  <c:v>98</c:v>
                </c:pt>
                <c:pt idx="4">
                  <c:v>176</c:v>
                </c:pt>
                <c:pt idx="5">
                  <c:v>123</c:v>
                </c:pt>
                <c:pt idx="6">
                  <c:v>60</c:v>
                </c:pt>
                <c:pt idx="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9-45DD-871F-1B3CE3289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37568"/>
        <c:axId val="147035648"/>
      </c:lineChart>
      <c:catAx>
        <c:axId val="147023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7025280"/>
        <c:crosses val="autoZero"/>
        <c:auto val="0"/>
        <c:lblAlgn val="ctr"/>
        <c:lblOffset val="100"/>
        <c:noMultiLvlLbl val="0"/>
      </c:catAx>
      <c:valAx>
        <c:axId val="147025280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glasalen/spui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1.1611256926217556E-2"/>
              <c:y val="0.251653191857211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7023360"/>
        <c:crosses val="autoZero"/>
        <c:crossBetween val="between"/>
      </c:valAx>
      <c:valAx>
        <c:axId val="147035648"/>
        <c:scaling>
          <c:orientation val="minMax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 totaal</a:t>
                </a:r>
              </a:p>
            </c:rich>
          </c:tx>
          <c:layout>
            <c:manualLayout>
              <c:xMode val="edge"/>
              <c:yMode val="edge"/>
              <c:x val="0.95762629208385985"/>
              <c:y val="0.24240437113747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7037568"/>
        <c:crosses val="max"/>
        <c:crossBetween val="between"/>
      </c:valAx>
      <c:dateAx>
        <c:axId val="1470375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7035648"/>
        <c:crosses val="autoZero"/>
        <c:auto val="1"/>
        <c:lblOffset val="100"/>
        <c:baseTimeUnit val="days"/>
      </c:dateAx>
      <c:spPr>
        <a:noFill/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6277168594666408"/>
          <c:y val="6.9016412225844828E-2"/>
          <c:w val="0.23873400084248728"/>
          <c:h val="0.28500603067202862"/>
        </c:manualLayout>
      </c:layout>
      <c:overlay val="0"/>
      <c:txPr>
        <a:bodyPr/>
        <a:lstStyle/>
        <a:p>
          <a:pPr>
            <a:defRPr sz="1400"/>
          </a:pPr>
          <a:endParaRPr lang="nl-BE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038867826706847"/>
          <c:y val="4.8168394368099131E-2"/>
          <c:w val="0.77136644956417488"/>
          <c:h val="0.71738807962737705"/>
        </c:manualLayout>
      </c:layout>
      <c:barChart>
        <c:barDir val="col"/>
        <c:grouping val="clustered"/>
        <c:varyColors val="0"/>
        <c:ser>
          <c:idx val="0"/>
          <c:order val="0"/>
          <c:tx>
            <c:v>gravitair kanaal</c:v>
          </c:tx>
          <c:spPr>
            <a:solidFill>
              <a:srgbClr val="92D050">
                <a:alpha val="51000"/>
              </a:srgbClr>
            </a:solidFill>
            <a:ln>
              <a:noFill/>
            </a:ln>
          </c:spPr>
          <c:invertIfNegative val="0"/>
          <c:cat>
            <c:numRef>
              <c:f>nachtvangsten!$AB$59:$AB$66</c:f>
              <c:numCache>
                <c:formatCode>m/d/yyyy</c:formatCode>
                <c:ptCount val="8"/>
                <c:pt idx="0">
                  <c:v>43179</c:v>
                </c:pt>
                <c:pt idx="1">
                  <c:v>43186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43214</c:v>
                </c:pt>
                <c:pt idx="6">
                  <c:v>43222</c:v>
                </c:pt>
                <c:pt idx="7">
                  <c:v>43235</c:v>
                </c:pt>
              </c:numCache>
            </c:numRef>
          </c:cat>
          <c:val>
            <c:numRef>
              <c:f>nachtvangsten!$BD$59:$BD$66</c:f>
              <c:numCache>
                <c:formatCode>0.0</c:formatCode>
                <c:ptCount val="8"/>
                <c:pt idx="0">
                  <c:v>0.5625</c:v>
                </c:pt>
                <c:pt idx="1">
                  <c:v>8.5625</c:v>
                </c:pt>
                <c:pt idx="2">
                  <c:v>7.125</c:v>
                </c:pt>
                <c:pt idx="3">
                  <c:v>2.375</c:v>
                </c:pt>
                <c:pt idx="4">
                  <c:v>4.9375</c:v>
                </c:pt>
                <c:pt idx="5">
                  <c:v>3.4375</c:v>
                </c:pt>
                <c:pt idx="6">
                  <c:v>2.6875</c:v>
                </c:pt>
                <c:pt idx="7">
                  <c:v>1.4375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8-459A-9C29-CC5622337D9B}"/>
            </c:ext>
          </c:extLst>
        </c:ser>
        <c:ser>
          <c:idx val="1"/>
          <c:order val="1"/>
          <c:tx>
            <c:v>pomp kanaal</c:v>
          </c:tx>
          <c:spPr>
            <a:solidFill>
              <a:srgbClr val="4BACC6">
                <a:lumMod val="60000"/>
                <a:lumOff val="40000"/>
              </a:srgbClr>
            </a:solidFill>
            <a:ln>
              <a:noFill/>
            </a:ln>
          </c:spPr>
          <c:invertIfNegative val="0"/>
          <c:cat>
            <c:numRef>
              <c:f>nachtvangsten!$AB$59:$AB$66</c:f>
              <c:numCache>
                <c:formatCode>m/d/yyyy</c:formatCode>
                <c:ptCount val="8"/>
                <c:pt idx="0">
                  <c:v>43179</c:v>
                </c:pt>
                <c:pt idx="1">
                  <c:v>43186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43214</c:v>
                </c:pt>
                <c:pt idx="6">
                  <c:v>43222</c:v>
                </c:pt>
                <c:pt idx="7">
                  <c:v>43235</c:v>
                </c:pt>
              </c:numCache>
            </c:numRef>
          </c:cat>
          <c:val>
            <c:numRef>
              <c:f>nachtvangsten!$BE$59:$BE$66</c:f>
              <c:numCache>
                <c:formatCode>0.0</c:formatCode>
                <c:ptCount val="8"/>
                <c:pt idx="0">
                  <c:v>0.4</c:v>
                </c:pt>
                <c:pt idx="1">
                  <c:v>8.5</c:v>
                </c:pt>
                <c:pt idx="2">
                  <c:v>4.5999999999999996</c:v>
                </c:pt>
                <c:pt idx="3">
                  <c:v>3</c:v>
                </c:pt>
                <c:pt idx="4">
                  <c:v>4.8499999999999996</c:v>
                </c:pt>
                <c:pt idx="5">
                  <c:v>3.4</c:v>
                </c:pt>
                <c:pt idx="6">
                  <c:v>0.85</c:v>
                </c:pt>
                <c:pt idx="7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8-459A-9C29-CC5622337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51488"/>
        <c:axId val="146753024"/>
      </c:barChart>
      <c:catAx>
        <c:axId val="146751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nl-BE"/>
          </a:p>
        </c:txPr>
        <c:crossAx val="146753024"/>
        <c:crosses val="autoZero"/>
        <c:auto val="0"/>
        <c:lblAlgn val="ctr"/>
        <c:lblOffset val="100"/>
        <c:noMultiLvlLbl val="0"/>
      </c:catAx>
      <c:valAx>
        <c:axId val="146753024"/>
        <c:scaling>
          <c:orientation val="minMax"/>
          <c:max val="1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 baseline="0"/>
                  <a:t>CPUE (gem. N trek</a:t>
                </a:r>
                <a:r>
                  <a:rPr lang="en-US" sz="1400" baseline="30000"/>
                  <a:t>-1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1.1611256926217556E-2"/>
              <c:y val="0.2516531918572116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751488"/>
        <c:crosses val="autoZero"/>
        <c:crossBetween val="between"/>
        <c:majorUnit val="2"/>
      </c:valAx>
      <c:spPr>
        <a:noFill/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56187323806746381"/>
          <c:y val="6.9016412225844828E-2"/>
          <c:w val="0.30457762224166424"/>
          <c:h val="0.19730809010304826"/>
        </c:manualLayout>
      </c:layout>
      <c:overlay val="0"/>
      <c:txPr>
        <a:bodyPr/>
        <a:lstStyle/>
        <a:p>
          <a:pPr>
            <a:defRPr sz="1400"/>
          </a:pPr>
          <a:endParaRPr lang="nl-BE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</c:spPr>
          <c:invertIfNegative val="0"/>
          <c:cat>
            <c:strRef>
              <c:f>nachtvangsten!$AC$10:$AK$10</c:f>
              <c:strCache>
                <c:ptCount val="9"/>
                <c:pt idx="0">
                  <c:v>spui 1 (LO)</c:v>
                </c:pt>
                <c:pt idx="1">
                  <c:v>spui 2</c:v>
                </c:pt>
                <c:pt idx="2">
                  <c:v>spui 3</c:v>
                </c:pt>
                <c:pt idx="3">
                  <c:v>spui 4</c:v>
                </c:pt>
                <c:pt idx="4">
                  <c:v>spui 5</c:v>
                </c:pt>
                <c:pt idx="5">
                  <c:v>spui 6</c:v>
                </c:pt>
                <c:pt idx="6">
                  <c:v>spui 7</c:v>
                </c:pt>
                <c:pt idx="7">
                  <c:v>spui 8</c:v>
                </c:pt>
                <c:pt idx="8">
                  <c:v>spui 9 (RO)</c:v>
                </c:pt>
              </c:strCache>
            </c:strRef>
          </c:cat>
          <c:val>
            <c:numRef>
              <c:f>nachtvangsten!$AC$36:$AK$36</c:f>
              <c:numCache>
                <c:formatCode>General</c:formatCode>
                <c:ptCount val="9"/>
                <c:pt idx="0">
                  <c:v>35</c:v>
                </c:pt>
                <c:pt idx="1">
                  <c:v>23</c:v>
                </c:pt>
                <c:pt idx="2">
                  <c:v>33</c:v>
                </c:pt>
                <c:pt idx="3">
                  <c:v>29</c:v>
                </c:pt>
                <c:pt idx="4">
                  <c:v>37</c:v>
                </c:pt>
                <c:pt idx="5">
                  <c:v>31</c:v>
                </c:pt>
                <c:pt idx="6">
                  <c:v>30</c:v>
                </c:pt>
                <c:pt idx="7">
                  <c:v>31</c:v>
                </c:pt>
                <c:pt idx="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6-433B-888C-B1E2DED63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769408"/>
        <c:axId val="146771328"/>
      </c:barChart>
      <c:catAx>
        <c:axId val="14676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locatie</a:t>
                </a:r>
              </a:p>
            </c:rich>
          </c:tx>
          <c:layout>
            <c:manualLayout>
              <c:xMode val="edge"/>
              <c:yMode val="edge"/>
              <c:x val="0.47117475940507436"/>
              <c:y val="0.8786803732866724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46771328"/>
        <c:crosses val="autoZero"/>
        <c:auto val="1"/>
        <c:lblAlgn val="ctr"/>
        <c:lblOffset val="100"/>
        <c:noMultiLvlLbl val="0"/>
      </c:catAx>
      <c:valAx>
        <c:axId val="1467713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N gevangen glasalen</a:t>
                </a:r>
                <a:endParaRPr lang="en-US" sz="1100" baseline="30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76940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</c:spPr>
          <c:invertIfNegative val="0"/>
          <c:cat>
            <c:strRef>
              <c:f>nachtvangsten!$AC$10:$AK$10</c:f>
              <c:strCache>
                <c:ptCount val="9"/>
                <c:pt idx="0">
                  <c:v>spui 1 (LO)</c:v>
                </c:pt>
                <c:pt idx="1">
                  <c:v>spui 2</c:v>
                </c:pt>
                <c:pt idx="2">
                  <c:v>spui 3</c:v>
                </c:pt>
                <c:pt idx="3">
                  <c:v>spui 4</c:v>
                </c:pt>
                <c:pt idx="4">
                  <c:v>spui 5</c:v>
                </c:pt>
                <c:pt idx="5">
                  <c:v>spui 6</c:v>
                </c:pt>
                <c:pt idx="6">
                  <c:v>spui 7</c:v>
                </c:pt>
                <c:pt idx="7">
                  <c:v>spui 8</c:v>
                </c:pt>
                <c:pt idx="8">
                  <c:v>spui 9 (RO)</c:v>
                </c:pt>
              </c:strCache>
            </c:strRef>
          </c:cat>
          <c:val>
            <c:numRef>
              <c:f>nachtvangsten!$AC$68:$AK$68</c:f>
              <c:numCache>
                <c:formatCode>General</c:formatCode>
                <c:ptCount val="9"/>
                <c:pt idx="0">
                  <c:v>143</c:v>
                </c:pt>
                <c:pt idx="1">
                  <c:v>90</c:v>
                </c:pt>
                <c:pt idx="2">
                  <c:v>100</c:v>
                </c:pt>
                <c:pt idx="3">
                  <c:v>109</c:v>
                </c:pt>
                <c:pt idx="4">
                  <c:v>75</c:v>
                </c:pt>
                <c:pt idx="5">
                  <c:v>111</c:v>
                </c:pt>
                <c:pt idx="6">
                  <c:v>134</c:v>
                </c:pt>
                <c:pt idx="7">
                  <c:v>103</c:v>
                </c:pt>
                <c:pt idx="8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A-40D4-B1BE-6A858247C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779136"/>
        <c:axId val="146797696"/>
      </c:barChart>
      <c:catAx>
        <c:axId val="14677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locatie</a:t>
                </a:r>
              </a:p>
            </c:rich>
          </c:tx>
          <c:layout>
            <c:manualLayout>
              <c:xMode val="edge"/>
              <c:yMode val="edge"/>
              <c:x val="0.47117475940507436"/>
              <c:y val="0.8786803732866724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46797696"/>
        <c:crosses val="autoZero"/>
        <c:auto val="1"/>
        <c:lblAlgn val="ctr"/>
        <c:lblOffset val="100"/>
        <c:noMultiLvlLbl val="0"/>
      </c:catAx>
      <c:valAx>
        <c:axId val="1467976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N gevangen glasalen</a:t>
                </a:r>
                <a:endParaRPr lang="en-US" sz="1100" baseline="30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77913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40507436570429"/>
          <c:y val="5.1400554097404488E-2"/>
          <c:w val="0.76898293963254594"/>
          <c:h val="0.77611475648877226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nachtvangsten!$AB$89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nachtvangsten!$AC$86:$AK$86</c:f>
              <c:strCache>
                <c:ptCount val="9"/>
                <c:pt idx="0">
                  <c:v>spui 1 (LO)</c:v>
                </c:pt>
                <c:pt idx="1">
                  <c:v>spui 2</c:v>
                </c:pt>
                <c:pt idx="2">
                  <c:v>spui 3</c:v>
                </c:pt>
                <c:pt idx="3">
                  <c:v>spui 4</c:v>
                </c:pt>
                <c:pt idx="4">
                  <c:v>spui 5</c:v>
                </c:pt>
                <c:pt idx="5">
                  <c:v>spui 6</c:v>
                </c:pt>
                <c:pt idx="6">
                  <c:v>spui 7</c:v>
                </c:pt>
                <c:pt idx="7">
                  <c:v>spui 8</c:v>
                </c:pt>
                <c:pt idx="8">
                  <c:v>spui 9 (RO)</c:v>
                </c:pt>
              </c:strCache>
            </c:strRef>
          </c:cat>
          <c:val>
            <c:numRef>
              <c:f>nachtvangsten!$AC$89:$AK$89</c:f>
              <c:numCache>
                <c:formatCode>General</c:formatCode>
                <c:ptCount val="9"/>
                <c:pt idx="0">
                  <c:v>143</c:v>
                </c:pt>
                <c:pt idx="1">
                  <c:v>90</c:v>
                </c:pt>
                <c:pt idx="2">
                  <c:v>100</c:v>
                </c:pt>
                <c:pt idx="3">
                  <c:v>109</c:v>
                </c:pt>
                <c:pt idx="4">
                  <c:v>75</c:v>
                </c:pt>
                <c:pt idx="5">
                  <c:v>111</c:v>
                </c:pt>
                <c:pt idx="6">
                  <c:v>134</c:v>
                </c:pt>
                <c:pt idx="7">
                  <c:v>103</c:v>
                </c:pt>
                <c:pt idx="8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1-472F-965F-1C3AA4CB3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910592"/>
        <c:axId val="146916480"/>
      </c:barChart>
      <c:barChart>
        <c:barDir val="col"/>
        <c:grouping val="clustered"/>
        <c:varyColors val="0"/>
        <c:ser>
          <c:idx val="1"/>
          <c:order val="0"/>
          <c:tx>
            <c:strRef>
              <c:f>nachtvangsten!$AB$88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nachtvangsten!$AC$86:$AK$86</c:f>
              <c:strCache>
                <c:ptCount val="9"/>
                <c:pt idx="0">
                  <c:v>spui 1 (LO)</c:v>
                </c:pt>
                <c:pt idx="1">
                  <c:v>spui 2</c:v>
                </c:pt>
                <c:pt idx="2">
                  <c:v>spui 3</c:v>
                </c:pt>
                <c:pt idx="3">
                  <c:v>spui 4</c:v>
                </c:pt>
                <c:pt idx="4">
                  <c:v>spui 5</c:v>
                </c:pt>
                <c:pt idx="5">
                  <c:v>spui 6</c:v>
                </c:pt>
                <c:pt idx="6">
                  <c:v>spui 7</c:v>
                </c:pt>
                <c:pt idx="7">
                  <c:v>spui 8</c:v>
                </c:pt>
                <c:pt idx="8">
                  <c:v>spui 9 (RO)</c:v>
                </c:pt>
              </c:strCache>
            </c:strRef>
          </c:cat>
          <c:val>
            <c:numRef>
              <c:f>nachtvangsten!$AC$88:$AK$88</c:f>
              <c:numCache>
                <c:formatCode>General</c:formatCode>
                <c:ptCount val="9"/>
                <c:pt idx="0">
                  <c:v>35</c:v>
                </c:pt>
                <c:pt idx="1">
                  <c:v>23</c:v>
                </c:pt>
                <c:pt idx="2">
                  <c:v>33</c:v>
                </c:pt>
                <c:pt idx="3">
                  <c:v>29</c:v>
                </c:pt>
                <c:pt idx="4">
                  <c:v>37</c:v>
                </c:pt>
                <c:pt idx="5">
                  <c:v>31</c:v>
                </c:pt>
                <c:pt idx="6">
                  <c:v>30</c:v>
                </c:pt>
                <c:pt idx="7">
                  <c:v>31</c:v>
                </c:pt>
                <c:pt idx="8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1-472F-965F-1C3AA4CB3B5D}"/>
            </c:ext>
          </c:extLst>
        </c:ser>
        <c:ser>
          <c:idx val="0"/>
          <c:order val="1"/>
          <c:tx>
            <c:strRef>
              <c:f>nachtvangsten!$AB$87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nachtvangsten!$AC$86:$AK$86</c:f>
              <c:strCache>
                <c:ptCount val="9"/>
                <c:pt idx="0">
                  <c:v>spui 1 (LO)</c:v>
                </c:pt>
                <c:pt idx="1">
                  <c:v>spui 2</c:v>
                </c:pt>
                <c:pt idx="2">
                  <c:v>spui 3</c:v>
                </c:pt>
                <c:pt idx="3">
                  <c:v>spui 4</c:v>
                </c:pt>
                <c:pt idx="4">
                  <c:v>spui 5</c:v>
                </c:pt>
                <c:pt idx="5">
                  <c:v>spui 6</c:v>
                </c:pt>
                <c:pt idx="6">
                  <c:v>spui 7</c:v>
                </c:pt>
                <c:pt idx="7">
                  <c:v>spui 8</c:v>
                </c:pt>
                <c:pt idx="8">
                  <c:v>spui 9 (RO)</c:v>
                </c:pt>
              </c:strCache>
            </c:strRef>
          </c:cat>
          <c:val>
            <c:numRef>
              <c:f>nachtvangsten!$AC$87:$AK$87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13</c:v>
                </c:pt>
                <c:pt idx="7">
                  <c:v>45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61-472F-965F-1C3AA4CB3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920576"/>
        <c:axId val="146918400"/>
      </c:barChart>
      <c:catAx>
        <c:axId val="146910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916480"/>
        <c:crosses val="autoZero"/>
        <c:auto val="1"/>
        <c:lblAlgn val="ctr"/>
        <c:lblOffset val="100"/>
        <c:noMultiLvlLbl val="0"/>
      </c:catAx>
      <c:valAx>
        <c:axId val="146916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N gevangen glasalen (2018)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910592"/>
        <c:crosses val="autoZero"/>
        <c:crossBetween val="between"/>
      </c:valAx>
      <c:valAx>
        <c:axId val="1469184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N gevangen glasalen (2016/2017)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46920576"/>
        <c:crosses val="max"/>
        <c:crossBetween val="between"/>
      </c:valAx>
      <c:catAx>
        <c:axId val="14692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91840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1515840259070379"/>
          <c:y val="4.5720227586707927E-2"/>
          <c:w val="9.7901627039513869E-2"/>
          <c:h val="0.230700875156299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65507436570428"/>
          <c:y val="5.1400554097404488E-2"/>
          <c:w val="0.87206758530183726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v>palinggoten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morfometrie!$G$62:$N$62</c:f>
              <c:numCache>
                <c:formatCode>0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9.6153846153846168</c:v>
                </c:pt>
                <c:pt idx="3">
                  <c:v>19.230769230769234</c:v>
                </c:pt>
                <c:pt idx="4">
                  <c:v>9.6153846153846168</c:v>
                </c:pt>
                <c:pt idx="5">
                  <c:v>34.615384615384613</c:v>
                </c:pt>
                <c:pt idx="6">
                  <c:v>1.9230769230769231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7-426E-9164-FA4019ED2D13}"/>
            </c:ext>
          </c:extLst>
        </c:ser>
        <c:ser>
          <c:idx val="1"/>
          <c:order val="1"/>
          <c:tx>
            <c:v>kruisnetten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morfometrie!$G$92:$N$92</c:f>
              <c:numCache>
                <c:formatCode>0</c:formatCode>
                <c:ptCount val="8"/>
                <c:pt idx="0">
                  <c:v>0</c:v>
                </c:pt>
                <c:pt idx="1">
                  <c:v>3.3333333333333335</c:v>
                </c:pt>
                <c:pt idx="2">
                  <c:v>16.666666666666664</c:v>
                </c:pt>
                <c:pt idx="3">
                  <c:v>30</c:v>
                </c:pt>
                <c:pt idx="4">
                  <c:v>16.666666666666664</c:v>
                </c:pt>
                <c:pt idx="5">
                  <c:v>33.333333333333329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7-426E-9164-FA4019ED2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50592"/>
        <c:axId val="146149376"/>
      </c:barChart>
      <c:catAx>
        <c:axId val="14595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pigmentatiestadium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46149376"/>
        <c:crosses val="autoZero"/>
        <c:auto val="1"/>
        <c:lblAlgn val="ctr"/>
        <c:lblOffset val="100"/>
        <c:noMultiLvlLbl val="0"/>
      </c:catAx>
      <c:valAx>
        <c:axId val="1461493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5950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05599300087493"/>
          <c:y val="3.2023549139690875E-2"/>
          <c:w val="0.1570580892578301"/>
          <c:h val="0.167434383202099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65507436570428"/>
          <c:y val="5.1400554097404488E-2"/>
          <c:w val="0.87206758530183726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v>palinggoot LO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morfometrie!$G$143:$N$143</c:f>
              <c:numCache>
                <c:formatCode>0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10</c:v>
                </c:pt>
                <c:pt idx="4">
                  <c:v>24</c:v>
                </c:pt>
                <c:pt idx="5">
                  <c:v>24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B-41ED-BF92-AD4E4F35632A}"/>
            </c:ext>
          </c:extLst>
        </c:ser>
        <c:ser>
          <c:idx val="1"/>
          <c:order val="1"/>
          <c:tx>
            <c:v>palinggoot RO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morfometrie!$G$194:$N$194</c:f>
              <c:numCache>
                <c:formatCode>0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32</c:v>
                </c:pt>
                <c:pt idx="3">
                  <c:v>16</c:v>
                </c:pt>
                <c:pt idx="4">
                  <c:v>22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5B-41ED-BF92-AD4E4F356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191104"/>
        <c:axId val="146193024"/>
      </c:barChart>
      <c:catAx>
        <c:axId val="14619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pigmentatiestadium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46193024"/>
        <c:crosses val="autoZero"/>
        <c:auto val="1"/>
        <c:lblAlgn val="ctr"/>
        <c:lblOffset val="100"/>
        <c:noMultiLvlLbl val="0"/>
      </c:catAx>
      <c:valAx>
        <c:axId val="14619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6191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44599013730876"/>
          <c:y val="3.2023549139690875E-2"/>
          <c:w val="0.28966809528555765"/>
          <c:h val="0.167434383202099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365507436570428"/>
          <c:y val="5.1400554097404488E-2"/>
          <c:w val="0.87206758530183726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v>PG rechts 18/03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morfometrie!$G$194:$N$194</c:f>
              <c:numCache>
                <c:formatCode>0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32</c:v>
                </c:pt>
                <c:pt idx="3">
                  <c:v>16</c:v>
                </c:pt>
                <c:pt idx="4">
                  <c:v>22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F-4BE6-BB83-532CE65921AF}"/>
            </c:ext>
          </c:extLst>
        </c:ser>
        <c:ser>
          <c:idx val="1"/>
          <c:order val="1"/>
          <c:tx>
            <c:v>PG rechts 25/03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morfometrie!$G$270:$N$270</c:f>
              <c:numCache>
                <c:formatCode>0</c:formatCode>
                <c:ptCount val="8"/>
                <c:pt idx="0">
                  <c:v>0</c:v>
                </c:pt>
                <c:pt idx="1">
                  <c:v>1.9607843137254901</c:v>
                </c:pt>
                <c:pt idx="2">
                  <c:v>11.76470588235294</c:v>
                </c:pt>
                <c:pt idx="3">
                  <c:v>5.8823529411764701</c:v>
                </c:pt>
                <c:pt idx="4">
                  <c:v>37.254901960784316</c:v>
                </c:pt>
                <c:pt idx="5">
                  <c:v>39.215686274509807</c:v>
                </c:pt>
                <c:pt idx="6">
                  <c:v>3.9215686274509802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F-4BE6-BB83-532CE6592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234752"/>
        <c:axId val="146966016"/>
      </c:barChart>
      <c:catAx>
        <c:axId val="14623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pigmentatiestadium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46966016"/>
        <c:crosses val="autoZero"/>
        <c:auto val="1"/>
        <c:lblAlgn val="ctr"/>
        <c:lblOffset val="100"/>
        <c:noMultiLvlLbl val="0"/>
      </c:catAx>
      <c:valAx>
        <c:axId val="1469660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6234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761235541759814"/>
          <c:y val="4.245771361913093E-3"/>
          <c:w val="0.28966809528555765"/>
          <c:h val="0.167434383202099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365507436570428"/>
          <c:y val="5.1400554097404488E-2"/>
          <c:w val="0.87206758530183726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v>PG rechts 25/03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morfometrie!$G$270:$N$270</c:f>
              <c:numCache>
                <c:formatCode>0</c:formatCode>
                <c:ptCount val="8"/>
                <c:pt idx="0">
                  <c:v>0</c:v>
                </c:pt>
                <c:pt idx="1">
                  <c:v>1.9607843137254901</c:v>
                </c:pt>
                <c:pt idx="2">
                  <c:v>11.76470588235294</c:v>
                </c:pt>
                <c:pt idx="3">
                  <c:v>5.8823529411764701</c:v>
                </c:pt>
                <c:pt idx="4">
                  <c:v>37.254901960784316</c:v>
                </c:pt>
                <c:pt idx="5">
                  <c:v>39.215686274509807</c:v>
                </c:pt>
                <c:pt idx="6">
                  <c:v>3.9215686274509802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B-46F3-94FC-296B05593961}"/>
            </c:ext>
          </c:extLst>
        </c:ser>
        <c:ser>
          <c:idx val="1"/>
          <c:order val="1"/>
          <c:tx>
            <c:v>substraat links 25/03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morfometrie!$G$320:$N$320</c:f>
              <c:numCache>
                <c:formatCode>0</c:formatCode>
                <c:ptCount val="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8</c:v>
                </c:pt>
                <c:pt idx="4">
                  <c:v>34</c:v>
                </c:pt>
                <c:pt idx="5">
                  <c:v>40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B-46F3-94FC-296B05593961}"/>
            </c:ext>
          </c:extLst>
        </c:ser>
        <c:ser>
          <c:idx val="2"/>
          <c:order val="2"/>
          <c:tx>
            <c:v>KR NA 25/03</c:v>
          </c:tx>
          <c:invertIfNegative val="0"/>
          <c:val>
            <c:numRef>
              <c:f>morfometrie!$G$378:$N$378</c:f>
              <c:numCache>
                <c:formatCode>0</c:formatCode>
                <c:ptCount val="8"/>
                <c:pt idx="0">
                  <c:v>0</c:v>
                </c:pt>
                <c:pt idx="1">
                  <c:v>9.6153846153846168</c:v>
                </c:pt>
                <c:pt idx="2">
                  <c:v>5.7692307692307692</c:v>
                </c:pt>
                <c:pt idx="3">
                  <c:v>13.461538461538462</c:v>
                </c:pt>
                <c:pt idx="4">
                  <c:v>38.461538461538467</c:v>
                </c:pt>
                <c:pt idx="5">
                  <c:v>28.846153846153843</c:v>
                </c:pt>
                <c:pt idx="6">
                  <c:v>3.8461538461538463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6B-46F3-94FC-296B05593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045952"/>
        <c:axId val="146052224"/>
      </c:barChart>
      <c:catAx>
        <c:axId val="14604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pigmentatiestadium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46052224"/>
        <c:crosses val="autoZero"/>
        <c:auto val="1"/>
        <c:lblAlgn val="ctr"/>
        <c:lblOffset val="100"/>
        <c:noMultiLvlLbl val="0"/>
      </c:catAx>
      <c:valAx>
        <c:axId val="1460522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6045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341705704508458"/>
          <c:y val="4.5912438028579763E-2"/>
          <c:w val="0.24602715799765534"/>
          <c:h val="0.2511515748031495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365507436570428"/>
          <c:y val="5.1400554097404488E-2"/>
          <c:w val="0.87206758530183726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v>PG rechts 01/04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morfometrie!$G$573:$N$573</c:f>
              <c:numCache>
                <c:formatCode>0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  <c:pt idx="4">
                  <c:v>26</c:v>
                </c:pt>
                <c:pt idx="5">
                  <c:v>62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F-416B-A7F3-EA88160FE0FC}"/>
            </c:ext>
          </c:extLst>
        </c:ser>
        <c:ser>
          <c:idx val="1"/>
          <c:order val="1"/>
          <c:tx>
            <c:v>PG links 01/04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morfometrie!$G$486:$N$486</c:f>
              <c:numCache>
                <c:formatCode>0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26</c:v>
                </c:pt>
                <c:pt idx="5">
                  <c:v>54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AF-416B-A7F3-EA88160FE0FC}"/>
            </c:ext>
          </c:extLst>
        </c:ser>
        <c:ser>
          <c:idx val="2"/>
          <c:order val="2"/>
          <c:tx>
            <c:v>KR NA 01/04</c:v>
          </c:tx>
          <c:invertIfNegative val="0"/>
          <c:val>
            <c:numRef>
              <c:f>morfometrie!$G$396:$N$396</c:f>
              <c:numCache>
                <c:formatCode>0</c:formatCode>
                <c:ptCount val="8"/>
                <c:pt idx="0">
                  <c:v>0</c:v>
                </c:pt>
                <c:pt idx="1">
                  <c:v>6.25</c:v>
                </c:pt>
                <c:pt idx="2">
                  <c:v>18.75</c:v>
                </c:pt>
                <c:pt idx="3">
                  <c:v>6.25</c:v>
                </c:pt>
                <c:pt idx="4">
                  <c:v>18.75</c:v>
                </c:pt>
                <c:pt idx="5">
                  <c:v>43.75</c:v>
                </c:pt>
                <c:pt idx="6">
                  <c:v>6.25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AF-416B-A7F3-EA88160FE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102912"/>
        <c:axId val="146105088"/>
      </c:barChart>
      <c:catAx>
        <c:axId val="14610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pigmentatiestadium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46105088"/>
        <c:crosses val="autoZero"/>
        <c:auto val="1"/>
        <c:lblAlgn val="ctr"/>
        <c:lblOffset val="100"/>
        <c:noMultiLvlLbl val="0"/>
      </c:catAx>
      <c:valAx>
        <c:axId val="1461050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4610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341705704508458"/>
          <c:y val="4.5912438028579763E-2"/>
          <c:w val="0.24602715799765534"/>
          <c:h val="0.2511515748031495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365507436570428"/>
          <c:y val="5.1400554097404488E-2"/>
          <c:w val="0.87206758530183726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v>PG rechts 08/04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morfometrie!$G$682:$N$682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14.000000000000002</c:v>
                </c:pt>
                <c:pt idx="5">
                  <c:v>70</c:v>
                </c:pt>
                <c:pt idx="6">
                  <c:v>16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B-43FF-9DF9-EB11E6EFBC34}"/>
            </c:ext>
          </c:extLst>
        </c:ser>
        <c:ser>
          <c:idx val="1"/>
          <c:order val="1"/>
          <c:tx>
            <c:v>PG links 08/04</c:v>
          </c:tx>
          <c:invertIfNegative val="0"/>
          <c:cat>
            <c:strRef>
              <c:f>morfometrie!$G$60:$N$60</c:f>
              <c:strCache>
                <c:ptCount val="8"/>
                <c:pt idx="0">
                  <c:v>VA</c:v>
                </c:pt>
                <c:pt idx="1">
                  <c:v>VB</c:v>
                </c:pt>
                <c:pt idx="2">
                  <c:v>VIA0</c:v>
                </c:pt>
                <c:pt idx="3">
                  <c:v>VIA1</c:v>
                </c:pt>
                <c:pt idx="4">
                  <c:v>VIA2</c:v>
                </c:pt>
                <c:pt idx="5">
                  <c:v>VIA3</c:v>
                </c:pt>
                <c:pt idx="6">
                  <c:v>VIA4</c:v>
                </c:pt>
                <c:pt idx="7">
                  <c:v>VIB</c:v>
                </c:pt>
              </c:strCache>
            </c:strRef>
          </c:cat>
          <c:val>
            <c:numRef>
              <c:f>morfometrie!$G$771:$N$771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36</c:v>
                </c:pt>
                <c:pt idx="5">
                  <c:v>42</c:v>
                </c:pt>
                <c:pt idx="6">
                  <c:v>22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B-43FF-9DF9-EB11E6EFB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919872"/>
        <c:axId val="155921792"/>
      </c:barChart>
      <c:catAx>
        <c:axId val="15591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pigmentatiestadium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55921792"/>
        <c:crosses val="autoZero"/>
        <c:auto val="1"/>
        <c:lblAlgn val="ctr"/>
        <c:lblOffset val="100"/>
        <c:noMultiLvlLbl val="0"/>
      </c:catAx>
      <c:valAx>
        <c:axId val="1559217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55919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341705704508458"/>
          <c:y val="4.5912438028579763E-2"/>
          <c:w val="0.24602715799765534"/>
          <c:h val="0.2511515748031495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rAngAx val="0"/>
      <c:perspective val="10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166644700979409"/>
          <c:y val="2.3017522267764393E-2"/>
          <c:w val="0.87047640066349374"/>
          <c:h val="0.85710586034753478"/>
        </c:manualLayout>
      </c:layout>
      <c:bar3DChart>
        <c:barDir val="col"/>
        <c:grouping val="standard"/>
        <c:varyColors val="0"/>
        <c:ser>
          <c:idx val="2"/>
          <c:order val="0"/>
          <c:tx>
            <c:strRef>
              <c:f>'morf. samenv.'!$D$279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invertIfNegative val="0"/>
          <c:cat>
            <c:numRef>
              <c:f>'morf. samenv.'!$A$280:$A$294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samenv.'!$D$280:$D$294</c:f>
              <c:numCache>
                <c:formatCode>General</c:formatCode>
                <c:ptCount val="15"/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435</c:v>
                </c:pt>
                <c:pt idx="6">
                  <c:v>416</c:v>
                </c:pt>
                <c:pt idx="7">
                  <c:v>1807</c:v>
                </c:pt>
                <c:pt idx="8">
                  <c:v>4187</c:v>
                </c:pt>
                <c:pt idx="9">
                  <c:v>16893</c:v>
                </c:pt>
                <c:pt idx="10">
                  <c:v>8559</c:v>
                </c:pt>
                <c:pt idx="11">
                  <c:v>423</c:v>
                </c:pt>
                <c:pt idx="12">
                  <c:v>7471</c:v>
                </c:pt>
                <c:pt idx="13">
                  <c:v>2067</c:v>
                </c:pt>
                <c:pt idx="1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1-4431-BA88-9309362E3066}"/>
            </c:ext>
          </c:extLst>
        </c:ser>
        <c:ser>
          <c:idx val="1"/>
          <c:order val="1"/>
          <c:tx>
            <c:strRef>
              <c:f>'morf. samenv.'!$C$279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'morf. samenv.'!$A$280:$A$294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samenv.'!$C$280:$C$294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34</c:v>
                </c:pt>
                <c:pt idx="3">
                  <c:v>3986</c:v>
                </c:pt>
                <c:pt idx="4">
                  <c:v>14583</c:v>
                </c:pt>
                <c:pt idx="5">
                  <c:v>30841</c:v>
                </c:pt>
                <c:pt idx="6">
                  <c:v>7588</c:v>
                </c:pt>
                <c:pt idx="7">
                  <c:v>4722</c:v>
                </c:pt>
                <c:pt idx="8">
                  <c:v>2151</c:v>
                </c:pt>
                <c:pt idx="9">
                  <c:v>2090</c:v>
                </c:pt>
                <c:pt idx="10">
                  <c:v>470</c:v>
                </c:pt>
                <c:pt idx="11">
                  <c:v>222</c:v>
                </c:pt>
                <c:pt idx="12">
                  <c:v>183</c:v>
                </c:pt>
                <c:pt idx="1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1-4431-BA88-9309362E3066}"/>
            </c:ext>
          </c:extLst>
        </c:ser>
        <c:ser>
          <c:idx val="0"/>
          <c:order val="2"/>
          <c:tx>
            <c:strRef>
              <c:f>'morf. samenv.'!$B$279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00B0F0">
                <a:alpha val="90000"/>
              </a:srgbClr>
            </a:solidFill>
          </c:spPr>
          <c:invertIfNegative val="0"/>
          <c:cat>
            <c:numRef>
              <c:f>'morf. samenv.'!$A$280:$A$294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samenv.'!$B$280:$B$294</c:f>
              <c:numCache>
                <c:formatCode>General</c:formatCode>
                <c:ptCount val="15"/>
                <c:pt idx="1">
                  <c:v>5</c:v>
                </c:pt>
                <c:pt idx="2">
                  <c:v>56</c:v>
                </c:pt>
                <c:pt idx="3">
                  <c:v>1324</c:v>
                </c:pt>
                <c:pt idx="4">
                  <c:v>3114</c:v>
                </c:pt>
                <c:pt idx="5">
                  <c:v>11329</c:v>
                </c:pt>
                <c:pt idx="6">
                  <c:v>3116</c:v>
                </c:pt>
                <c:pt idx="7">
                  <c:v>2222</c:v>
                </c:pt>
                <c:pt idx="8">
                  <c:v>1134</c:v>
                </c:pt>
                <c:pt idx="9">
                  <c:v>296</c:v>
                </c:pt>
                <c:pt idx="10">
                  <c:v>145</c:v>
                </c:pt>
                <c:pt idx="11">
                  <c:v>556</c:v>
                </c:pt>
                <c:pt idx="12">
                  <c:v>187</c:v>
                </c:pt>
                <c:pt idx="13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1-4431-BA88-9309362E3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780992"/>
        <c:axId val="155787264"/>
        <c:axId val="146137536"/>
      </c:bar3DChart>
      <c:catAx>
        <c:axId val="15578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week n°</a:t>
                </a:r>
              </a:p>
            </c:rich>
          </c:tx>
          <c:layout>
            <c:manualLayout>
              <c:xMode val="edge"/>
              <c:yMode val="edge"/>
              <c:x val="0.42403375021348311"/>
              <c:y val="0.8259095364632288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5787264"/>
        <c:crosses val="autoZero"/>
        <c:auto val="1"/>
        <c:lblAlgn val="ctr"/>
        <c:lblOffset val="100"/>
        <c:noMultiLvlLbl val="0"/>
      </c:catAx>
      <c:valAx>
        <c:axId val="1557872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nl-BE" sz="1200"/>
                  <a:t>N</a:t>
                </a:r>
                <a:r>
                  <a:rPr lang="nl-BE" sz="1200" baseline="0"/>
                  <a:t> glasalen </a:t>
                </a:r>
                <a:endParaRPr lang="nl-BE" sz="1200" baseline="30000"/>
              </a:p>
            </c:rich>
          </c:tx>
          <c:layout>
            <c:manualLayout>
              <c:xMode val="edge"/>
              <c:yMode val="edge"/>
              <c:x val="3.0348326409592737E-2"/>
              <c:y val="1.90106513045517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5780992"/>
        <c:crosses val="autoZero"/>
        <c:crossBetween val="between"/>
      </c:valAx>
      <c:serAx>
        <c:axId val="146137536"/>
        <c:scaling>
          <c:orientation val="minMax"/>
        </c:scaling>
        <c:delete val="0"/>
        <c:axPos val="b"/>
        <c:majorTickMark val="out"/>
        <c:minorTickMark val="none"/>
        <c:tickLblPos val="none"/>
        <c:crossAx val="155787264"/>
        <c:crosses val="autoZero"/>
      </c:serAx>
    </c:plotArea>
    <c:legend>
      <c:legendPos val="r"/>
      <c:layout>
        <c:manualLayout>
          <c:xMode val="edge"/>
          <c:yMode val="edge"/>
          <c:x val="0.87384066012479111"/>
          <c:y val="1.905168871503074E-2"/>
          <c:w val="0.10614222274817056"/>
          <c:h val="0.26671280399680841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rAngAx val="0"/>
      <c:perspective val="10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2.5954367705964362E-2"/>
          <c:w val="0.86189874160406299"/>
          <c:h val="0.8125982263745161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'morf. samenv.'!$B$279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00B0F0">
                <a:alpha val="90000"/>
              </a:srgbClr>
            </a:solidFill>
          </c:spPr>
          <c:invertIfNegative val="0"/>
          <c:cat>
            <c:numRef>
              <c:f>'morf. samenv.'!$A$299:$A$313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samenv.'!$B$299:$B$313</c:f>
              <c:numCache>
                <c:formatCode>General</c:formatCode>
                <c:ptCount val="15"/>
                <c:pt idx="2">
                  <c:v>30</c:v>
                </c:pt>
                <c:pt idx="3">
                  <c:v>17</c:v>
                </c:pt>
                <c:pt idx="4">
                  <c:v>52</c:v>
                </c:pt>
                <c:pt idx="5">
                  <c:v>16</c:v>
                </c:pt>
                <c:pt idx="6">
                  <c:v>2</c:v>
                </c:pt>
                <c:pt idx="7">
                  <c:v>13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6-4B75-8438-4DD2267F88E9}"/>
            </c:ext>
          </c:extLst>
        </c:ser>
        <c:ser>
          <c:idx val="1"/>
          <c:order val="1"/>
          <c:tx>
            <c:strRef>
              <c:f>'morf. samenv.'!$C$279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'morf. samenv.'!$A$299:$A$313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samenv.'!$C$299:$C$313</c:f>
              <c:numCache>
                <c:formatCode>General</c:formatCode>
                <c:ptCount val="15"/>
                <c:pt idx="1">
                  <c:v>0</c:v>
                </c:pt>
                <c:pt idx="2">
                  <c:v>36</c:v>
                </c:pt>
                <c:pt idx="3">
                  <c:v>134</c:v>
                </c:pt>
                <c:pt idx="4">
                  <c:v>63</c:v>
                </c:pt>
                <c:pt idx="5">
                  <c:v>36</c:v>
                </c:pt>
                <c:pt idx="6">
                  <c:v>20</c:v>
                </c:pt>
                <c:pt idx="7">
                  <c:v>8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6-4B75-8438-4DD2267F88E9}"/>
            </c:ext>
          </c:extLst>
        </c:ser>
        <c:ser>
          <c:idx val="2"/>
          <c:order val="2"/>
          <c:tx>
            <c:strRef>
              <c:f>'morf. samenv.'!$D$279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'morf. samenv.'!$A$299:$A$313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samenv.'!$D$299:$D$313</c:f>
              <c:numCache>
                <c:formatCode>General</c:formatCode>
                <c:ptCount val="15"/>
                <c:pt idx="4">
                  <c:v>17</c:v>
                </c:pt>
                <c:pt idx="5">
                  <c:v>307</c:v>
                </c:pt>
                <c:pt idx="6">
                  <c:v>206</c:v>
                </c:pt>
                <c:pt idx="7">
                  <c:v>98</c:v>
                </c:pt>
                <c:pt idx="8">
                  <c:v>176</c:v>
                </c:pt>
                <c:pt idx="9">
                  <c:v>123</c:v>
                </c:pt>
                <c:pt idx="10">
                  <c:v>60</c:v>
                </c:pt>
                <c:pt idx="1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E6-4B75-8438-4DD2267F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831296"/>
        <c:axId val="155960448"/>
        <c:axId val="146139328"/>
      </c:bar3DChart>
      <c:catAx>
        <c:axId val="15583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week n°</a:t>
                </a:r>
              </a:p>
            </c:rich>
          </c:tx>
          <c:layout>
            <c:manualLayout>
              <c:xMode val="edge"/>
              <c:yMode val="edge"/>
              <c:x val="0.43707649440108931"/>
              <c:y val="0.802180453423753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5960448"/>
        <c:crosses val="autoZero"/>
        <c:auto val="1"/>
        <c:lblAlgn val="ctr"/>
        <c:lblOffset val="100"/>
        <c:noMultiLvlLbl val="0"/>
      </c:catAx>
      <c:valAx>
        <c:axId val="15596044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nl-BE" sz="1400"/>
                  <a:t>N</a:t>
                </a:r>
                <a:r>
                  <a:rPr lang="nl-BE" sz="1400" baseline="0"/>
                  <a:t> glasalen</a:t>
                </a:r>
                <a:endParaRPr lang="nl-BE" sz="1400" baseline="30000"/>
              </a:p>
            </c:rich>
          </c:tx>
          <c:layout>
            <c:manualLayout>
              <c:xMode val="edge"/>
              <c:yMode val="edge"/>
              <c:x val="3.0348433765841048E-2"/>
              <c:y val="8.454911059188829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5831296"/>
        <c:crosses val="autoZero"/>
        <c:crossBetween val="between"/>
      </c:valAx>
      <c:serAx>
        <c:axId val="146139328"/>
        <c:scaling>
          <c:orientation val="minMax"/>
        </c:scaling>
        <c:delete val="0"/>
        <c:axPos val="b"/>
        <c:majorTickMark val="out"/>
        <c:minorTickMark val="none"/>
        <c:tickLblPos val="none"/>
        <c:crossAx val="155960448"/>
        <c:crosses val="autoZero"/>
      </c:serAx>
    </c:plotArea>
    <c:legend>
      <c:legendPos val="r"/>
      <c:layout>
        <c:manualLayout>
          <c:xMode val="edge"/>
          <c:yMode val="edge"/>
          <c:x val="0.87380322747431771"/>
          <c:y val="2.3304886659801856E-2"/>
          <c:w val="0.10771908043574724"/>
          <c:h val="0.20194158069651486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rAngAx val="0"/>
      <c:perspective val="10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77333599485111"/>
          <c:y val="3.0818641961531792E-2"/>
          <c:w val="0.86189874160406299"/>
          <c:h val="0.81685128397129758"/>
        </c:manualLayout>
      </c:layout>
      <c:bar3DChart>
        <c:barDir val="col"/>
        <c:grouping val="standard"/>
        <c:varyColors val="0"/>
        <c:ser>
          <c:idx val="2"/>
          <c:order val="0"/>
          <c:tx>
            <c:strRef>
              <c:f>'morf. samenv.'!$R$279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'morf. samenv.'!$A$280:$A$294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samenv.'!$R$280:$R$294</c:f>
              <c:numCache>
                <c:formatCode>General</c:formatCode>
                <c:ptCount val="15"/>
                <c:pt idx="2">
                  <c:v>0</c:v>
                </c:pt>
                <c:pt idx="3">
                  <c:v>0</c:v>
                </c:pt>
                <c:pt idx="4" formatCode="0">
                  <c:v>1</c:v>
                </c:pt>
                <c:pt idx="5" formatCode="0">
                  <c:v>15</c:v>
                </c:pt>
                <c:pt idx="6" formatCode="0">
                  <c:v>4</c:v>
                </c:pt>
                <c:pt idx="7" formatCode="0">
                  <c:v>6</c:v>
                </c:pt>
                <c:pt idx="8" formatCode="0">
                  <c:v>4</c:v>
                </c:pt>
                <c:pt idx="9" formatCode="0">
                  <c:v>12</c:v>
                </c:pt>
                <c:pt idx="10" formatCode="0">
                  <c:v>17</c:v>
                </c:pt>
                <c:pt idx="11" formatCode="0">
                  <c:v>0</c:v>
                </c:pt>
                <c:pt idx="12" formatCode="0">
                  <c:v>8</c:v>
                </c:pt>
                <c:pt idx="13" formatCode="0">
                  <c:v>5</c:v>
                </c:pt>
                <c:pt idx="14" formatCode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E-4F46-AB57-BEFA76F3E697}"/>
            </c:ext>
          </c:extLst>
        </c:ser>
        <c:ser>
          <c:idx val="1"/>
          <c:order val="1"/>
          <c:tx>
            <c:strRef>
              <c:f>'morf. samenv.'!$Q$279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'morf. samenv.'!$A$280:$A$294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samenv.'!$Q$280:$Q$294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38</c:v>
                </c:pt>
                <c:pt idx="4">
                  <c:v>46</c:v>
                </c:pt>
                <c:pt idx="5">
                  <c:v>22</c:v>
                </c:pt>
                <c:pt idx="6">
                  <c:v>23</c:v>
                </c:pt>
                <c:pt idx="7">
                  <c:v>12</c:v>
                </c:pt>
                <c:pt idx="8">
                  <c:v>11</c:v>
                </c:pt>
                <c:pt idx="9">
                  <c:v>20</c:v>
                </c:pt>
                <c:pt idx="10">
                  <c:v>15</c:v>
                </c:pt>
                <c:pt idx="11">
                  <c:v>8</c:v>
                </c:pt>
                <c:pt idx="12">
                  <c:v>15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E-4F46-AB57-BEFA76F3E697}"/>
            </c:ext>
          </c:extLst>
        </c:ser>
        <c:ser>
          <c:idx val="0"/>
          <c:order val="2"/>
          <c:tx>
            <c:strRef>
              <c:f>'morf. samenv.'!$P$279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00B0F0">
                <a:alpha val="90000"/>
              </a:srgbClr>
            </a:solidFill>
          </c:spPr>
          <c:invertIfNegative val="0"/>
          <c:cat>
            <c:numRef>
              <c:f>'morf. samenv.'!$A$280:$A$294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samenv.'!$P$280:$P$294</c:f>
              <c:numCache>
                <c:formatCode>General</c:formatCode>
                <c:ptCount val="15"/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77</c:v>
                </c:pt>
                <c:pt idx="6">
                  <c:v>84</c:v>
                </c:pt>
                <c:pt idx="7">
                  <c:v>69</c:v>
                </c:pt>
                <c:pt idx="8">
                  <c:v>80</c:v>
                </c:pt>
                <c:pt idx="9">
                  <c:v>19</c:v>
                </c:pt>
                <c:pt idx="10">
                  <c:v>57</c:v>
                </c:pt>
                <c:pt idx="11">
                  <c:v>89</c:v>
                </c:pt>
                <c:pt idx="12">
                  <c:v>18</c:v>
                </c:pt>
                <c:pt idx="1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E-4F46-AB57-BEFA76F3E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857280"/>
        <c:axId val="155858816"/>
        <c:axId val="155955648"/>
      </c:bar3DChart>
      <c:catAx>
        <c:axId val="15585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858816"/>
        <c:crosses val="autoZero"/>
        <c:auto val="1"/>
        <c:lblAlgn val="ctr"/>
        <c:lblOffset val="100"/>
        <c:noMultiLvlLbl val="0"/>
      </c:catAx>
      <c:valAx>
        <c:axId val="15585881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nl-BE" sz="1200"/>
                  <a:t>N</a:t>
                </a:r>
                <a:r>
                  <a:rPr lang="nl-BE" sz="1200" baseline="0"/>
                  <a:t> elvers </a:t>
                </a:r>
                <a:endParaRPr lang="nl-BE" sz="1200" baseline="30000"/>
              </a:p>
            </c:rich>
          </c:tx>
          <c:layout>
            <c:manualLayout>
              <c:xMode val="edge"/>
              <c:yMode val="edge"/>
              <c:x val="3.0348343477712238E-2"/>
              <c:y val="0.11006745617257635"/>
            </c:manualLayout>
          </c:layout>
          <c:overlay val="0"/>
          <c:spPr>
            <a:ln w="6350"/>
          </c:spPr>
        </c:title>
        <c:numFmt formatCode="General" sourceLinked="1"/>
        <c:majorTickMark val="out"/>
        <c:minorTickMark val="none"/>
        <c:tickLblPos val="nextTo"/>
        <c:crossAx val="155857280"/>
        <c:crosses val="autoZero"/>
        <c:crossBetween val="between"/>
      </c:valAx>
      <c:serAx>
        <c:axId val="155955648"/>
        <c:scaling>
          <c:orientation val="minMax"/>
        </c:scaling>
        <c:delete val="0"/>
        <c:axPos val="b"/>
        <c:majorTickMark val="out"/>
        <c:minorTickMark val="none"/>
        <c:tickLblPos val="none"/>
        <c:crossAx val="155858816"/>
        <c:crosses val="autoZero"/>
      </c:serAx>
    </c:plotArea>
    <c:legend>
      <c:legendPos val="r"/>
      <c:layout>
        <c:manualLayout>
          <c:xMode val="edge"/>
          <c:yMode val="edge"/>
          <c:x val="0.88194068813529625"/>
          <c:y val="3.1810861505374745E-2"/>
          <c:w val="0.102214492556291"/>
          <c:h val="0.219582823975914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rAngAx val="0"/>
      <c:perspective val="10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23840769903762"/>
          <c:y val="2.5954367705964362E-2"/>
          <c:w val="0.86189874160406299"/>
          <c:h val="0.8211043415680788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'morf. samenv.'!$B$279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00B0F0">
                <a:alpha val="80000"/>
              </a:srgbClr>
            </a:solidFill>
          </c:spPr>
          <c:invertIfNegative val="0"/>
          <c:cat>
            <c:numRef>
              <c:f>'morf. samenv.'!$A$319:$A$333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samenv.'!$B$319:$B$333</c:f>
              <c:numCache>
                <c:formatCode>General</c:formatCode>
                <c:ptCount val="15"/>
                <c:pt idx="2">
                  <c:v>0</c:v>
                </c:pt>
                <c:pt idx="3">
                  <c:v>13</c:v>
                </c:pt>
                <c:pt idx="4">
                  <c:v>90</c:v>
                </c:pt>
                <c:pt idx="5">
                  <c:v>7</c:v>
                </c:pt>
                <c:pt idx="6">
                  <c:v>3</c:v>
                </c:pt>
                <c:pt idx="7">
                  <c:v>24</c:v>
                </c:pt>
                <c:pt idx="8">
                  <c:v>13</c:v>
                </c:pt>
                <c:pt idx="9">
                  <c:v>10</c:v>
                </c:pt>
                <c:pt idx="10">
                  <c:v>8</c:v>
                </c:pt>
                <c:pt idx="11">
                  <c:v>103</c:v>
                </c:pt>
                <c:pt idx="12">
                  <c:v>125</c:v>
                </c:pt>
                <c:pt idx="1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2-4183-8B8F-1F676C6DDA27}"/>
            </c:ext>
          </c:extLst>
        </c:ser>
        <c:ser>
          <c:idx val="1"/>
          <c:order val="1"/>
          <c:tx>
            <c:strRef>
              <c:f>'morf. samenv.'!$C$279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'morf. samenv.'!$A$319:$A$333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samenv.'!$C$319:$C$333</c:f>
              <c:numCache>
                <c:formatCode>General</c:formatCode>
                <c:ptCount val="15"/>
                <c:pt idx="2">
                  <c:v>0</c:v>
                </c:pt>
                <c:pt idx="3">
                  <c:v>12</c:v>
                </c:pt>
                <c:pt idx="4">
                  <c:v>44</c:v>
                </c:pt>
                <c:pt idx="5">
                  <c:v>68</c:v>
                </c:pt>
                <c:pt idx="6">
                  <c:v>33</c:v>
                </c:pt>
                <c:pt idx="7">
                  <c:v>71</c:v>
                </c:pt>
                <c:pt idx="8">
                  <c:v>61</c:v>
                </c:pt>
                <c:pt idx="9">
                  <c:v>46</c:v>
                </c:pt>
                <c:pt idx="10">
                  <c:v>71</c:v>
                </c:pt>
                <c:pt idx="11">
                  <c:v>76</c:v>
                </c:pt>
                <c:pt idx="12">
                  <c:v>63</c:v>
                </c:pt>
                <c:pt idx="13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2-4183-8B8F-1F676C6DDA27}"/>
            </c:ext>
          </c:extLst>
        </c:ser>
        <c:ser>
          <c:idx val="2"/>
          <c:order val="2"/>
          <c:tx>
            <c:strRef>
              <c:f>'morf. samenv.'!$D$279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'morf. samenv.'!$A$319:$A$333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'morf. samenv.'!$D$319:$D$333</c:f>
              <c:numCache>
                <c:formatCode>General</c:formatCode>
                <c:ptCount val="15"/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26</c:v>
                </c:pt>
                <c:pt idx="6">
                  <c:v>9</c:v>
                </c:pt>
                <c:pt idx="7">
                  <c:v>16</c:v>
                </c:pt>
                <c:pt idx="8">
                  <c:v>78</c:v>
                </c:pt>
                <c:pt idx="9">
                  <c:v>282</c:v>
                </c:pt>
                <c:pt idx="10">
                  <c:v>184</c:v>
                </c:pt>
                <c:pt idx="11">
                  <c:v>74</c:v>
                </c:pt>
                <c:pt idx="12">
                  <c:v>390</c:v>
                </c:pt>
                <c:pt idx="13">
                  <c:v>623</c:v>
                </c:pt>
                <c:pt idx="14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82-4183-8B8F-1F676C6D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907200"/>
        <c:axId val="155909120"/>
        <c:axId val="155957888"/>
      </c:bar3DChart>
      <c:catAx>
        <c:axId val="15590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week n°</a:t>
                </a:r>
              </a:p>
            </c:rich>
          </c:tx>
          <c:layout>
            <c:manualLayout>
              <c:xMode val="edge"/>
              <c:yMode val="edge"/>
              <c:x val="0.42222041124445625"/>
              <c:y val="0.807933753939009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5909120"/>
        <c:crosses val="autoZero"/>
        <c:auto val="1"/>
        <c:lblAlgn val="ctr"/>
        <c:lblOffset val="100"/>
        <c:noMultiLvlLbl val="0"/>
      </c:catAx>
      <c:valAx>
        <c:axId val="15590912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nl-BE" sz="1400"/>
                  <a:t>N</a:t>
                </a:r>
                <a:r>
                  <a:rPr lang="nl-BE" sz="1400" baseline="0"/>
                  <a:t> glasalen </a:t>
                </a:r>
                <a:endParaRPr lang="nl-BE" sz="1400" baseline="30000"/>
              </a:p>
            </c:rich>
          </c:tx>
          <c:layout>
            <c:manualLayout>
              <c:xMode val="edge"/>
              <c:yMode val="edge"/>
              <c:x val="3.0348433765841048E-2"/>
              <c:y val="8.0296052995106962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5907200"/>
        <c:crosses val="autoZero"/>
        <c:crossBetween val="between"/>
      </c:valAx>
      <c:serAx>
        <c:axId val="155957888"/>
        <c:scaling>
          <c:orientation val="minMax"/>
        </c:scaling>
        <c:delete val="0"/>
        <c:axPos val="b"/>
        <c:majorTickMark val="out"/>
        <c:minorTickMark val="none"/>
        <c:tickLblPos val="none"/>
        <c:crossAx val="155909120"/>
        <c:crosses val="autoZero"/>
      </c:serAx>
    </c:plotArea>
    <c:legend>
      <c:legendPos val="r"/>
      <c:layout>
        <c:manualLayout>
          <c:xMode val="edge"/>
          <c:yMode val="edge"/>
          <c:x val="0.87819513016814277"/>
          <c:y val="2.1645708864281965E-2"/>
          <c:w val="0.10771908043574724"/>
          <c:h val="0.1914803471744386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rAngAx val="0"/>
      <c:perspective val="10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544260713796128E-2"/>
          <c:y val="3.0135544463211077E-2"/>
          <c:w val="0.86189874160406299"/>
          <c:h val="0.83267500243629877"/>
        </c:manualLayout>
      </c:layout>
      <c:bar3DChart>
        <c:barDir val="col"/>
        <c:grouping val="standard"/>
        <c:varyColors val="0"/>
        <c:ser>
          <c:idx val="2"/>
          <c:order val="0"/>
          <c:tx>
            <c:strRef>
              <c:f>'morf. samenv.'!$R$279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'morf. samenv.'!$A$319:$A$332</c:f>
              <c:numCache>
                <c:formatCode>General</c:formatCode>
                <c:ptCount val="1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</c:numCache>
            </c:numRef>
          </c:cat>
          <c:val>
            <c:numRef>
              <c:f>'morf. samenv.'!$R$319:$R$332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4</c:v>
                </c:pt>
                <c:pt idx="11">
                  <c:v>9</c:v>
                </c:pt>
                <c:pt idx="12">
                  <c:v>21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E-4293-84CF-06A4E9FFA8CF}"/>
            </c:ext>
          </c:extLst>
        </c:ser>
        <c:ser>
          <c:idx val="1"/>
          <c:order val="1"/>
          <c:tx>
            <c:strRef>
              <c:f>'morf. samenv.'!$Q$279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'morf. samenv.'!$A$319:$A$332</c:f>
              <c:numCache>
                <c:formatCode>General</c:formatCode>
                <c:ptCount val="1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</c:numCache>
            </c:numRef>
          </c:cat>
          <c:val>
            <c:numRef>
              <c:f>'morf. samenv.'!$Q$319:$Q$332</c:f>
              <c:numCache>
                <c:formatCode>General</c:formatCode>
                <c:ptCount val="14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28</c:v>
                </c:pt>
                <c:pt idx="8">
                  <c:v>15</c:v>
                </c:pt>
                <c:pt idx="9">
                  <c:v>4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3E-4293-84CF-06A4E9FFA8CF}"/>
            </c:ext>
          </c:extLst>
        </c:ser>
        <c:ser>
          <c:idx val="0"/>
          <c:order val="2"/>
          <c:tx>
            <c:strRef>
              <c:f>'morf. samenv.'!$P$279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00B0F0">
                <a:alpha val="78000"/>
              </a:srgbClr>
            </a:solidFill>
          </c:spPr>
          <c:invertIfNegative val="0"/>
          <c:cat>
            <c:numRef>
              <c:f>'morf. samenv.'!$A$319:$A$332</c:f>
              <c:numCache>
                <c:formatCode>General</c:formatCode>
                <c:ptCount val="1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</c:numCache>
            </c:numRef>
          </c:cat>
          <c:val>
            <c:numRef>
              <c:f>'morf. samenv.'!$P$319:$P$332</c:f>
              <c:numCache>
                <c:formatCode>General</c:formatCode>
                <c:ptCount val="1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22</c:v>
                </c:pt>
                <c:pt idx="9">
                  <c:v>9</c:v>
                </c:pt>
                <c:pt idx="10">
                  <c:v>11</c:v>
                </c:pt>
                <c:pt idx="11">
                  <c:v>35</c:v>
                </c:pt>
                <c:pt idx="12">
                  <c:v>30</c:v>
                </c:pt>
                <c:pt idx="1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3E-4293-84CF-06A4E9FFA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387584"/>
        <c:axId val="156402048"/>
        <c:axId val="155886464"/>
      </c:bar3DChart>
      <c:catAx>
        <c:axId val="15638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week n°</a:t>
                </a:r>
              </a:p>
            </c:rich>
          </c:tx>
          <c:layout>
            <c:manualLayout>
              <c:xMode val="edge"/>
              <c:yMode val="edge"/>
              <c:x val="0.44495347924691381"/>
              <c:y val="0.804273545649399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6402048"/>
        <c:crosses val="autoZero"/>
        <c:auto val="1"/>
        <c:lblAlgn val="ctr"/>
        <c:lblOffset val="100"/>
        <c:noMultiLvlLbl val="0"/>
      </c:catAx>
      <c:valAx>
        <c:axId val="15640204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nl-BE" sz="1400"/>
                  <a:t>N</a:t>
                </a:r>
                <a:r>
                  <a:rPr lang="nl-BE" sz="1400" baseline="0"/>
                  <a:t> elvers </a:t>
                </a:r>
                <a:endParaRPr lang="nl-BE" sz="1400" baseline="30000"/>
              </a:p>
            </c:rich>
          </c:tx>
          <c:layout>
            <c:manualLayout>
              <c:xMode val="edge"/>
              <c:yMode val="edge"/>
              <c:x val="3.0348343477712238E-2"/>
              <c:y val="0.110067456172576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6387584"/>
        <c:crosses val="autoZero"/>
        <c:crossBetween val="between"/>
      </c:valAx>
      <c:serAx>
        <c:axId val="155886464"/>
        <c:scaling>
          <c:orientation val="minMax"/>
        </c:scaling>
        <c:delete val="0"/>
        <c:axPos val="b"/>
        <c:majorTickMark val="out"/>
        <c:minorTickMark val="none"/>
        <c:tickLblPos val="none"/>
        <c:crossAx val="156402048"/>
        <c:crosses val="autoZero"/>
      </c:serAx>
    </c:plotArea>
    <c:legend>
      <c:legendPos val="r"/>
      <c:layout>
        <c:manualLayout>
          <c:xMode val="edge"/>
          <c:yMode val="edge"/>
          <c:x val="0.88194068813529625"/>
          <c:y val="3.1810861505374745E-2"/>
          <c:w val="0.102214492556291"/>
          <c:h val="0.23200618219844038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42650918635171"/>
          <c:y val="2.8252405949256341E-2"/>
          <c:w val="0.86382414698162735"/>
          <c:h val="0.69111803732866728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samenv.'!$Y$2</c:f>
              <c:strCache>
                <c:ptCount val="1"/>
                <c:pt idx="0">
                  <c:v>PG LO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'morf. samenv.'!$X$3:$X$46</c:f>
              <c:numCache>
                <c:formatCode>m/d/yyyy</c:formatCode>
                <c:ptCount val="44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42807</c:v>
                </c:pt>
                <c:pt idx="15">
                  <c:v>42811</c:v>
                </c:pt>
                <c:pt idx="16">
                  <c:v>42814</c:v>
                </c:pt>
                <c:pt idx="17">
                  <c:v>42818</c:v>
                </c:pt>
                <c:pt idx="18">
                  <c:v>42821</c:v>
                </c:pt>
                <c:pt idx="19">
                  <c:v>42825</c:v>
                </c:pt>
                <c:pt idx="20">
                  <c:v>42828</c:v>
                </c:pt>
                <c:pt idx="21">
                  <c:v>42832</c:v>
                </c:pt>
                <c:pt idx="22">
                  <c:v>42839</c:v>
                </c:pt>
                <c:pt idx="23">
                  <c:v>42846</c:v>
                </c:pt>
                <c:pt idx="24">
                  <c:v>42853</c:v>
                </c:pt>
                <c:pt idx="25">
                  <c:v>42860</c:v>
                </c:pt>
                <c:pt idx="26">
                  <c:v>42867</c:v>
                </c:pt>
                <c:pt idx="27">
                  <c:v>42874</c:v>
                </c:pt>
                <c:pt idx="28">
                  <c:v>42879</c:v>
                </c:pt>
                <c:pt idx="31">
                  <c:v>43178</c:v>
                </c:pt>
                <c:pt idx="32">
                  <c:v>43188</c:v>
                </c:pt>
                <c:pt idx="33">
                  <c:v>43193</c:v>
                </c:pt>
                <c:pt idx="34">
                  <c:v>43196</c:v>
                </c:pt>
                <c:pt idx="35">
                  <c:v>43199</c:v>
                </c:pt>
                <c:pt idx="36">
                  <c:v>43200</c:v>
                </c:pt>
                <c:pt idx="37">
                  <c:v>43206</c:v>
                </c:pt>
                <c:pt idx="38">
                  <c:v>43213</c:v>
                </c:pt>
                <c:pt idx="39">
                  <c:v>43222</c:v>
                </c:pt>
                <c:pt idx="40">
                  <c:v>43227</c:v>
                </c:pt>
                <c:pt idx="41">
                  <c:v>43234</c:v>
                </c:pt>
                <c:pt idx="42">
                  <c:v>43242</c:v>
                </c:pt>
                <c:pt idx="43">
                  <c:v>43248</c:v>
                </c:pt>
              </c:numCache>
            </c:numRef>
          </c:cat>
          <c:val>
            <c:numRef>
              <c:f>'morf. samenv.'!$Y$3:$Y$46</c:f>
              <c:numCache>
                <c:formatCode>0.0</c:formatCode>
                <c:ptCount val="44"/>
                <c:pt idx="1">
                  <c:v>74.64</c:v>
                </c:pt>
                <c:pt idx="3">
                  <c:v>72.28</c:v>
                </c:pt>
                <c:pt idx="4">
                  <c:v>70.260000000000005</c:v>
                </c:pt>
                <c:pt idx="5">
                  <c:v>70.02</c:v>
                </c:pt>
                <c:pt idx="6">
                  <c:v>70.22</c:v>
                </c:pt>
                <c:pt idx="7">
                  <c:v>70.48</c:v>
                </c:pt>
                <c:pt idx="8">
                  <c:v>70.36</c:v>
                </c:pt>
                <c:pt idx="9">
                  <c:v>69.760000000000005</c:v>
                </c:pt>
                <c:pt idx="10">
                  <c:v>69.177777777777777</c:v>
                </c:pt>
                <c:pt idx="11">
                  <c:v>69.067961165048544</c:v>
                </c:pt>
                <c:pt idx="13">
                  <c:v>73.083333333333329</c:v>
                </c:pt>
                <c:pt idx="14">
                  <c:v>70.64</c:v>
                </c:pt>
                <c:pt idx="15">
                  <c:v>70.3</c:v>
                </c:pt>
                <c:pt idx="16">
                  <c:v>70.263157894736835</c:v>
                </c:pt>
                <c:pt idx="17">
                  <c:v>69.58</c:v>
                </c:pt>
                <c:pt idx="18">
                  <c:v>68.72</c:v>
                </c:pt>
                <c:pt idx="19">
                  <c:v>69.680000000000007</c:v>
                </c:pt>
                <c:pt idx="20">
                  <c:v>68.58</c:v>
                </c:pt>
                <c:pt idx="21">
                  <c:v>69.66</c:v>
                </c:pt>
                <c:pt idx="22">
                  <c:v>69.06</c:v>
                </c:pt>
                <c:pt idx="23">
                  <c:v>68.400000000000006</c:v>
                </c:pt>
                <c:pt idx="24">
                  <c:v>67.34693877551021</c:v>
                </c:pt>
                <c:pt idx="25">
                  <c:v>69.459999999999994</c:v>
                </c:pt>
                <c:pt idx="26">
                  <c:v>68.583333333333329</c:v>
                </c:pt>
                <c:pt idx="27">
                  <c:v>68.019607843137251</c:v>
                </c:pt>
                <c:pt idx="28">
                  <c:v>68.488888888888894</c:v>
                </c:pt>
                <c:pt idx="32">
                  <c:v>72.184615384615384</c:v>
                </c:pt>
                <c:pt idx="33">
                  <c:v>70.697247706422019</c:v>
                </c:pt>
                <c:pt idx="34">
                  <c:v>72.367346938775512</c:v>
                </c:pt>
                <c:pt idx="35">
                  <c:v>70.94</c:v>
                </c:pt>
                <c:pt idx="36">
                  <c:v>70.540000000000006</c:v>
                </c:pt>
                <c:pt idx="37">
                  <c:v>69.599999999999994</c:v>
                </c:pt>
                <c:pt idx="38">
                  <c:v>70.34</c:v>
                </c:pt>
                <c:pt idx="39">
                  <c:v>69.64150943396227</c:v>
                </c:pt>
                <c:pt idx="40">
                  <c:v>70.239999999999995</c:v>
                </c:pt>
                <c:pt idx="41">
                  <c:v>70.260000000000005</c:v>
                </c:pt>
                <c:pt idx="42">
                  <c:v>69.959999999999994</c:v>
                </c:pt>
                <c:pt idx="43">
                  <c:v>69.92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0-474F-981D-9A30AF59BBF5}"/>
            </c:ext>
          </c:extLst>
        </c:ser>
        <c:ser>
          <c:idx val="1"/>
          <c:order val="1"/>
          <c:tx>
            <c:strRef>
              <c:f>'morf. samenv.'!$Z$2</c:f>
              <c:strCache>
                <c:ptCount val="1"/>
                <c:pt idx="0">
                  <c:v>PG RO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diamond"/>
            <c:size val="4"/>
            <c:spPr>
              <a:solidFill>
                <a:schemeClr val="accent6">
                  <a:lumMod val="75000"/>
                </a:schemeClr>
              </a:solidFill>
            </c:spPr>
          </c:marker>
          <c:cat>
            <c:numRef>
              <c:f>'morf. samenv.'!$X$3:$X$46</c:f>
              <c:numCache>
                <c:formatCode>m/d/yyyy</c:formatCode>
                <c:ptCount val="44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42807</c:v>
                </c:pt>
                <c:pt idx="15">
                  <c:v>42811</c:v>
                </c:pt>
                <c:pt idx="16">
                  <c:v>42814</c:v>
                </c:pt>
                <c:pt idx="17">
                  <c:v>42818</c:v>
                </c:pt>
                <c:pt idx="18">
                  <c:v>42821</c:v>
                </c:pt>
                <c:pt idx="19">
                  <c:v>42825</c:v>
                </c:pt>
                <c:pt idx="20">
                  <c:v>42828</c:v>
                </c:pt>
                <c:pt idx="21">
                  <c:v>42832</c:v>
                </c:pt>
                <c:pt idx="22">
                  <c:v>42839</c:v>
                </c:pt>
                <c:pt idx="23">
                  <c:v>42846</c:v>
                </c:pt>
                <c:pt idx="24">
                  <c:v>42853</c:v>
                </c:pt>
                <c:pt idx="25">
                  <c:v>42860</c:v>
                </c:pt>
                <c:pt idx="26">
                  <c:v>42867</c:v>
                </c:pt>
                <c:pt idx="27">
                  <c:v>42874</c:v>
                </c:pt>
                <c:pt idx="28">
                  <c:v>42879</c:v>
                </c:pt>
                <c:pt idx="31">
                  <c:v>43178</c:v>
                </c:pt>
                <c:pt idx="32">
                  <c:v>43188</c:v>
                </c:pt>
                <c:pt idx="33">
                  <c:v>43193</c:v>
                </c:pt>
                <c:pt idx="34">
                  <c:v>43196</c:v>
                </c:pt>
                <c:pt idx="35">
                  <c:v>43199</c:v>
                </c:pt>
                <c:pt idx="36">
                  <c:v>43200</c:v>
                </c:pt>
                <c:pt idx="37">
                  <c:v>43206</c:v>
                </c:pt>
                <c:pt idx="38">
                  <c:v>43213</c:v>
                </c:pt>
                <c:pt idx="39">
                  <c:v>43222</c:v>
                </c:pt>
                <c:pt idx="40">
                  <c:v>43227</c:v>
                </c:pt>
                <c:pt idx="41">
                  <c:v>43234</c:v>
                </c:pt>
                <c:pt idx="42">
                  <c:v>43242</c:v>
                </c:pt>
                <c:pt idx="43">
                  <c:v>43248</c:v>
                </c:pt>
              </c:numCache>
            </c:numRef>
          </c:cat>
          <c:val>
            <c:numRef>
              <c:f>'morf. samenv.'!$Z$3:$Z$46</c:f>
              <c:numCache>
                <c:formatCode>0.0</c:formatCode>
                <c:ptCount val="44"/>
                <c:pt idx="1">
                  <c:v>72.384615384615387</c:v>
                </c:pt>
                <c:pt idx="2">
                  <c:v>71.680000000000007</c:v>
                </c:pt>
                <c:pt idx="3">
                  <c:v>70.549019607843135</c:v>
                </c:pt>
                <c:pt idx="4">
                  <c:v>70.260000000000005</c:v>
                </c:pt>
                <c:pt idx="5">
                  <c:v>69.84</c:v>
                </c:pt>
                <c:pt idx="6">
                  <c:v>70.22</c:v>
                </c:pt>
                <c:pt idx="7">
                  <c:v>70.372549019607845</c:v>
                </c:pt>
                <c:pt idx="8">
                  <c:v>70.8</c:v>
                </c:pt>
                <c:pt idx="9">
                  <c:v>70.56</c:v>
                </c:pt>
                <c:pt idx="10">
                  <c:v>70.183673469387756</c:v>
                </c:pt>
                <c:pt idx="13">
                  <c:v>72.7</c:v>
                </c:pt>
                <c:pt idx="14">
                  <c:v>70.265306122448976</c:v>
                </c:pt>
                <c:pt idx="15">
                  <c:v>70.293103448275858</c:v>
                </c:pt>
                <c:pt idx="16">
                  <c:v>70.75</c:v>
                </c:pt>
                <c:pt idx="17">
                  <c:v>69.3</c:v>
                </c:pt>
                <c:pt idx="18">
                  <c:v>69.72</c:v>
                </c:pt>
                <c:pt idx="19">
                  <c:v>68.42</c:v>
                </c:pt>
                <c:pt idx="20">
                  <c:v>70.588235294117652</c:v>
                </c:pt>
                <c:pt idx="21">
                  <c:v>68.764705882352942</c:v>
                </c:pt>
                <c:pt idx="22">
                  <c:v>69.36</c:v>
                </c:pt>
                <c:pt idx="23">
                  <c:v>68.3</c:v>
                </c:pt>
                <c:pt idx="24">
                  <c:v>68.260000000000005</c:v>
                </c:pt>
                <c:pt idx="25">
                  <c:v>68.862745098039213</c:v>
                </c:pt>
                <c:pt idx="26">
                  <c:v>69.16</c:v>
                </c:pt>
                <c:pt idx="27">
                  <c:v>68.599999999999994</c:v>
                </c:pt>
                <c:pt idx="28">
                  <c:v>67.906976744186053</c:v>
                </c:pt>
                <c:pt idx="32">
                  <c:v>73.648148148148152</c:v>
                </c:pt>
                <c:pt idx="33">
                  <c:v>71.353658536585371</c:v>
                </c:pt>
                <c:pt idx="34">
                  <c:v>72</c:v>
                </c:pt>
                <c:pt idx="35">
                  <c:v>69.352941176470594</c:v>
                </c:pt>
                <c:pt idx="36">
                  <c:v>70.98</c:v>
                </c:pt>
                <c:pt idx="37">
                  <c:v>69.52</c:v>
                </c:pt>
                <c:pt idx="38">
                  <c:v>68.28</c:v>
                </c:pt>
                <c:pt idx="39">
                  <c:v>70.16</c:v>
                </c:pt>
                <c:pt idx="40">
                  <c:v>70.92</c:v>
                </c:pt>
                <c:pt idx="41">
                  <c:v>70.52</c:v>
                </c:pt>
                <c:pt idx="42">
                  <c:v>70.84</c:v>
                </c:pt>
                <c:pt idx="43">
                  <c:v>70.14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0-474F-981D-9A30AF59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03360"/>
        <c:axId val="156706304"/>
      </c:lineChart>
      <c:catAx>
        <c:axId val="1567033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6706304"/>
        <c:crosses val="autoZero"/>
        <c:auto val="0"/>
        <c:lblAlgn val="ctr"/>
        <c:lblOffset val="100"/>
        <c:noMultiLvlLbl val="0"/>
      </c:catAx>
      <c:valAx>
        <c:axId val="156706304"/>
        <c:scaling>
          <c:orientation val="minMax"/>
          <c:max val="75"/>
          <c:min val="67"/>
        </c:scaling>
        <c:delete val="0"/>
        <c:axPos val="l"/>
        <c:numFmt formatCode="General" sourceLinked="1"/>
        <c:majorTickMark val="out"/>
        <c:minorTickMark val="none"/>
        <c:tickLblPos val="nextTo"/>
        <c:crossAx val="156703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00415573053369"/>
          <c:y val="3.6653178769320505E-2"/>
          <c:w val="0.15495844269466316"/>
          <c:h val="0.167434383202099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42650918635171"/>
          <c:y val="2.8252405949256341E-2"/>
          <c:w val="0.86382414698162735"/>
          <c:h val="0.69111803732866728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samenv.'!$AB$2</c:f>
              <c:strCache>
                <c:ptCount val="1"/>
                <c:pt idx="0">
                  <c:v>PG LO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'morf. samenv.'!$X$3:$X$46</c:f>
              <c:numCache>
                <c:formatCode>m/d/yyyy</c:formatCode>
                <c:ptCount val="44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42807</c:v>
                </c:pt>
                <c:pt idx="15">
                  <c:v>42811</c:v>
                </c:pt>
                <c:pt idx="16">
                  <c:v>42814</c:v>
                </c:pt>
                <c:pt idx="17">
                  <c:v>42818</c:v>
                </c:pt>
                <c:pt idx="18">
                  <c:v>42821</c:v>
                </c:pt>
                <c:pt idx="19">
                  <c:v>42825</c:v>
                </c:pt>
                <c:pt idx="20">
                  <c:v>42828</c:v>
                </c:pt>
                <c:pt idx="21">
                  <c:v>42832</c:v>
                </c:pt>
                <c:pt idx="22">
                  <c:v>42839</c:v>
                </c:pt>
                <c:pt idx="23">
                  <c:v>42846</c:v>
                </c:pt>
                <c:pt idx="24">
                  <c:v>42853</c:v>
                </c:pt>
                <c:pt idx="25">
                  <c:v>42860</c:v>
                </c:pt>
                <c:pt idx="26">
                  <c:v>42867</c:v>
                </c:pt>
                <c:pt idx="27">
                  <c:v>42874</c:v>
                </c:pt>
                <c:pt idx="28">
                  <c:v>42879</c:v>
                </c:pt>
                <c:pt idx="31">
                  <c:v>43178</c:v>
                </c:pt>
                <c:pt idx="32">
                  <c:v>43188</c:v>
                </c:pt>
                <c:pt idx="33">
                  <c:v>43193</c:v>
                </c:pt>
                <c:pt idx="34">
                  <c:v>43196</c:v>
                </c:pt>
                <c:pt idx="35">
                  <c:v>43199</c:v>
                </c:pt>
                <c:pt idx="36">
                  <c:v>43200</c:v>
                </c:pt>
                <c:pt idx="37">
                  <c:v>43206</c:v>
                </c:pt>
                <c:pt idx="38">
                  <c:v>43213</c:v>
                </c:pt>
                <c:pt idx="39">
                  <c:v>43222</c:v>
                </c:pt>
                <c:pt idx="40">
                  <c:v>43227</c:v>
                </c:pt>
                <c:pt idx="41">
                  <c:v>43234</c:v>
                </c:pt>
                <c:pt idx="42">
                  <c:v>43242</c:v>
                </c:pt>
                <c:pt idx="43">
                  <c:v>43248</c:v>
                </c:pt>
              </c:numCache>
            </c:numRef>
          </c:cat>
          <c:val>
            <c:numRef>
              <c:f>'morf. samenv.'!$AB$3:$AB$46</c:f>
              <c:numCache>
                <c:formatCode>0</c:formatCode>
                <c:ptCount val="44"/>
                <c:pt idx="1">
                  <c:v>364.02</c:v>
                </c:pt>
                <c:pt idx="3">
                  <c:v>326.52</c:v>
                </c:pt>
                <c:pt idx="4">
                  <c:v>286.68</c:v>
                </c:pt>
                <c:pt idx="5">
                  <c:v>286.27999999999997</c:v>
                </c:pt>
                <c:pt idx="6">
                  <c:v>286.44</c:v>
                </c:pt>
                <c:pt idx="7">
                  <c:v>302.3</c:v>
                </c:pt>
                <c:pt idx="8">
                  <c:v>311.94</c:v>
                </c:pt>
                <c:pt idx="9">
                  <c:v>266.74</c:v>
                </c:pt>
                <c:pt idx="10">
                  <c:v>293.0888888888889</c:v>
                </c:pt>
                <c:pt idx="11">
                  <c:v>295.92233009708735</c:v>
                </c:pt>
                <c:pt idx="13">
                  <c:v>334.125</c:v>
                </c:pt>
                <c:pt idx="14">
                  <c:v>300.66000000000003</c:v>
                </c:pt>
                <c:pt idx="15">
                  <c:v>297.54000000000002</c:v>
                </c:pt>
                <c:pt idx="16">
                  <c:v>298.21052631578948</c:v>
                </c:pt>
                <c:pt idx="17">
                  <c:v>276.12</c:v>
                </c:pt>
                <c:pt idx="18">
                  <c:v>272.58</c:v>
                </c:pt>
                <c:pt idx="19">
                  <c:v>302.94</c:v>
                </c:pt>
                <c:pt idx="20">
                  <c:v>258.02</c:v>
                </c:pt>
                <c:pt idx="21">
                  <c:v>291.36</c:v>
                </c:pt>
                <c:pt idx="22">
                  <c:v>285.16000000000003</c:v>
                </c:pt>
                <c:pt idx="23">
                  <c:v>258</c:v>
                </c:pt>
                <c:pt idx="24">
                  <c:v>280.44897959183675</c:v>
                </c:pt>
                <c:pt idx="25">
                  <c:v>291.56</c:v>
                </c:pt>
                <c:pt idx="26">
                  <c:v>288.72222222222223</c:v>
                </c:pt>
                <c:pt idx="27">
                  <c:v>269.0980392156863</c:v>
                </c:pt>
                <c:pt idx="28">
                  <c:v>253.82222222222222</c:v>
                </c:pt>
                <c:pt idx="32">
                  <c:v>313.93846153846152</c:v>
                </c:pt>
                <c:pt idx="33">
                  <c:v>296.08333333333331</c:v>
                </c:pt>
                <c:pt idx="34">
                  <c:v>340.9591836734694</c:v>
                </c:pt>
                <c:pt idx="35">
                  <c:v>298.83999999999997</c:v>
                </c:pt>
                <c:pt idx="36">
                  <c:v>281.45999999999998</c:v>
                </c:pt>
                <c:pt idx="37">
                  <c:v>269.92</c:v>
                </c:pt>
                <c:pt idx="38">
                  <c:v>267.42</c:v>
                </c:pt>
                <c:pt idx="39">
                  <c:v>269.58490566037733</c:v>
                </c:pt>
                <c:pt idx="40">
                  <c:v>277.72000000000003</c:v>
                </c:pt>
                <c:pt idx="41">
                  <c:v>269.95999999999998</c:v>
                </c:pt>
                <c:pt idx="42">
                  <c:v>273.27999999999997</c:v>
                </c:pt>
                <c:pt idx="43">
                  <c:v>253.56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D-4D7C-974B-777C60207643}"/>
            </c:ext>
          </c:extLst>
        </c:ser>
        <c:ser>
          <c:idx val="1"/>
          <c:order val="1"/>
          <c:tx>
            <c:strRef>
              <c:f>'morf. samenv.'!$AC$2</c:f>
              <c:strCache>
                <c:ptCount val="1"/>
                <c:pt idx="0">
                  <c:v>PG RO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diamond"/>
            <c:size val="4"/>
            <c:spPr>
              <a:solidFill>
                <a:schemeClr val="accent6">
                  <a:lumMod val="75000"/>
                </a:schemeClr>
              </a:solidFill>
            </c:spPr>
          </c:marker>
          <c:cat>
            <c:numRef>
              <c:f>'morf. samenv.'!$X$3:$X$46</c:f>
              <c:numCache>
                <c:formatCode>m/d/yyyy</c:formatCode>
                <c:ptCount val="44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42807</c:v>
                </c:pt>
                <c:pt idx="15">
                  <c:v>42811</c:v>
                </c:pt>
                <c:pt idx="16">
                  <c:v>42814</c:v>
                </c:pt>
                <c:pt idx="17">
                  <c:v>42818</c:v>
                </c:pt>
                <c:pt idx="18">
                  <c:v>42821</c:v>
                </c:pt>
                <c:pt idx="19">
                  <c:v>42825</c:v>
                </c:pt>
                <c:pt idx="20">
                  <c:v>42828</c:v>
                </c:pt>
                <c:pt idx="21">
                  <c:v>42832</c:v>
                </c:pt>
                <c:pt idx="22">
                  <c:v>42839</c:v>
                </c:pt>
                <c:pt idx="23">
                  <c:v>42846</c:v>
                </c:pt>
                <c:pt idx="24">
                  <c:v>42853</c:v>
                </c:pt>
                <c:pt idx="25">
                  <c:v>42860</c:v>
                </c:pt>
                <c:pt idx="26">
                  <c:v>42867</c:v>
                </c:pt>
                <c:pt idx="27">
                  <c:v>42874</c:v>
                </c:pt>
                <c:pt idx="28">
                  <c:v>42879</c:v>
                </c:pt>
                <c:pt idx="31">
                  <c:v>43178</c:v>
                </c:pt>
                <c:pt idx="32">
                  <c:v>43188</c:v>
                </c:pt>
                <c:pt idx="33">
                  <c:v>43193</c:v>
                </c:pt>
                <c:pt idx="34">
                  <c:v>43196</c:v>
                </c:pt>
                <c:pt idx="35">
                  <c:v>43199</c:v>
                </c:pt>
                <c:pt idx="36">
                  <c:v>43200</c:v>
                </c:pt>
                <c:pt idx="37">
                  <c:v>43206</c:v>
                </c:pt>
                <c:pt idx="38">
                  <c:v>43213</c:v>
                </c:pt>
                <c:pt idx="39">
                  <c:v>43222</c:v>
                </c:pt>
                <c:pt idx="40">
                  <c:v>43227</c:v>
                </c:pt>
                <c:pt idx="41">
                  <c:v>43234</c:v>
                </c:pt>
                <c:pt idx="42">
                  <c:v>43242</c:v>
                </c:pt>
                <c:pt idx="43">
                  <c:v>43248</c:v>
                </c:pt>
              </c:numCache>
            </c:numRef>
          </c:cat>
          <c:val>
            <c:numRef>
              <c:f>'morf. samenv.'!$AC$3:$AC$46</c:f>
              <c:numCache>
                <c:formatCode>0</c:formatCode>
                <c:ptCount val="44"/>
                <c:pt idx="0">
                  <c:v>323.80769230769232</c:v>
                </c:pt>
                <c:pt idx="1">
                  <c:v>311.95999999999998</c:v>
                </c:pt>
                <c:pt idx="2">
                  <c:v>289.29411764705884</c:v>
                </c:pt>
                <c:pt idx="3">
                  <c:v>304.54000000000002</c:v>
                </c:pt>
                <c:pt idx="4">
                  <c:v>286.22000000000003</c:v>
                </c:pt>
                <c:pt idx="5">
                  <c:v>283.10000000000002</c:v>
                </c:pt>
                <c:pt idx="6">
                  <c:v>298.92156862745099</c:v>
                </c:pt>
                <c:pt idx="7">
                  <c:v>308.24</c:v>
                </c:pt>
                <c:pt idx="8">
                  <c:v>318.39999999999998</c:v>
                </c:pt>
                <c:pt idx="9">
                  <c:v>290.9387755102041</c:v>
                </c:pt>
                <c:pt idx="10">
                  <c:v>306.27999999999997</c:v>
                </c:pt>
                <c:pt idx="13">
                  <c:v>309.3</c:v>
                </c:pt>
                <c:pt idx="14">
                  <c:v>287.16326530612247</c:v>
                </c:pt>
                <c:pt idx="15">
                  <c:v>291.72413793103448</c:v>
                </c:pt>
                <c:pt idx="16">
                  <c:v>317.63461538461536</c:v>
                </c:pt>
                <c:pt idx="17">
                  <c:v>264.26</c:v>
                </c:pt>
                <c:pt idx="18">
                  <c:v>286.60000000000002</c:v>
                </c:pt>
                <c:pt idx="19">
                  <c:v>279.38</c:v>
                </c:pt>
                <c:pt idx="20">
                  <c:v>307.35294117647061</c:v>
                </c:pt>
                <c:pt idx="21">
                  <c:v>281.8235294117647</c:v>
                </c:pt>
                <c:pt idx="22">
                  <c:v>289.89999999999998</c:v>
                </c:pt>
                <c:pt idx="23">
                  <c:v>246</c:v>
                </c:pt>
                <c:pt idx="24">
                  <c:v>300.06</c:v>
                </c:pt>
                <c:pt idx="25">
                  <c:v>290.41176470588238</c:v>
                </c:pt>
                <c:pt idx="26">
                  <c:v>316.83999999999997</c:v>
                </c:pt>
                <c:pt idx="27">
                  <c:v>289.72000000000003</c:v>
                </c:pt>
                <c:pt idx="28">
                  <c:v>239.2093023255814</c:v>
                </c:pt>
                <c:pt idx="32">
                  <c:v>349.98148148148147</c:v>
                </c:pt>
                <c:pt idx="33">
                  <c:v>294.97560975609758</c:v>
                </c:pt>
                <c:pt idx="34">
                  <c:v>333</c:v>
                </c:pt>
                <c:pt idx="35">
                  <c:v>282.72549019607845</c:v>
                </c:pt>
                <c:pt idx="36">
                  <c:v>292.3</c:v>
                </c:pt>
                <c:pt idx="37">
                  <c:v>286.3</c:v>
                </c:pt>
                <c:pt idx="38">
                  <c:v>246.88</c:v>
                </c:pt>
                <c:pt idx="39">
                  <c:v>303.26</c:v>
                </c:pt>
                <c:pt idx="40">
                  <c:v>286.89999999999998</c:v>
                </c:pt>
                <c:pt idx="41">
                  <c:v>272.86</c:v>
                </c:pt>
                <c:pt idx="42">
                  <c:v>274.24</c:v>
                </c:pt>
                <c:pt idx="43">
                  <c:v>237.42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D-4D7C-974B-777C60207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35744"/>
        <c:axId val="156738688"/>
      </c:lineChart>
      <c:catAx>
        <c:axId val="156735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6738688"/>
        <c:crosses val="autoZero"/>
        <c:auto val="0"/>
        <c:lblAlgn val="ctr"/>
        <c:lblOffset val="100"/>
        <c:noMultiLvlLbl val="0"/>
      </c:catAx>
      <c:valAx>
        <c:axId val="156738688"/>
        <c:scaling>
          <c:orientation val="minMax"/>
          <c:min val="230"/>
        </c:scaling>
        <c:delete val="0"/>
        <c:axPos val="l"/>
        <c:numFmt formatCode="General" sourceLinked="1"/>
        <c:majorTickMark val="out"/>
        <c:minorTickMark val="none"/>
        <c:tickLblPos val="nextTo"/>
        <c:crossAx val="156735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00415573053369"/>
          <c:y val="3.6653178769320505E-2"/>
          <c:w val="0.15495844269466316"/>
          <c:h val="0.167434383202099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26312335958005"/>
          <c:y val="5.1400554097404488E-2"/>
          <c:w val="0.86565748031496059"/>
          <c:h val="0.66334025955088949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samenv.'!$AB$116</c:f>
              <c:strCache>
                <c:ptCount val="1"/>
                <c:pt idx="0">
                  <c:v>GG</c:v>
                </c:pt>
              </c:strCache>
            </c:strRef>
          </c:tx>
          <c:spPr>
            <a:ln w="25400">
              <a:solidFill>
                <a:srgbClr val="0066FF"/>
              </a:solidFill>
            </a:ln>
          </c:spPr>
          <c:marker>
            <c:symbol val="circle"/>
            <c:size val="3"/>
            <c:spPr>
              <a:solidFill>
                <a:schemeClr val="bg1"/>
              </a:solidFill>
              <a:ln w="15875">
                <a:solidFill>
                  <a:srgbClr val="0066FF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samenv.'!$AB$118:$AB$164</c:f>
              <c:numCache>
                <c:formatCode>0.0</c:formatCode>
                <c:ptCount val="47"/>
                <c:pt idx="0">
                  <c:v>72.821428571428569</c:v>
                </c:pt>
                <c:pt idx="1">
                  <c:v>71.820845921450157</c:v>
                </c:pt>
                <c:pt idx="2">
                  <c:v>70.549019607843135</c:v>
                </c:pt>
                <c:pt idx="3">
                  <c:v>71.275794862741634</c:v>
                </c:pt>
                <c:pt idx="4">
                  <c:v>70.125616174582802</c:v>
                </c:pt>
                <c:pt idx="5">
                  <c:v>70.062304230423038</c:v>
                </c:pt>
                <c:pt idx="6">
                  <c:v>70.263181865338723</c:v>
                </c:pt>
                <c:pt idx="7">
                  <c:v>70.561081081081085</c:v>
                </c:pt>
                <c:pt idx="8">
                  <c:v>70.448275862068968</c:v>
                </c:pt>
                <c:pt idx="9">
                  <c:v>69.930688591983568</c:v>
                </c:pt>
                <c:pt idx="10">
                  <c:v>69.540463458110509</c:v>
                </c:pt>
                <c:pt idx="11">
                  <c:v>69.067961165048544</c:v>
                </c:pt>
                <c:pt idx="14">
                  <c:v>72.970588235294116</c:v>
                </c:pt>
                <c:pt idx="15">
                  <c:v>70.5492586490939</c:v>
                </c:pt>
                <c:pt idx="16">
                  <c:v>70.296642548805494</c:v>
                </c:pt>
                <c:pt idx="17">
                  <c:v>70.438771642691009</c:v>
                </c:pt>
                <c:pt idx="18">
                  <c:v>69.459976395609573</c:v>
                </c:pt>
                <c:pt idx="19">
                  <c:v>69.123018585505804</c:v>
                </c:pt>
                <c:pt idx="20">
                  <c:v>69.304440063091491</c:v>
                </c:pt>
                <c:pt idx="21">
                  <c:v>69.481224026170722</c:v>
                </c:pt>
                <c:pt idx="22">
                  <c:v>69.282690572989452</c:v>
                </c:pt>
                <c:pt idx="23">
                  <c:v>69.264637865311315</c:v>
                </c:pt>
                <c:pt idx="24">
                  <c:v>68.330746734735058</c:v>
                </c:pt>
                <c:pt idx="25">
                  <c:v>67.616925300263645</c:v>
                </c:pt>
                <c:pt idx="26">
                  <c:v>68.944073425114723</c:v>
                </c:pt>
                <c:pt idx="27">
                  <c:v>69.066486486486482</c:v>
                </c:pt>
                <c:pt idx="28">
                  <c:v>68.197214186220918</c:v>
                </c:pt>
                <c:pt idx="29">
                  <c:v>68.204545454545467</c:v>
                </c:pt>
                <c:pt idx="34">
                  <c:v>72.800308478239515</c:v>
                </c:pt>
                <c:pt idx="35">
                  <c:v>71.026565682232786</c:v>
                </c:pt>
                <c:pt idx="36">
                  <c:v>72.148760330578511</c:v>
                </c:pt>
                <c:pt idx="37">
                  <c:v>69.790750507099389</c:v>
                </c:pt>
                <c:pt idx="38">
                  <c:v>70.939212698412703</c:v>
                </c:pt>
                <c:pt idx="39">
                  <c:v>69.565986984815609</c:v>
                </c:pt>
                <c:pt idx="40">
                  <c:v>69.397003212084385</c:v>
                </c:pt>
                <c:pt idx="41">
                  <c:v>69.42</c:v>
                </c:pt>
                <c:pt idx="42">
                  <c:v>70.062111798058751</c:v>
                </c:pt>
                <c:pt idx="43">
                  <c:v>70.74316784869977</c:v>
                </c:pt>
                <c:pt idx="44">
                  <c:v>70.441697229286561</c:v>
                </c:pt>
                <c:pt idx="45">
                  <c:v>70.613507498790511</c:v>
                </c:pt>
                <c:pt idx="46">
                  <c:v>70.039746835443026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1-484E-A5ED-5AA23D969329}"/>
            </c:ext>
          </c:extLst>
        </c:ser>
        <c:ser>
          <c:idx val="1"/>
          <c:order val="1"/>
          <c:tx>
            <c:strRef>
              <c:f>'morf. samenv.'!$AC$116</c:f>
              <c:strCache>
                <c:ptCount val="1"/>
                <c:pt idx="0">
                  <c:v>SU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samenv.'!$AC$118:$AC$164</c:f>
              <c:numCache>
                <c:formatCode>General</c:formatCode>
                <c:ptCount val="47"/>
                <c:pt idx="2" formatCode="0.0">
                  <c:v>71.109090909090909</c:v>
                </c:pt>
                <c:pt idx="3" formatCode="0.0">
                  <c:v>70.714285714285708</c:v>
                </c:pt>
                <c:pt idx="5" formatCode="0.0">
                  <c:v>69.666666666666671</c:v>
                </c:pt>
                <c:pt idx="6" formatCode="0.0">
                  <c:v>71.461538461538467</c:v>
                </c:pt>
                <c:pt idx="7" formatCode="0.0">
                  <c:v>68.5</c:v>
                </c:pt>
                <c:pt idx="8" formatCode="0.0">
                  <c:v>69.375</c:v>
                </c:pt>
                <c:pt idx="9" formatCode="0.0">
                  <c:v>71.097087378640779</c:v>
                </c:pt>
                <c:pt idx="10" formatCode="0.0">
                  <c:v>69.288135593220332</c:v>
                </c:pt>
                <c:pt idx="11" formatCode="0.0">
                  <c:v>70.8735632183908</c:v>
                </c:pt>
                <c:pt idx="16" formatCode="0.0">
                  <c:v>69.666666666666671</c:v>
                </c:pt>
                <c:pt idx="18" formatCode="0.0">
                  <c:v>68.38636363636364</c:v>
                </c:pt>
                <c:pt idx="20" formatCode="0.0">
                  <c:v>68.411764705882348</c:v>
                </c:pt>
                <c:pt idx="22" formatCode="0.0">
                  <c:v>67.757575757575751</c:v>
                </c:pt>
                <c:pt idx="23" formatCode="0.0">
                  <c:v>67.718309859154928</c:v>
                </c:pt>
                <c:pt idx="24" formatCode="0.0">
                  <c:v>68.049180327868854</c:v>
                </c:pt>
                <c:pt idx="25" formatCode="0.0">
                  <c:v>68.36363636363636</c:v>
                </c:pt>
                <c:pt idx="26" formatCode="0.0">
                  <c:v>68.098591549295776</c:v>
                </c:pt>
                <c:pt idx="27" formatCode="0.0">
                  <c:v>67.94736842105263</c:v>
                </c:pt>
                <c:pt idx="28" formatCode="0.0">
                  <c:v>70.365079365079367</c:v>
                </c:pt>
                <c:pt idx="29" formatCode="0.0">
                  <c:v>72.637583892617457</c:v>
                </c:pt>
                <c:pt idx="34" formatCode="0.0">
                  <c:v>70.28</c:v>
                </c:pt>
                <c:pt idx="35" formatCode="0.0">
                  <c:v>71.555555555555557</c:v>
                </c:pt>
                <c:pt idx="37" formatCode="0.0">
                  <c:v>70.0625</c:v>
                </c:pt>
                <c:pt idx="39" formatCode="0.0">
                  <c:v>69.389610389610397</c:v>
                </c:pt>
                <c:pt idx="40" formatCode="0.0">
                  <c:v>69.297468354430379</c:v>
                </c:pt>
                <c:pt idx="42" formatCode="0.0">
                  <c:v>68.639534883720927</c:v>
                </c:pt>
                <c:pt idx="43" formatCode="0.0">
                  <c:v>69.041095890410958</c:v>
                </c:pt>
                <c:pt idx="44" formatCode="0.0">
                  <c:v>70.058419243986251</c:v>
                </c:pt>
                <c:pt idx="45" formatCode="0.0">
                  <c:v>70.424342105263165</c:v>
                </c:pt>
                <c:pt idx="46" formatCode="0.0">
                  <c:v>70.743718592964825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1-484E-A5ED-5AA23D969329}"/>
            </c:ext>
          </c:extLst>
        </c:ser>
        <c:ser>
          <c:idx val="2"/>
          <c:order val="2"/>
          <c:tx>
            <c:strRef>
              <c:f>'morf. samenv.'!$AD$116</c:f>
              <c:strCache>
                <c:ptCount val="1"/>
                <c:pt idx="0">
                  <c:v>KR</c:v>
                </c:pt>
              </c:strCache>
            </c:strRef>
          </c:tx>
          <c:spPr>
            <a:ln w="25400">
              <a:solidFill>
                <a:srgbClr val="00B050"/>
              </a:solidFill>
              <a:prstDash val="solid"/>
            </a:ln>
          </c:spPr>
          <c:marker>
            <c:symbol val="triangle"/>
            <c:size val="2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samenv.'!$AD$118:$AD$164</c:f>
              <c:numCache>
                <c:formatCode>0.0</c:formatCode>
                <c:ptCount val="47"/>
                <c:pt idx="0">
                  <c:v>73.7</c:v>
                </c:pt>
                <c:pt idx="1">
                  <c:v>71.705882352941174</c:v>
                </c:pt>
                <c:pt idx="2">
                  <c:v>72.634615384615387</c:v>
                </c:pt>
                <c:pt idx="3">
                  <c:v>72.8125</c:v>
                </c:pt>
                <c:pt idx="5">
                  <c:v>71.307692307692307</c:v>
                </c:pt>
                <c:pt idx="14">
                  <c:v>70.083333333333329</c:v>
                </c:pt>
                <c:pt idx="16">
                  <c:v>70.400000000000006</c:v>
                </c:pt>
                <c:pt idx="18">
                  <c:v>69.509803921568633</c:v>
                </c:pt>
                <c:pt idx="20">
                  <c:v>69.666666666666671</c:v>
                </c:pt>
                <c:pt idx="22">
                  <c:v>70.400000000000006</c:v>
                </c:pt>
                <c:pt idx="23">
                  <c:v>66.75</c:v>
                </c:pt>
                <c:pt idx="33">
                  <c:v>70.82352941176471</c:v>
                </c:pt>
                <c:pt idx="34">
                  <c:v>71</c:v>
                </c:pt>
                <c:pt idx="35">
                  <c:v>70.716981132075475</c:v>
                </c:pt>
                <c:pt idx="37">
                  <c:v>71.115384615384613</c:v>
                </c:pt>
                <c:pt idx="39">
                  <c:v>68.745098039215691</c:v>
                </c:pt>
                <c:pt idx="40">
                  <c:v>69.980392156862749</c:v>
                </c:pt>
                <c:pt idx="42">
                  <c:v>69.275862068965523</c:v>
                </c:pt>
                <c:pt idx="44">
                  <c:v>69.263157894736835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41-484E-A5ED-5AA23D969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463104"/>
        <c:axId val="156465792"/>
      </c:lineChart>
      <c:catAx>
        <c:axId val="1564631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one"/>
        <c:crossAx val="156465792"/>
        <c:crosses val="autoZero"/>
        <c:auto val="0"/>
        <c:lblAlgn val="ctr"/>
        <c:lblOffset val="100"/>
        <c:noMultiLvlLbl val="0"/>
      </c:catAx>
      <c:valAx>
        <c:axId val="156465792"/>
        <c:scaling>
          <c:orientation val="minMax"/>
          <c:max val="74"/>
          <c:min val="6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lengte (mm)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6463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42007698062311"/>
          <c:y val="1.5507927878088426E-2"/>
          <c:w val="0.11838888888888889"/>
          <c:h val="0.2205233339734972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5201224846894"/>
          <c:y val="5.1400554097404488E-2"/>
          <c:w val="0.85176859142607175"/>
          <c:h val="0.66334025955088949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samenv.'!$AE$116</c:f>
              <c:strCache>
                <c:ptCount val="1"/>
                <c:pt idx="0">
                  <c:v>GG</c:v>
                </c:pt>
              </c:strCache>
            </c:strRef>
          </c:tx>
          <c:spPr>
            <a:ln w="25400">
              <a:solidFill>
                <a:srgbClr val="0066FF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rgbClr val="0070C0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samenv.'!$AE$118:$AE$164</c:f>
              <c:numCache>
                <c:formatCode>0</c:formatCode>
                <c:ptCount val="47"/>
                <c:pt idx="0">
                  <c:v>330.80357142857144</c:v>
                </c:pt>
                <c:pt idx="1">
                  <c:v>314.43717522658613</c:v>
                </c:pt>
                <c:pt idx="2">
                  <c:v>289.29411764705884</c:v>
                </c:pt>
                <c:pt idx="3">
                  <c:v>315.59305499161439</c:v>
                </c:pt>
                <c:pt idx="4">
                  <c:v>286.53281771501923</c:v>
                </c:pt>
                <c:pt idx="5">
                  <c:v>285.60736273627361</c:v>
                </c:pt>
                <c:pt idx="6">
                  <c:v>289.97314244216204</c:v>
                </c:pt>
                <c:pt idx="7">
                  <c:v>303.80506756756756</c:v>
                </c:pt>
                <c:pt idx="8">
                  <c:v>314.79131034482759</c:v>
                </c:pt>
                <c:pt idx="9">
                  <c:v>276.48914696813978</c:v>
                </c:pt>
                <c:pt idx="10">
                  <c:v>300.77782531194293</c:v>
                </c:pt>
                <c:pt idx="11">
                  <c:v>295.92233009708735</c:v>
                </c:pt>
                <c:pt idx="14">
                  <c:v>326.8235294117647</c:v>
                </c:pt>
                <c:pt idx="15">
                  <c:v>297.39143327841845</c:v>
                </c:pt>
                <c:pt idx="16">
                  <c:v>294.70866140768032</c:v>
                </c:pt>
                <c:pt idx="17">
                  <c:v>305.21718626794859</c:v>
                </c:pt>
                <c:pt idx="18">
                  <c:v>271.03614304260589</c:v>
                </c:pt>
                <c:pt idx="19">
                  <c:v>278.23032056879134</c:v>
                </c:pt>
                <c:pt idx="20">
                  <c:v>295.91762530669467</c:v>
                </c:pt>
                <c:pt idx="21">
                  <c:v>280.1588559399043</c:v>
                </c:pt>
                <c:pt idx="22">
                  <c:v>287.3409852623555</c:v>
                </c:pt>
                <c:pt idx="23">
                  <c:v>288.39327827191869</c:v>
                </c:pt>
                <c:pt idx="24">
                  <c:v>250.84617738129697</c:v>
                </c:pt>
                <c:pt idx="25">
                  <c:v>286.24783634410699</c:v>
                </c:pt>
                <c:pt idx="26">
                  <c:v>290.56812015018778</c:v>
                </c:pt>
                <c:pt idx="27">
                  <c:v>312.28036036036031</c:v>
                </c:pt>
                <c:pt idx="28">
                  <c:v>275.40858459230691</c:v>
                </c:pt>
                <c:pt idx="29">
                  <c:v>246.68181818181819</c:v>
                </c:pt>
                <c:pt idx="34">
                  <c:v>329.10138716966304</c:v>
                </c:pt>
                <c:pt idx="35">
                  <c:v>295.52759404712691</c:v>
                </c:pt>
                <c:pt idx="36">
                  <c:v>336.22314049586777</c:v>
                </c:pt>
                <c:pt idx="37">
                  <c:v>287.17087221095341</c:v>
                </c:pt>
                <c:pt idx="38">
                  <c:v>291.29514920634921</c:v>
                </c:pt>
                <c:pt idx="39">
                  <c:v>276.88416485900217</c:v>
                </c:pt>
                <c:pt idx="40">
                  <c:v>258.01749804670544</c:v>
                </c:pt>
                <c:pt idx="41">
                  <c:v>271.81</c:v>
                </c:pt>
                <c:pt idx="42">
                  <c:v>296.90232514335139</c:v>
                </c:pt>
                <c:pt idx="43">
                  <c:v>284.51276595744679</c:v>
                </c:pt>
                <c:pt idx="44">
                  <c:v>271.98662294204257</c:v>
                </c:pt>
                <c:pt idx="45">
                  <c:v>273.9929172714078</c:v>
                </c:pt>
                <c:pt idx="46">
                  <c:v>244.77493670886076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D-43A7-AC16-EFFACC57970E}"/>
            </c:ext>
          </c:extLst>
        </c:ser>
        <c:ser>
          <c:idx val="1"/>
          <c:order val="1"/>
          <c:tx>
            <c:strRef>
              <c:f>'morf. samenv.'!$AF$116</c:f>
              <c:strCache>
                <c:ptCount val="1"/>
                <c:pt idx="0">
                  <c:v>SU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samenv.'!$AF$118:$AF$164</c:f>
              <c:numCache>
                <c:formatCode>General</c:formatCode>
                <c:ptCount val="47"/>
                <c:pt idx="2" formatCode="0">
                  <c:v>301.03636363636366</c:v>
                </c:pt>
                <c:pt idx="3" formatCode="0">
                  <c:v>294.71428571428572</c:v>
                </c:pt>
                <c:pt idx="5" formatCode="0">
                  <c:v>287.83333333333331</c:v>
                </c:pt>
                <c:pt idx="6" formatCode="0">
                  <c:v>306.53846153846155</c:v>
                </c:pt>
                <c:pt idx="7" formatCode="0">
                  <c:v>287.3</c:v>
                </c:pt>
                <c:pt idx="8" formatCode="0">
                  <c:v>317</c:v>
                </c:pt>
                <c:pt idx="9" formatCode="0">
                  <c:v>333.11650485436894</c:v>
                </c:pt>
                <c:pt idx="10" formatCode="0">
                  <c:v>328.31932773109241</c:v>
                </c:pt>
                <c:pt idx="11" formatCode="0">
                  <c:v>359.70114942528738</c:v>
                </c:pt>
                <c:pt idx="16" formatCode="0">
                  <c:v>313</c:v>
                </c:pt>
                <c:pt idx="18" formatCode="0">
                  <c:v>275.11363636363637</c:v>
                </c:pt>
                <c:pt idx="20" formatCode="0">
                  <c:v>278.10294117647061</c:v>
                </c:pt>
                <c:pt idx="22" formatCode="0">
                  <c:v>267.39393939393938</c:v>
                </c:pt>
                <c:pt idx="23" formatCode="0">
                  <c:v>282.05633802816902</c:v>
                </c:pt>
                <c:pt idx="24" formatCode="0">
                  <c:v>267.5409836065574</c:v>
                </c:pt>
                <c:pt idx="25" formatCode="0">
                  <c:v>314.63636363636363</c:v>
                </c:pt>
                <c:pt idx="26" formatCode="0">
                  <c:v>306.56338028169012</c:v>
                </c:pt>
                <c:pt idx="27" formatCode="0">
                  <c:v>326.11842105263156</c:v>
                </c:pt>
                <c:pt idx="28">
                  <c:v>399</c:v>
                </c:pt>
                <c:pt idx="29" formatCode="0">
                  <c:v>434.56375838926175</c:v>
                </c:pt>
                <c:pt idx="34" formatCode="0">
                  <c:v>311.2</c:v>
                </c:pt>
                <c:pt idx="35" formatCode="0">
                  <c:v>286.44444444444446</c:v>
                </c:pt>
                <c:pt idx="37" formatCode="0">
                  <c:v>304.5</c:v>
                </c:pt>
                <c:pt idx="39" formatCode="0">
                  <c:v>285.54545454545456</c:v>
                </c:pt>
                <c:pt idx="40" formatCode="0">
                  <c:v>264.01265822784808</c:v>
                </c:pt>
                <c:pt idx="42" formatCode="0">
                  <c:v>278.65697674418607</c:v>
                </c:pt>
                <c:pt idx="43" formatCode="0">
                  <c:v>279.06849315068496</c:v>
                </c:pt>
                <c:pt idx="44" formatCode="0">
                  <c:v>293.26804123711338</c:v>
                </c:pt>
                <c:pt idx="45" formatCode="0">
                  <c:v>308.76973684210526</c:v>
                </c:pt>
                <c:pt idx="46" formatCode="0">
                  <c:v>327.42713567839195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2D-43A7-AC16-EFFACC57970E}"/>
            </c:ext>
          </c:extLst>
        </c:ser>
        <c:ser>
          <c:idx val="2"/>
          <c:order val="2"/>
          <c:tx>
            <c:strRef>
              <c:f>'morf. samenv.'!$AG$116</c:f>
              <c:strCache>
                <c:ptCount val="1"/>
                <c:pt idx="0">
                  <c:v>KR</c:v>
                </c:pt>
              </c:strCache>
            </c:strRef>
          </c:tx>
          <c:spPr>
            <a:ln w="25400">
              <a:solidFill>
                <a:srgbClr val="00B05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samenv.'!$AG$118:$AG$164</c:f>
              <c:numCache>
                <c:formatCode>0</c:formatCode>
                <c:ptCount val="47"/>
                <c:pt idx="0">
                  <c:v>348.93103448275861</c:v>
                </c:pt>
                <c:pt idx="1">
                  <c:v>311.88235294117646</c:v>
                </c:pt>
                <c:pt idx="2">
                  <c:v>339.03846153846155</c:v>
                </c:pt>
                <c:pt idx="3">
                  <c:v>335.625</c:v>
                </c:pt>
                <c:pt idx="5">
                  <c:v>281.30769230769232</c:v>
                </c:pt>
                <c:pt idx="14">
                  <c:v>290.66666666666669</c:v>
                </c:pt>
                <c:pt idx="16">
                  <c:v>304.44</c:v>
                </c:pt>
                <c:pt idx="18">
                  <c:v>279.03921568627453</c:v>
                </c:pt>
                <c:pt idx="20">
                  <c:v>287.83333333333331</c:v>
                </c:pt>
                <c:pt idx="22">
                  <c:v>288.3</c:v>
                </c:pt>
                <c:pt idx="23">
                  <c:v>293.875</c:v>
                </c:pt>
                <c:pt idx="33">
                  <c:v>346.70588235294116</c:v>
                </c:pt>
                <c:pt idx="34">
                  <c:v>312.69230769230768</c:v>
                </c:pt>
                <c:pt idx="35">
                  <c:v>305.24528301886795</c:v>
                </c:pt>
                <c:pt idx="37">
                  <c:v>294.17307692307691</c:v>
                </c:pt>
                <c:pt idx="39">
                  <c:v>271.31372549019608</c:v>
                </c:pt>
                <c:pt idx="40">
                  <c:v>266.94117647058823</c:v>
                </c:pt>
                <c:pt idx="42">
                  <c:v>278.5344827586207</c:v>
                </c:pt>
                <c:pt idx="44">
                  <c:v>257.73684210526318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2D-43A7-AC16-EFFACC579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497408"/>
        <c:axId val="156582272"/>
      </c:lineChart>
      <c:catAx>
        <c:axId val="156497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one"/>
        <c:crossAx val="156582272"/>
        <c:crosses val="autoZero"/>
        <c:auto val="0"/>
        <c:lblAlgn val="ctr"/>
        <c:lblOffset val="100"/>
        <c:noMultiLvlLbl val="0"/>
      </c:catAx>
      <c:valAx>
        <c:axId val="156582272"/>
        <c:scaling>
          <c:orientation val="minMax"/>
          <c:max val="440"/>
          <c:min val="24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gewicht (mg)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64974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'morf. samenv.'!$B$116</c:f>
              <c:strCache>
                <c:ptCount val="1"/>
                <c:pt idx="0">
                  <c:v>VA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samenv.'!$B$118:$B$170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1">
                  <c:v>0</c:v>
                </c:pt>
                <c:pt idx="43">
                  <c:v>0</c:v>
                </c:pt>
                <c:pt idx="44" formatCode="General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1-40F2-B0B3-7200FE4858B9}"/>
            </c:ext>
          </c:extLst>
        </c:ser>
        <c:ser>
          <c:idx val="1"/>
          <c:order val="1"/>
          <c:tx>
            <c:strRef>
              <c:f>'morf. samenv.'!$C$116</c:f>
              <c:strCache>
                <c:ptCount val="1"/>
                <c:pt idx="0">
                  <c:v>VB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samenv.'!$C$118:$C$170</c:f>
              <c:numCache>
                <c:formatCode>0</c:formatCode>
                <c:ptCount val="53"/>
                <c:pt idx="0">
                  <c:v>23.214285714285715</c:v>
                </c:pt>
                <c:pt idx="1">
                  <c:v>24.762084592145015</c:v>
                </c:pt>
                <c:pt idx="2">
                  <c:v>1.9607843137254901</c:v>
                </c:pt>
                <c:pt idx="3">
                  <c:v>1.9999999999999998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61.647058823529413</c:v>
                </c:pt>
                <c:pt idx="15">
                  <c:v>45.270691927512352</c:v>
                </c:pt>
                <c:pt idx="16">
                  <c:v>33.208682430019081</c:v>
                </c:pt>
                <c:pt idx="17">
                  <c:v>25.101766754794578</c:v>
                </c:pt>
                <c:pt idx="18">
                  <c:v>15.142688540068452</c:v>
                </c:pt>
                <c:pt idx="19">
                  <c:v>2.8060371710116003</c:v>
                </c:pt>
                <c:pt idx="20">
                  <c:v>6.0000000000000009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4">
                  <c:v>21.601729050004909</c:v>
                </c:pt>
                <c:pt idx="35">
                  <c:v>2.137967391180676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41">
                  <c:v>0</c:v>
                </c:pt>
                <c:pt idx="43">
                  <c:v>1.0844691379460023</c:v>
                </c:pt>
                <c:pt idx="44" formatCode="General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01-40F2-B0B3-7200FE4858B9}"/>
            </c:ext>
          </c:extLst>
        </c:ser>
        <c:ser>
          <c:idx val="2"/>
          <c:order val="2"/>
          <c:tx>
            <c:strRef>
              <c:f>'morf. samenv.'!$D$116</c:f>
              <c:strCache>
                <c:ptCount val="1"/>
                <c:pt idx="0">
                  <c:v>VIA0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samenv.'!$D$118:$D$170</c:f>
              <c:numCache>
                <c:formatCode>0</c:formatCode>
                <c:ptCount val="53"/>
                <c:pt idx="0">
                  <c:v>8.9285714285714288</c:v>
                </c:pt>
                <c:pt idx="1">
                  <c:v>10.109516616314201</c:v>
                </c:pt>
                <c:pt idx="2">
                  <c:v>11.76470588235294</c:v>
                </c:pt>
                <c:pt idx="3">
                  <c:v>1.0057374878630063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26.47058823529412</c:v>
                </c:pt>
                <c:pt idx="15">
                  <c:v>17.561779242174627</c:v>
                </c:pt>
                <c:pt idx="16">
                  <c:v>21.362084273045483</c:v>
                </c:pt>
                <c:pt idx="17">
                  <c:v>19.959293298082173</c:v>
                </c:pt>
                <c:pt idx="18">
                  <c:v>9.4292458397261907</c:v>
                </c:pt>
                <c:pt idx="19">
                  <c:v>6.0000000000000009</c:v>
                </c:pt>
                <c:pt idx="20">
                  <c:v>2</c:v>
                </c:pt>
                <c:pt idx="21">
                  <c:v>1.1024716786817714</c:v>
                </c:pt>
                <c:pt idx="22">
                  <c:v>1.1571274298056156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4">
                  <c:v>16.590824245996661</c:v>
                </c:pt>
                <c:pt idx="35">
                  <c:v>16.949076690269315</c:v>
                </c:pt>
                <c:pt idx="36">
                  <c:v>8.4589207583859984</c:v>
                </c:pt>
                <c:pt idx="37">
                  <c:v>3.075050709939148</c:v>
                </c:pt>
                <c:pt idx="38">
                  <c:v>5.8146031746031746</c:v>
                </c:pt>
                <c:pt idx="41">
                  <c:v>0.85032537960954457</c:v>
                </c:pt>
                <c:pt idx="43">
                  <c:v>0</c:v>
                </c:pt>
                <c:pt idx="44" formatCode="General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01-40F2-B0B3-7200FE4858B9}"/>
            </c:ext>
          </c:extLst>
        </c:ser>
        <c:ser>
          <c:idx val="3"/>
          <c:order val="3"/>
          <c:tx>
            <c:strRef>
              <c:f>'morf. samenv.'!$E$116</c:f>
              <c:strCache>
                <c:ptCount val="1"/>
                <c:pt idx="0">
                  <c:v>VIA1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samenv.'!$E$118:$E$170</c:f>
              <c:numCache>
                <c:formatCode>0</c:formatCode>
                <c:ptCount val="53"/>
                <c:pt idx="0">
                  <c:v>19.642857142857142</c:v>
                </c:pt>
                <c:pt idx="1">
                  <c:v>18.791540785498491</c:v>
                </c:pt>
                <c:pt idx="2">
                  <c:v>5.8823529411764701</c:v>
                </c:pt>
                <c:pt idx="3">
                  <c:v>3.9999999999999996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5">
                  <c:v>4.5140032948929152</c:v>
                </c:pt>
                <c:pt idx="16">
                  <c:v>2.51808839587309</c:v>
                </c:pt>
                <c:pt idx="17">
                  <c:v>5.1424734567124091</c:v>
                </c:pt>
                <c:pt idx="18">
                  <c:v>10.570754160273813</c:v>
                </c:pt>
                <c:pt idx="19">
                  <c:v>6.418111513034801</c:v>
                </c:pt>
                <c:pt idx="20">
                  <c:v>0.5961268839817736</c:v>
                </c:pt>
                <c:pt idx="21">
                  <c:v>1.9824014054643486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4">
                  <c:v>8.3515080066804206</c:v>
                </c:pt>
                <c:pt idx="35">
                  <c:v>4.275934782361352</c:v>
                </c:pt>
                <c:pt idx="36">
                  <c:v>7.4866310160427805</c:v>
                </c:pt>
                <c:pt idx="37">
                  <c:v>6.7829614604462476</c:v>
                </c:pt>
                <c:pt idx="38">
                  <c:v>6.3707936507936509</c:v>
                </c:pt>
                <c:pt idx="41">
                  <c:v>1.7006507592190891</c:v>
                </c:pt>
                <c:pt idx="43">
                  <c:v>0</c:v>
                </c:pt>
                <c:pt idx="44" formatCode="General">
                  <c:v>2</c:v>
                </c:pt>
                <c:pt idx="48">
                  <c:v>0</c:v>
                </c:pt>
                <c:pt idx="49">
                  <c:v>1.4508876836786726</c:v>
                </c:pt>
                <c:pt idx="50">
                  <c:v>0.60232900548788648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01-40F2-B0B3-7200FE4858B9}"/>
            </c:ext>
          </c:extLst>
        </c:ser>
        <c:ser>
          <c:idx val="4"/>
          <c:order val="4"/>
          <c:tx>
            <c:strRef>
              <c:f>'morf. samenv.'!$F$116</c:f>
              <c:strCache>
                <c:ptCount val="1"/>
                <c:pt idx="0">
                  <c:v>VIA2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samenv.'!$F$118:$F$170</c:f>
              <c:numCache>
                <c:formatCode>0</c:formatCode>
                <c:ptCount val="53"/>
                <c:pt idx="0">
                  <c:v>8.9285714285714288</c:v>
                </c:pt>
                <c:pt idx="1">
                  <c:v>10.299848942598187</c:v>
                </c:pt>
                <c:pt idx="2">
                  <c:v>37.254901960784316</c:v>
                </c:pt>
                <c:pt idx="3">
                  <c:v>26</c:v>
                </c:pt>
                <c:pt idx="4">
                  <c:v>28.960847240051351</c:v>
                </c:pt>
                <c:pt idx="5">
                  <c:v>2</c:v>
                </c:pt>
                <c:pt idx="6">
                  <c:v>1.4338624338624339</c:v>
                </c:pt>
                <c:pt idx="7">
                  <c:v>4</c:v>
                </c:pt>
                <c:pt idx="8">
                  <c:v>3.1172413793103448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5.8823529411764701</c:v>
                </c:pt>
                <c:pt idx="15">
                  <c:v>17.561779242174627</c:v>
                </c:pt>
                <c:pt idx="16">
                  <c:v>31.716933187741724</c:v>
                </c:pt>
                <c:pt idx="17">
                  <c:v>28.36669604263712</c:v>
                </c:pt>
                <c:pt idx="18">
                  <c:v>46.857311459931552</c:v>
                </c:pt>
                <c:pt idx="19">
                  <c:v>53.581888486965212</c:v>
                </c:pt>
                <c:pt idx="20">
                  <c:v>23.403873116018225</c:v>
                </c:pt>
                <c:pt idx="21">
                  <c:v>13.209183982552855</c:v>
                </c:pt>
                <c:pt idx="22">
                  <c:v>11.074492864100286</c:v>
                </c:pt>
                <c:pt idx="23">
                  <c:v>1.3642524354087253</c:v>
                </c:pt>
                <c:pt idx="24">
                  <c:v>0.70875327842249758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4">
                  <c:v>39.314470969643381</c:v>
                </c:pt>
                <c:pt idx="35">
                  <c:v>39.679752418733962</c:v>
                </c:pt>
                <c:pt idx="36">
                  <c:v>55.809431210500726</c:v>
                </c:pt>
                <c:pt idx="37">
                  <c:v>35.488843813387426</c:v>
                </c:pt>
                <c:pt idx="38">
                  <c:v>47.629206349206349</c:v>
                </c:pt>
                <c:pt idx="41">
                  <c:v>20.299349240780909</c:v>
                </c:pt>
                <c:pt idx="43">
                  <c:v>5.8310617241079949</c:v>
                </c:pt>
                <c:pt idx="44" formatCode="General">
                  <c:v>10</c:v>
                </c:pt>
                <c:pt idx="48">
                  <c:v>6.9783013311036051</c:v>
                </c:pt>
                <c:pt idx="49">
                  <c:v>13.206144432677599</c:v>
                </c:pt>
                <c:pt idx="50">
                  <c:v>4.1930129835363408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01-40F2-B0B3-7200FE4858B9}"/>
            </c:ext>
          </c:extLst>
        </c:ser>
        <c:ser>
          <c:idx val="5"/>
          <c:order val="5"/>
          <c:tx>
            <c:strRef>
              <c:f>'morf. samenv.'!$G$116</c:f>
              <c:strCache>
                <c:ptCount val="1"/>
                <c:pt idx="0">
                  <c:v>VIA3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samenv.'!$G$118:$G$170</c:f>
              <c:numCache>
                <c:formatCode>0</c:formatCode>
                <c:ptCount val="53"/>
                <c:pt idx="0">
                  <c:v>33.928571428571431</c:v>
                </c:pt>
                <c:pt idx="1">
                  <c:v>34.110271903323266</c:v>
                </c:pt>
                <c:pt idx="2">
                  <c:v>39.215686274509807</c:v>
                </c:pt>
                <c:pt idx="3">
                  <c:v>57.977050048547973</c:v>
                </c:pt>
                <c:pt idx="4">
                  <c:v>50.958921694480111</c:v>
                </c:pt>
                <c:pt idx="5">
                  <c:v>63.46174617461746</c:v>
                </c:pt>
                <c:pt idx="6">
                  <c:v>39.315489158626413</c:v>
                </c:pt>
                <c:pt idx="7">
                  <c:v>42.506756756756751</c:v>
                </c:pt>
                <c:pt idx="8">
                  <c:v>36.000000000000007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5.8823529411764701</c:v>
                </c:pt>
                <c:pt idx="15">
                  <c:v>15.090609555189454</c:v>
                </c:pt>
                <c:pt idx="16">
                  <c:v>10.167872559724874</c:v>
                </c:pt>
                <c:pt idx="17">
                  <c:v>21.429770447773716</c:v>
                </c:pt>
                <c:pt idx="18">
                  <c:v>17.142688540068452</c:v>
                </c:pt>
                <c:pt idx="19">
                  <c:v>31.193962828988397</c:v>
                </c:pt>
                <c:pt idx="20">
                  <c:v>56.211619348054676</c:v>
                </c:pt>
                <c:pt idx="21">
                  <c:v>56.609711031683517</c:v>
                </c:pt>
                <c:pt idx="22">
                  <c:v>53.224209122093768</c:v>
                </c:pt>
                <c:pt idx="23">
                  <c:v>20.542990258365098</c:v>
                </c:pt>
                <c:pt idx="24">
                  <c:v>6.5811776883064486</c:v>
                </c:pt>
                <c:pt idx="25">
                  <c:v>2.0287471926569673</c:v>
                </c:pt>
                <c:pt idx="26">
                  <c:v>1.9661243220692532</c:v>
                </c:pt>
                <c:pt idx="27">
                  <c:v>0.45045045045045046</c:v>
                </c:pt>
                <c:pt idx="28">
                  <c:v>0</c:v>
                </c:pt>
                <c:pt idx="29">
                  <c:v>0</c:v>
                </c:pt>
                <c:pt idx="34">
                  <c:v>14.141467727674625</c:v>
                </c:pt>
                <c:pt idx="35">
                  <c:v>31.155189611295896</c:v>
                </c:pt>
                <c:pt idx="36">
                  <c:v>25.085075352455032</c:v>
                </c:pt>
                <c:pt idx="37">
                  <c:v>42.588235294117652</c:v>
                </c:pt>
                <c:pt idx="38">
                  <c:v>35.629206349206356</c:v>
                </c:pt>
                <c:pt idx="41">
                  <c:v>54.850325379609558</c:v>
                </c:pt>
                <c:pt idx="43">
                  <c:v>30.506814827676017</c:v>
                </c:pt>
                <c:pt idx="44" formatCode="General">
                  <c:v>49</c:v>
                </c:pt>
                <c:pt idx="48">
                  <c:v>22.129112015758032</c:v>
                </c:pt>
                <c:pt idx="49">
                  <c:v>23.911834237240996</c:v>
                </c:pt>
                <c:pt idx="50">
                  <c:v>8.7953419890242266</c:v>
                </c:pt>
                <c:pt idx="51">
                  <c:v>4.9704886308659892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01-40F2-B0B3-7200FE4858B9}"/>
            </c:ext>
          </c:extLst>
        </c:ser>
        <c:ser>
          <c:idx val="6"/>
          <c:order val="6"/>
          <c:tx>
            <c:strRef>
              <c:f>'morf. samenv.'!$H$116</c:f>
              <c:strCache>
                <c:ptCount val="1"/>
                <c:pt idx="0">
                  <c:v>VIA4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samenv.'!$H$118:$H$170</c:f>
              <c:numCache>
                <c:formatCode>0</c:formatCode>
                <c:ptCount val="53"/>
                <c:pt idx="0">
                  <c:v>3.5714285714285712</c:v>
                </c:pt>
                <c:pt idx="1">
                  <c:v>1.9267371601208461</c:v>
                </c:pt>
                <c:pt idx="2">
                  <c:v>3.9215686274509802</c:v>
                </c:pt>
                <c:pt idx="3">
                  <c:v>9.0172124635890185</c:v>
                </c:pt>
                <c:pt idx="4">
                  <c:v>20.080231065468553</c:v>
                </c:pt>
                <c:pt idx="5">
                  <c:v>34.53825382538254</c:v>
                </c:pt>
                <c:pt idx="6">
                  <c:v>59.25064840751115</c:v>
                </c:pt>
                <c:pt idx="7">
                  <c:v>53.493243243243249</c:v>
                </c:pt>
                <c:pt idx="8">
                  <c:v>60.882758620689657</c:v>
                </c:pt>
                <c:pt idx="9">
                  <c:v>53.699897225077073</c:v>
                </c:pt>
                <c:pt idx="10">
                  <c:v>8.1319073083778957</c:v>
                </c:pt>
                <c:pt idx="11">
                  <c:v>4.8076923076923084</c:v>
                </c:pt>
                <c:pt idx="14">
                  <c:v>0</c:v>
                </c:pt>
                <c:pt idx="15">
                  <c:v>0</c:v>
                </c:pt>
                <c:pt idx="16">
                  <c:v>1.0263391535957385</c:v>
                </c:pt>
                <c:pt idx="17">
                  <c:v>0</c:v>
                </c:pt>
                <c:pt idx="18">
                  <c:v>0.85731145993154723</c:v>
                </c:pt>
                <c:pt idx="19">
                  <c:v>0</c:v>
                </c:pt>
                <c:pt idx="20">
                  <c:v>11.788380651945321</c:v>
                </c:pt>
                <c:pt idx="21">
                  <c:v>27.09623190161749</c:v>
                </c:pt>
                <c:pt idx="22">
                  <c:v>34.544170584000341</c:v>
                </c:pt>
                <c:pt idx="23">
                  <c:v>75.457009741634891</c:v>
                </c:pt>
                <c:pt idx="24">
                  <c:v>81.673973491925651</c:v>
                </c:pt>
                <c:pt idx="25">
                  <c:v>38.882999707059859</c:v>
                </c:pt>
                <c:pt idx="26">
                  <c:v>26.981059657905714</c:v>
                </c:pt>
                <c:pt idx="27">
                  <c:v>22.36036036036036</c:v>
                </c:pt>
                <c:pt idx="28">
                  <c:v>10.000642880102861</c:v>
                </c:pt>
                <c:pt idx="29">
                  <c:v>3.4090909090909087</c:v>
                </c:pt>
                <c:pt idx="34">
                  <c:v>0</c:v>
                </c:pt>
                <c:pt idx="35">
                  <c:v>5.8020791061588115</c:v>
                </c:pt>
                <c:pt idx="36">
                  <c:v>3.1599416626154593</c:v>
                </c:pt>
                <c:pt idx="37">
                  <c:v>12.064908722109534</c:v>
                </c:pt>
                <c:pt idx="38">
                  <c:v>0.74158730158730157</c:v>
                </c:pt>
                <c:pt idx="41">
                  <c:v>21.149674620390453</c:v>
                </c:pt>
                <c:pt idx="43">
                  <c:v>62.577654310269978</c:v>
                </c:pt>
                <c:pt idx="44" formatCode="General">
                  <c:v>39</c:v>
                </c:pt>
                <c:pt idx="48">
                  <c:v>69.467721996060476</c:v>
                </c:pt>
                <c:pt idx="49">
                  <c:v>56.028903650931184</c:v>
                </c:pt>
                <c:pt idx="50">
                  <c:v>50.795341989024223</c:v>
                </c:pt>
                <c:pt idx="51">
                  <c:v>34.455732946298987</c:v>
                </c:pt>
                <c:pt idx="52">
                  <c:v>26.50632911392405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01-40F2-B0B3-7200FE4858B9}"/>
            </c:ext>
          </c:extLst>
        </c:ser>
        <c:ser>
          <c:idx val="7"/>
          <c:order val="7"/>
          <c:tx>
            <c:strRef>
              <c:f>'morf. samenv.'!$I$116</c:f>
              <c:strCache>
                <c:ptCount val="1"/>
                <c:pt idx="0">
                  <c:v>VIB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samenv.'!$I$118:$I$170</c:f>
              <c:numCache>
                <c:formatCode>0</c:formatCode>
                <c:ptCount val="53"/>
                <c:pt idx="0">
                  <c:v>1.7857142857142856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30.912641315519014</c:v>
                </c:pt>
                <c:pt idx="10">
                  <c:v>27.204991087344027</c:v>
                </c:pt>
                <c:pt idx="11">
                  <c:v>20.192307692307693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2.6357475645912753</c:v>
                </c:pt>
                <c:pt idx="24">
                  <c:v>11.036095541345404</c:v>
                </c:pt>
                <c:pt idx="25">
                  <c:v>53.256596035543403</c:v>
                </c:pt>
                <c:pt idx="26">
                  <c:v>34.241134751773046</c:v>
                </c:pt>
                <c:pt idx="27">
                  <c:v>35.243243243243249</c:v>
                </c:pt>
                <c:pt idx="28">
                  <c:v>37.144326583092251</c:v>
                </c:pt>
                <c:pt idx="29">
                  <c:v>22.727272727272727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1">
                  <c:v>1.1496746203904555</c:v>
                </c:pt>
                <c:pt idx="43">
                  <c:v>0</c:v>
                </c:pt>
                <c:pt idx="44" formatCode="General">
                  <c:v>0</c:v>
                </c:pt>
                <c:pt idx="48">
                  <c:v>1.424864657077874</c:v>
                </c:pt>
                <c:pt idx="49">
                  <c:v>5.402229995471548</c:v>
                </c:pt>
                <c:pt idx="50">
                  <c:v>25.806987016463662</c:v>
                </c:pt>
                <c:pt idx="51">
                  <c:v>43.029511369134013</c:v>
                </c:pt>
                <c:pt idx="52">
                  <c:v>17.113924050632914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01-40F2-B0B3-7200FE4858B9}"/>
            </c:ext>
          </c:extLst>
        </c:ser>
        <c:ser>
          <c:idx val="8"/>
          <c:order val="8"/>
          <c:tx>
            <c:strRef>
              <c:f>'morf. samenv.'!$J$116</c:f>
              <c:strCache>
                <c:ptCount val="1"/>
                <c:pt idx="0">
                  <c:v>VII</c:v>
                </c:pt>
              </c:strCache>
            </c:strRef>
          </c:tx>
          <c:invertIfNegative val="0"/>
          <c:cat>
            <c:numRef>
              <c:f>'morf. samenv.'!$A$118:$A$170</c:f>
              <c:numCache>
                <c:formatCode>m/d/yyyy</c:formatCode>
                <c:ptCount val="53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43203</c:v>
                </c:pt>
                <c:pt idx="41">
                  <c:v>43206</c:v>
                </c:pt>
                <c:pt idx="42">
                  <c:v>43210</c:v>
                </c:pt>
                <c:pt idx="43">
                  <c:v>43213</c:v>
                </c:pt>
                <c:pt idx="44">
                  <c:v>43214</c:v>
                </c:pt>
                <c:pt idx="45">
                  <c:v>43215</c:v>
                </c:pt>
                <c:pt idx="46">
                  <c:v>43216</c:v>
                </c:pt>
                <c:pt idx="47">
                  <c:v>43217</c:v>
                </c:pt>
                <c:pt idx="48">
                  <c:v>43222</c:v>
                </c:pt>
                <c:pt idx="49">
                  <c:v>43227</c:v>
                </c:pt>
                <c:pt idx="50">
                  <c:v>43234</c:v>
                </c:pt>
                <c:pt idx="51">
                  <c:v>43242</c:v>
                </c:pt>
                <c:pt idx="52">
                  <c:v>43248</c:v>
                </c:pt>
              </c:numCache>
            </c:numRef>
          </c:cat>
          <c:val>
            <c:numRef>
              <c:f>'morf. samenv.'!$J$118:$J$170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15.387461459403909</c:v>
                </c:pt>
                <c:pt idx="10">
                  <c:v>64.663101604278069</c:v>
                </c:pt>
                <c:pt idx="11">
                  <c:v>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5.8316570647397707</c:v>
                </c:pt>
                <c:pt idx="26">
                  <c:v>36.811681268251981</c:v>
                </c:pt>
                <c:pt idx="27">
                  <c:v>41.945945945945951</c:v>
                </c:pt>
                <c:pt idx="28">
                  <c:v>52.855030536804883</c:v>
                </c:pt>
                <c:pt idx="29">
                  <c:v>73.86363636363636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1.8146031746031743</c:v>
                </c:pt>
                <c:pt idx="41">
                  <c:v>0</c:v>
                </c:pt>
                <c:pt idx="43">
                  <c:v>0</c:v>
                </c:pt>
                <c:pt idx="44" formatCode="General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9.8069870164636601</c:v>
                </c:pt>
                <c:pt idx="51">
                  <c:v>17.544267053701017</c:v>
                </c:pt>
                <c:pt idx="52">
                  <c:v>56.379746835443036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01-40F2-B0B3-7200FE48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632960"/>
        <c:axId val="156634496"/>
      </c:barChart>
      <c:catAx>
        <c:axId val="156632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6634496"/>
        <c:crosses val="autoZero"/>
        <c:auto val="0"/>
        <c:lblAlgn val="ctr"/>
        <c:lblOffset val="100"/>
        <c:noMultiLvlLbl val="0"/>
      </c:catAx>
      <c:valAx>
        <c:axId val="1566344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5663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'morf. samenv.'!$B$116</c:f>
              <c:strCache>
                <c:ptCount val="1"/>
                <c:pt idx="0">
                  <c:v>VA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samenv.'!$B$182:$B$219</c:f>
              <c:numCache>
                <c:formatCode>General</c:formatCode>
                <c:ptCount val="38"/>
                <c:pt idx="2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4" formatCode="0">
                  <c:v>0</c:v>
                </c:pt>
                <c:pt idx="15" formatCode="0">
                  <c:v>0</c:v>
                </c:pt>
                <c:pt idx="16" formatCode="0">
                  <c:v>0</c:v>
                </c:pt>
                <c:pt idx="17" formatCode="0">
                  <c:v>0</c:v>
                </c:pt>
                <c:pt idx="18" formatCode="0">
                  <c:v>0</c:v>
                </c:pt>
                <c:pt idx="19" formatCode="0">
                  <c:v>0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8" formatCode="0">
                  <c:v>0</c:v>
                </c:pt>
                <c:pt idx="29" formatCode="0">
                  <c:v>11.111111111111111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5-4E49-A98A-CE2143FB8372}"/>
            </c:ext>
          </c:extLst>
        </c:ser>
        <c:ser>
          <c:idx val="1"/>
          <c:order val="1"/>
          <c:tx>
            <c:strRef>
              <c:f>'morf. samenv.'!$C$116</c:f>
              <c:strCache>
                <c:ptCount val="1"/>
                <c:pt idx="0">
                  <c:v>VB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samenv.'!$C$182:$C$219</c:f>
              <c:numCache>
                <c:formatCode>General</c:formatCode>
                <c:ptCount val="38"/>
                <c:pt idx="2" formatCode="0">
                  <c:v>5.4545454545454541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4" formatCode="0">
                  <c:v>33.333333333333329</c:v>
                </c:pt>
                <c:pt idx="15" formatCode="0">
                  <c:v>11.363636363636363</c:v>
                </c:pt>
                <c:pt idx="16" formatCode="0">
                  <c:v>8.8235294117647065</c:v>
                </c:pt>
                <c:pt idx="17" formatCode="0">
                  <c:v>0</c:v>
                </c:pt>
                <c:pt idx="18" formatCode="0">
                  <c:v>0</c:v>
                </c:pt>
                <c:pt idx="19" formatCode="0">
                  <c:v>0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8" formatCode="0">
                  <c:v>40</c:v>
                </c:pt>
                <c:pt idx="29" formatCode="0">
                  <c:v>11.111111111111111</c:v>
                </c:pt>
                <c:pt idx="30" formatCode="0">
                  <c:v>12.5</c:v>
                </c:pt>
                <c:pt idx="31" formatCode="0">
                  <c:v>0</c:v>
                </c:pt>
                <c:pt idx="32" formatCode="0">
                  <c:v>1.2658227848101267</c:v>
                </c:pt>
                <c:pt idx="33" formatCode="0">
                  <c:v>0</c:v>
                </c:pt>
                <c:pt idx="34" formatCode="0">
                  <c:v>1.3513513513513513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5-4E49-A98A-CE2143FB8372}"/>
            </c:ext>
          </c:extLst>
        </c:ser>
        <c:ser>
          <c:idx val="2"/>
          <c:order val="2"/>
          <c:tx>
            <c:strRef>
              <c:f>'morf. samenv.'!$D$116</c:f>
              <c:strCache>
                <c:ptCount val="1"/>
                <c:pt idx="0">
                  <c:v>VIA0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samenv.'!$D$182:$D$219</c:f>
              <c:numCache>
                <c:formatCode>General</c:formatCode>
                <c:ptCount val="38"/>
                <c:pt idx="2" formatCode="0">
                  <c:v>9.0909090909090917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4" formatCode="0">
                  <c:v>25</c:v>
                </c:pt>
                <c:pt idx="15" formatCode="0">
                  <c:v>15.909090909090908</c:v>
                </c:pt>
                <c:pt idx="16" formatCode="0">
                  <c:v>0</c:v>
                </c:pt>
                <c:pt idx="17" formatCode="0">
                  <c:v>3.0303030303030303</c:v>
                </c:pt>
                <c:pt idx="18" formatCode="0">
                  <c:v>0</c:v>
                </c:pt>
                <c:pt idx="19" formatCode="0">
                  <c:v>0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8" formatCode="0">
                  <c:v>8</c:v>
                </c:pt>
                <c:pt idx="29" formatCode="0">
                  <c:v>11.111111111111111</c:v>
                </c:pt>
                <c:pt idx="30" formatCode="0">
                  <c:v>6.25</c:v>
                </c:pt>
                <c:pt idx="31" formatCode="0">
                  <c:v>3.8961038961038961</c:v>
                </c:pt>
                <c:pt idx="32" formatCode="0">
                  <c:v>3.1645569620253164</c:v>
                </c:pt>
                <c:pt idx="33" formatCode="0">
                  <c:v>0.58139534883720934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85-4E49-A98A-CE2143FB8372}"/>
            </c:ext>
          </c:extLst>
        </c:ser>
        <c:ser>
          <c:idx val="3"/>
          <c:order val="3"/>
          <c:tx>
            <c:strRef>
              <c:f>'morf. samenv.'!$E$116</c:f>
              <c:strCache>
                <c:ptCount val="1"/>
                <c:pt idx="0">
                  <c:v>VIA1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samenv.'!$E$182:$E$219</c:f>
              <c:numCache>
                <c:formatCode>General</c:formatCode>
                <c:ptCount val="38"/>
                <c:pt idx="2" formatCode="0">
                  <c:v>10.909090909090908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4" formatCode="0">
                  <c:v>8.3333333333333321</c:v>
                </c:pt>
                <c:pt idx="15" formatCode="0">
                  <c:v>9.0909090909090917</c:v>
                </c:pt>
                <c:pt idx="16" formatCode="0">
                  <c:v>2.9411764705882351</c:v>
                </c:pt>
                <c:pt idx="17" formatCode="0">
                  <c:v>0</c:v>
                </c:pt>
                <c:pt idx="18" formatCode="0">
                  <c:v>1.4084507042253522</c:v>
                </c:pt>
                <c:pt idx="19" formatCode="0">
                  <c:v>0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8" formatCode="0">
                  <c:v>8</c:v>
                </c:pt>
                <c:pt idx="29" formatCode="0">
                  <c:v>22.222222222222221</c:v>
                </c:pt>
                <c:pt idx="30" formatCode="0">
                  <c:v>18.75</c:v>
                </c:pt>
                <c:pt idx="31" formatCode="0">
                  <c:v>1.2987012987012987</c:v>
                </c:pt>
                <c:pt idx="32" formatCode="0">
                  <c:v>1.2658227848101267</c:v>
                </c:pt>
                <c:pt idx="33" formatCode="0">
                  <c:v>0.58139534883720934</c:v>
                </c:pt>
                <c:pt idx="34" formatCode="0">
                  <c:v>0</c:v>
                </c:pt>
                <c:pt idx="35" formatCode="0">
                  <c:v>0.3436426116838488</c:v>
                </c:pt>
                <c:pt idx="36" formatCode="0">
                  <c:v>0</c:v>
                </c:pt>
                <c:pt idx="3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85-4E49-A98A-CE2143FB8372}"/>
            </c:ext>
          </c:extLst>
        </c:ser>
        <c:ser>
          <c:idx val="4"/>
          <c:order val="4"/>
          <c:tx>
            <c:strRef>
              <c:f>'morf. samenv.'!$F$116</c:f>
              <c:strCache>
                <c:ptCount val="1"/>
                <c:pt idx="0">
                  <c:v>VIA2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samenv.'!$F$182:$F$219</c:f>
              <c:numCache>
                <c:formatCode>General</c:formatCode>
                <c:ptCount val="38"/>
                <c:pt idx="2" formatCode="0">
                  <c:v>32.727272727272727</c:v>
                </c:pt>
                <c:pt idx="5" formatCode="0">
                  <c:v>12.5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4" formatCode="0">
                  <c:v>8.3333333333333321</c:v>
                </c:pt>
                <c:pt idx="15" formatCode="0">
                  <c:v>40.909090909090914</c:v>
                </c:pt>
                <c:pt idx="16" formatCode="0">
                  <c:v>29.411764705882355</c:v>
                </c:pt>
                <c:pt idx="17" formatCode="0">
                  <c:v>18.181818181818183</c:v>
                </c:pt>
                <c:pt idx="18" formatCode="0">
                  <c:v>2.8169014084507045</c:v>
                </c:pt>
                <c:pt idx="19" formatCode="0">
                  <c:v>0</c:v>
                </c:pt>
                <c:pt idx="20" formatCode="0">
                  <c:v>0</c:v>
                </c:pt>
                <c:pt idx="21" formatCode="0">
                  <c:v>1.4084507042253522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8" formatCode="0">
                  <c:v>20</c:v>
                </c:pt>
                <c:pt idx="29" formatCode="0">
                  <c:v>44.444444444444443</c:v>
                </c:pt>
                <c:pt idx="30" formatCode="0">
                  <c:v>37.5</c:v>
                </c:pt>
                <c:pt idx="31" formatCode="0">
                  <c:v>24.675324675324674</c:v>
                </c:pt>
                <c:pt idx="32" formatCode="0">
                  <c:v>15.822784810126583</c:v>
                </c:pt>
                <c:pt idx="33" formatCode="0">
                  <c:v>1.1627906976744187</c:v>
                </c:pt>
                <c:pt idx="34" formatCode="0">
                  <c:v>6.756756756756757</c:v>
                </c:pt>
                <c:pt idx="35" formatCode="0">
                  <c:v>2.7491408934707904</c:v>
                </c:pt>
                <c:pt idx="36" formatCode="0">
                  <c:v>0.3289473684210526</c:v>
                </c:pt>
                <c:pt idx="37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85-4E49-A98A-CE2143FB8372}"/>
            </c:ext>
          </c:extLst>
        </c:ser>
        <c:ser>
          <c:idx val="5"/>
          <c:order val="5"/>
          <c:tx>
            <c:strRef>
              <c:f>'morf. samenv.'!$G$116</c:f>
              <c:strCache>
                <c:ptCount val="1"/>
                <c:pt idx="0">
                  <c:v>VIA3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samenv.'!$G$182:$G$219</c:f>
              <c:numCache>
                <c:formatCode>General</c:formatCode>
                <c:ptCount val="38"/>
                <c:pt idx="2" formatCode="0">
                  <c:v>38.181818181818187</c:v>
                </c:pt>
                <c:pt idx="5" formatCode="0">
                  <c:v>70.833333333333343</c:v>
                </c:pt>
                <c:pt idx="6" formatCode="0">
                  <c:v>23.076923076923077</c:v>
                </c:pt>
                <c:pt idx="7" formatCode="0">
                  <c:v>10</c:v>
                </c:pt>
                <c:pt idx="8" formatCode="0">
                  <c:v>25</c:v>
                </c:pt>
                <c:pt idx="9" formatCode="0">
                  <c:v>1.9417475728155338</c:v>
                </c:pt>
                <c:pt idx="10" formatCode="0">
                  <c:v>0</c:v>
                </c:pt>
                <c:pt idx="11" formatCode="0">
                  <c:v>0</c:v>
                </c:pt>
                <c:pt idx="14" formatCode="0">
                  <c:v>25</c:v>
                </c:pt>
                <c:pt idx="15" formatCode="0">
                  <c:v>22.727272727272727</c:v>
                </c:pt>
                <c:pt idx="16" formatCode="0">
                  <c:v>50</c:v>
                </c:pt>
                <c:pt idx="17" formatCode="0">
                  <c:v>33.333333333333329</c:v>
                </c:pt>
                <c:pt idx="18" formatCode="0">
                  <c:v>14.084507042253522</c:v>
                </c:pt>
                <c:pt idx="19" formatCode="0">
                  <c:v>6.557377049180328</c:v>
                </c:pt>
                <c:pt idx="20" formatCode="0">
                  <c:v>2.2727272727272729</c:v>
                </c:pt>
                <c:pt idx="21" formatCode="0">
                  <c:v>1.4084507042253522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0.72463768115942029</c:v>
                </c:pt>
                <c:pt idx="28" formatCode="0">
                  <c:v>20</c:v>
                </c:pt>
                <c:pt idx="29" formatCode="0">
                  <c:v>0</c:v>
                </c:pt>
                <c:pt idx="30" formatCode="0">
                  <c:v>18.75</c:v>
                </c:pt>
                <c:pt idx="31" formatCode="0">
                  <c:v>38.961038961038966</c:v>
                </c:pt>
                <c:pt idx="32" formatCode="0">
                  <c:v>37.974683544303801</c:v>
                </c:pt>
                <c:pt idx="33" formatCode="0">
                  <c:v>12.790697674418606</c:v>
                </c:pt>
                <c:pt idx="34" formatCode="0">
                  <c:v>9.4594594594594597</c:v>
                </c:pt>
                <c:pt idx="35" formatCode="0">
                  <c:v>10.309278350515463</c:v>
                </c:pt>
                <c:pt idx="36" formatCode="0">
                  <c:v>0.6578947368421052</c:v>
                </c:pt>
                <c:pt idx="37" formatCode="0">
                  <c:v>1.0050251256281406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85-4E49-A98A-CE2143FB8372}"/>
            </c:ext>
          </c:extLst>
        </c:ser>
        <c:ser>
          <c:idx val="6"/>
          <c:order val="6"/>
          <c:tx>
            <c:strRef>
              <c:f>'morf. samenv.'!$H$116</c:f>
              <c:strCache>
                <c:ptCount val="1"/>
                <c:pt idx="0">
                  <c:v>VIA4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samenv.'!$H$182:$H$219</c:f>
              <c:numCache>
                <c:formatCode>General</c:formatCode>
                <c:ptCount val="38"/>
                <c:pt idx="2" formatCode="0">
                  <c:v>1.8181818181818181</c:v>
                </c:pt>
                <c:pt idx="5" formatCode="0">
                  <c:v>12.5</c:v>
                </c:pt>
                <c:pt idx="6" formatCode="0">
                  <c:v>76.923076923076934</c:v>
                </c:pt>
                <c:pt idx="7" formatCode="0">
                  <c:v>90</c:v>
                </c:pt>
                <c:pt idx="8" formatCode="0">
                  <c:v>75</c:v>
                </c:pt>
                <c:pt idx="9" formatCode="0">
                  <c:v>45.631067961165051</c:v>
                </c:pt>
                <c:pt idx="10" formatCode="0">
                  <c:v>9.3220338983050848</c:v>
                </c:pt>
                <c:pt idx="11" formatCode="0">
                  <c:v>4.5977011494252871</c:v>
                </c:pt>
                <c:pt idx="14" formatCode="0">
                  <c:v>0</c:v>
                </c:pt>
                <c:pt idx="15" formatCode="0">
                  <c:v>0</c:v>
                </c:pt>
                <c:pt idx="16" formatCode="0">
                  <c:v>8.8235294117647065</c:v>
                </c:pt>
                <c:pt idx="17" formatCode="0">
                  <c:v>42.424242424242422</c:v>
                </c:pt>
                <c:pt idx="18" formatCode="0">
                  <c:v>70.422535211267601</c:v>
                </c:pt>
                <c:pt idx="19" formatCode="0">
                  <c:v>68.852459016393439</c:v>
                </c:pt>
                <c:pt idx="20" formatCode="0">
                  <c:v>36.363636363636367</c:v>
                </c:pt>
                <c:pt idx="21" formatCode="0">
                  <c:v>16.901408450704224</c:v>
                </c:pt>
                <c:pt idx="22" formatCode="0">
                  <c:v>6.5789473684210522</c:v>
                </c:pt>
                <c:pt idx="23" formatCode="0">
                  <c:v>1.5873015873015872</c:v>
                </c:pt>
                <c:pt idx="24" formatCode="0">
                  <c:v>0.72463768115942029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6.25</c:v>
                </c:pt>
                <c:pt idx="31" formatCode="0">
                  <c:v>28.571428571428569</c:v>
                </c:pt>
                <c:pt idx="32" formatCode="0">
                  <c:v>39.87341772151899</c:v>
                </c:pt>
                <c:pt idx="33" formatCode="0">
                  <c:v>79.651162790697668</c:v>
                </c:pt>
                <c:pt idx="34" formatCode="0">
                  <c:v>55.405405405405403</c:v>
                </c:pt>
                <c:pt idx="35" formatCode="0">
                  <c:v>41.237113402061851</c:v>
                </c:pt>
                <c:pt idx="36" formatCode="0">
                  <c:v>11.513157894736842</c:v>
                </c:pt>
                <c:pt idx="37" formatCode="0">
                  <c:v>9.5477386934673358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85-4E49-A98A-CE2143FB8372}"/>
            </c:ext>
          </c:extLst>
        </c:ser>
        <c:ser>
          <c:idx val="7"/>
          <c:order val="7"/>
          <c:tx>
            <c:strRef>
              <c:f>'morf. samenv.'!$I$116</c:f>
              <c:strCache>
                <c:ptCount val="1"/>
                <c:pt idx="0">
                  <c:v>VIB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samenv.'!$I$182:$I$219</c:f>
              <c:numCache>
                <c:formatCode>General</c:formatCode>
                <c:ptCount val="38"/>
                <c:pt idx="2" formatCode="0">
                  <c:v>1.8181818181818181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25.242718446601941</c:v>
                </c:pt>
                <c:pt idx="10" formatCode="0">
                  <c:v>19.491525423728813</c:v>
                </c:pt>
                <c:pt idx="11" formatCode="0">
                  <c:v>14.942528735632186</c:v>
                </c:pt>
                <c:pt idx="14" formatCode="0">
                  <c:v>0</c:v>
                </c:pt>
                <c:pt idx="15" formatCode="0">
                  <c:v>0</c:v>
                </c:pt>
                <c:pt idx="16" formatCode="0">
                  <c:v>0</c:v>
                </c:pt>
                <c:pt idx="17" formatCode="0">
                  <c:v>3.0303030303030303</c:v>
                </c:pt>
                <c:pt idx="18" formatCode="0">
                  <c:v>11.267605633802818</c:v>
                </c:pt>
                <c:pt idx="19" formatCode="0">
                  <c:v>24.590163934426229</c:v>
                </c:pt>
                <c:pt idx="20" formatCode="0">
                  <c:v>47.727272727272727</c:v>
                </c:pt>
                <c:pt idx="21" formatCode="0">
                  <c:v>28.169014084507044</c:v>
                </c:pt>
                <c:pt idx="22" formatCode="0">
                  <c:v>52.631578947368418</c:v>
                </c:pt>
                <c:pt idx="23" formatCode="0">
                  <c:v>14.285714285714285</c:v>
                </c:pt>
                <c:pt idx="24" formatCode="0">
                  <c:v>3.6231884057971016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1.2987012987012987</c:v>
                </c:pt>
                <c:pt idx="32" formatCode="0">
                  <c:v>0</c:v>
                </c:pt>
                <c:pt idx="33" formatCode="0">
                  <c:v>5.2325581395348841</c:v>
                </c:pt>
                <c:pt idx="34" formatCode="0">
                  <c:v>27.027027027027028</c:v>
                </c:pt>
                <c:pt idx="35" formatCode="0">
                  <c:v>29.209621993127151</c:v>
                </c:pt>
                <c:pt idx="36" formatCode="0">
                  <c:v>27.302631578947366</c:v>
                </c:pt>
                <c:pt idx="37" formatCode="0">
                  <c:v>21.608040201005025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85-4E49-A98A-CE2143FB8372}"/>
            </c:ext>
          </c:extLst>
        </c:ser>
        <c:ser>
          <c:idx val="8"/>
          <c:order val="8"/>
          <c:tx>
            <c:strRef>
              <c:f>'morf. samenv.'!$J$116</c:f>
              <c:strCache>
                <c:ptCount val="1"/>
                <c:pt idx="0">
                  <c:v>VII</c:v>
                </c:pt>
              </c:strCache>
            </c:strRef>
          </c:tx>
          <c:invertIfNegative val="0"/>
          <c:cat>
            <c:numRef>
              <c:f>'morf. samenv.'!$A$182:$A$219</c:f>
              <c:numCache>
                <c:formatCode>m/d/yyyy</c:formatCode>
                <c:ptCount val="38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42811</c:v>
                </c:pt>
                <c:pt idx="15">
                  <c:v>42818</c:v>
                </c:pt>
                <c:pt idx="16">
                  <c:v>42825</c:v>
                </c:pt>
                <c:pt idx="17">
                  <c:v>42832</c:v>
                </c:pt>
                <c:pt idx="18">
                  <c:v>42839</c:v>
                </c:pt>
                <c:pt idx="19">
                  <c:v>42846</c:v>
                </c:pt>
                <c:pt idx="20">
                  <c:v>42853</c:v>
                </c:pt>
                <c:pt idx="21">
                  <c:v>42860</c:v>
                </c:pt>
                <c:pt idx="22">
                  <c:v>42867</c:v>
                </c:pt>
                <c:pt idx="23">
                  <c:v>42874</c:v>
                </c:pt>
                <c:pt idx="24">
                  <c:v>42879</c:v>
                </c:pt>
                <c:pt idx="26">
                  <c:v>43171</c:v>
                </c:pt>
                <c:pt idx="27">
                  <c:v>43178</c:v>
                </c:pt>
                <c:pt idx="28">
                  <c:v>43185</c:v>
                </c:pt>
                <c:pt idx="29">
                  <c:v>43193</c:v>
                </c:pt>
                <c:pt idx="30">
                  <c:v>43199</c:v>
                </c:pt>
                <c:pt idx="31">
                  <c:v>43206</c:v>
                </c:pt>
                <c:pt idx="32">
                  <c:v>43213</c:v>
                </c:pt>
                <c:pt idx="33">
                  <c:v>43222</c:v>
                </c:pt>
                <c:pt idx="34">
                  <c:v>43227</c:v>
                </c:pt>
                <c:pt idx="35">
                  <c:v>43234</c:v>
                </c:pt>
                <c:pt idx="36">
                  <c:v>43242</c:v>
                </c:pt>
                <c:pt idx="37">
                  <c:v>43248</c:v>
                </c:pt>
              </c:numCache>
            </c:numRef>
          </c:cat>
          <c:val>
            <c:numRef>
              <c:f>'morf. samenv.'!$J$182:$J$219</c:f>
              <c:numCache>
                <c:formatCode>General</c:formatCode>
                <c:ptCount val="38"/>
                <c:pt idx="2" formatCode="0">
                  <c:v>0</c:v>
                </c:pt>
                <c:pt idx="5" formatCode="0">
                  <c:v>4.1666666666666661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27.184466019417474</c:v>
                </c:pt>
                <c:pt idx="10" formatCode="0">
                  <c:v>71.186440677966104</c:v>
                </c:pt>
                <c:pt idx="11" formatCode="0">
                  <c:v>80.459770114942529</c:v>
                </c:pt>
                <c:pt idx="14" formatCode="0">
                  <c:v>0</c:v>
                </c:pt>
                <c:pt idx="15" formatCode="0">
                  <c:v>0</c:v>
                </c:pt>
                <c:pt idx="16" formatCode="0">
                  <c:v>0</c:v>
                </c:pt>
                <c:pt idx="17" formatCode="0">
                  <c:v>0</c:v>
                </c:pt>
                <c:pt idx="18" formatCode="0">
                  <c:v>0</c:v>
                </c:pt>
                <c:pt idx="19" formatCode="0">
                  <c:v>0</c:v>
                </c:pt>
                <c:pt idx="20" formatCode="0">
                  <c:v>13.636363636363635</c:v>
                </c:pt>
                <c:pt idx="21" formatCode="0">
                  <c:v>52.112676056338024</c:v>
                </c:pt>
                <c:pt idx="22" formatCode="0">
                  <c:v>40.789473684210527</c:v>
                </c:pt>
                <c:pt idx="23" formatCode="0">
                  <c:v>84.126984126984127</c:v>
                </c:pt>
                <c:pt idx="24" formatCode="0">
                  <c:v>94.927536231884062</c:v>
                </c:pt>
                <c:pt idx="28" formatCode="0">
                  <c:v>4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1.2987012987012987</c:v>
                </c:pt>
                <c:pt idx="32" formatCode="0">
                  <c:v>0.63291139240506333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16.151202749140893</c:v>
                </c:pt>
                <c:pt idx="36" formatCode="0">
                  <c:v>60.19736842105263</c:v>
                </c:pt>
                <c:pt idx="37" formatCode="0">
                  <c:v>67.8391959798995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85-4E49-A98A-CE2143FB8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829184"/>
        <c:axId val="156830720"/>
      </c:barChart>
      <c:catAx>
        <c:axId val="156829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6830720"/>
        <c:crosses val="autoZero"/>
        <c:auto val="0"/>
        <c:lblAlgn val="ctr"/>
        <c:lblOffset val="100"/>
        <c:noMultiLvlLbl val="0"/>
      </c:catAx>
      <c:valAx>
        <c:axId val="1568307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5682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'morf. samenv.'!$B$116</c:f>
              <c:strCache>
                <c:ptCount val="1"/>
                <c:pt idx="0">
                  <c:v>VA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samenv.'!$B$231:$B$256</c:f>
              <c:numCache>
                <c:formatCode>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14">
                  <c:v>5.5555555555555554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General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B-4758-A8E0-A3C707E8A6D0}"/>
            </c:ext>
          </c:extLst>
        </c:ser>
        <c:ser>
          <c:idx val="1"/>
          <c:order val="1"/>
          <c:tx>
            <c:strRef>
              <c:f>'morf. samenv.'!$C$116</c:f>
              <c:strCache>
                <c:ptCount val="1"/>
                <c:pt idx="0">
                  <c:v>VB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samenv.'!$C$231:$C$256</c:f>
              <c:numCache>
                <c:formatCode>0</c:formatCode>
                <c:ptCount val="26"/>
                <c:pt idx="0">
                  <c:v>3</c:v>
                </c:pt>
                <c:pt idx="1">
                  <c:v>5.8823529411764701</c:v>
                </c:pt>
                <c:pt idx="2">
                  <c:v>9.6153846153846168</c:v>
                </c:pt>
                <c:pt idx="3">
                  <c:v>6.25</c:v>
                </c:pt>
                <c:pt idx="5">
                  <c:v>0</c:v>
                </c:pt>
                <c:pt idx="14">
                  <c:v>63.888888888888886</c:v>
                </c:pt>
                <c:pt idx="15">
                  <c:v>40</c:v>
                </c:pt>
                <c:pt idx="16">
                  <c:v>5.8823529411764701</c:v>
                </c:pt>
                <c:pt idx="17">
                  <c:v>8.3333333333333321</c:v>
                </c:pt>
                <c:pt idx="18" formatCode="General">
                  <c:v>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B-4758-A8E0-A3C707E8A6D0}"/>
            </c:ext>
          </c:extLst>
        </c:ser>
        <c:ser>
          <c:idx val="2"/>
          <c:order val="2"/>
          <c:tx>
            <c:strRef>
              <c:f>'morf. samenv.'!$D$116</c:f>
              <c:strCache>
                <c:ptCount val="1"/>
                <c:pt idx="0">
                  <c:v>VIA0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samenv.'!$D$231:$D$256</c:f>
              <c:numCache>
                <c:formatCode>0</c:formatCode>
                <c:ptCount val="26"/>
                <c:pt idx="0">
                  <c:v>16.666666666666664</c:v>
                </c:pt>
                <c:pt idx="1">
                  <c:v>23.52941176470588</c:v>
                </c:pt>
                <c:pt idx="2">
                  <c:v>5.7692307692307692</c:v>
                </c:pt>
                <c:pt idx="3">
                  <c:v>18.75</c:v>
                </c:pt>
                <c:pt idx="5">
                  <c:v>0</c:v>
                </c:pt>
                <c:pt idx="14">
                  <c:v>25</c:v>
                </c:pt>
                <c:pt idx="15">
                  <c:v>18</c:v>
                </c:pt>
                <c:pt idx="16">
                  <c:v>9.8039215686274517</c:v>
                </c:pt>
                <c:pt idx="17">
                  <c:v>19.444444444444446</c:v>
                </c:pt>
                <c:pt idx="18" formatCode="General">
                  <c:v>0</c:v>
                </c:pt>
                <c:pt idx="19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EB-4758-A8E0-A3C707E8A6D0}"/>
            </c:ext>
          </c:extLst>
        </c:ser>
        <c:ser>
          <c:idx val="3"/>
          <c:order val="3"/>
          <c:tx>
            <c:strRef>
              <c:f>'morf. samenv.'!$E$116</c:f>
              <c:strCache>
                <c:ptCount val="1"/>
                <c:pt idx="0">
                  <c:v>VIA1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samenv.'!$E$231:$E$256</c:f>
              <c:numCache>
                <c:formatCode>0</c:formatCode>
                <c:ptCount val="26"/>
                <c:pt idx="0">
                  <c:v>30</c:v>
                </c:pt>
                <c:pt idx="1">
                  <c:v>11.76470588235294</c:v>
                </c:pt>
                <c:pt idx="2">
                  <c:v>13.461538461538462</c:v>
                </c:pt>
                <c:pt idx="3">
                  <c:v>6.25</c:v>
                </c:pt>
                <c:pt idx="5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5.8823529411764701</c:v>
                </c:pt>
                <c:pt idx="17">
                  <c:v>16.666666666666664</c:v>
                </c:pt>
                <c:pt idx="18" formatCode="General">
                  <c:v>10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EB-4758-A8E0-A3C707E8A6D0}"/>
            </c:ext>
          </c:extLst>
        </c:ser>
        <c:ser>
          <c:idx val="4"/>
          <c:order val="4"/>
          <c:tx>
            <c:strRef>
              <c:f>'morf. samenv.'!$F$116</c:f>
              <c:strCache>
                <c:ptCount val="1"/>
                <c:pt idx="0">
                  <c:v>VIA2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samenv.'!$F$231:$F$256</c:f>
              <c:numCache>
                <c:formatCode>0</c:formatCode>
                <c:ptCount val="26"/>
                <c:pt idx="0">
                  <c:v>16.666666666666664</c:v>
                </c:pt>
                <c:pt idx="1">
                  <c:v>41.17647058823529</c:v>
                </c:pt>
                <c:pt idx="2">
                  <c:v>38.461538461538467</c:v>
                </c:pt>
                <c:pt idx="3">
                  <c:v>18.75</c:v>
                </c:pt>
                <c:pt idx="5">
                  <c:v>15.384615384615385</c:v>
                </c:pt>
                <c:pt idx="14">
                  <c:v>5.5555555555555554</c:v>
                </c:pt>
                <c:pt idx="15">
                  <c:v>30</c:v>
                </c:pt>
                <c:pt idx="16">
                  <c:v>50.980392156862742</c:v>
                </c:pt>
                <c:pt idx="17">
                  <c:v>36.111111111111107</c:v>
                </c:pt>
                <c:pt idx="18" formatCode="General">
                  <c:v>35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EB-4758-A8E0-A3C707E8A6D0}"/>
            </c:ext>
          </c:extLst>
        </c:ser>
        <c:ser>
          <c:idx val="5"/>
          <c:order val="5"/>
          <c:tx>
            <c:strRef>
              <c:f>'morf. samenv.'!$G$116</c:f>
              <c:strCache>
                <c:ptCount val="1"/>
                <c:pt idx="0">
                  <c:v>VIA3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samenv.'!$G$231:$G$256</c:f>
              <c:numCache>
                <c:formatCode>0</c:formatCode>
                <c:ptCount val="26"/>
                <c:pt idx="0">
                  <c:v>33.333333333333329</c:v>
                </c:pt>
                <c:pt idx="1">
                  <c:v>17.647058823529413</c:v>
                </c:pt>
                <c:pt idx="2">
                  <c:v>28.846153846153843</c:v>
                </c:pt>
                <c:pt idx="3">
                  <c:v>43.75</c:v>
                </c:pt>
                <c:pt idx="5">
                  <c:v>84.615384615384613</c:v>
                </c:pt>
                <c:pt idx="14">
                  <c:v>0</c:v>
                </c:pt>
                <c:pt idx="15">
                  <c:v>2</c:v>
                </c:pt>
                <c:pt idx="16">
                  <c:v>27.450980392156865</c:v>
                </c:pt>
                <c:pt idx="17">
                  <c:v>13.888888888888889</c:v>
                </c:pt>
                <c:pt idx="18" formatCode="General">
                  <c:v>45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EB-4758-A8E0-A3C707E8A6D0}"/>
            </c:ext>
          </c:extLst>
        </c:ser>
        <c:ser>
          <c:idx val="6"/>
          <c:order val="6"/>
          <c:tx>
            <c:strRef>
              <c:f>'morf. samenv.'!$H$116</c:f>
              <c:strCache>
                <c:ptCount val="1"/>
                <c:pt idx="0">
                  <c:v>VIA4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samenv.'!$H$231:$H$256</c:f>
              <c:numCache>
                <c:formatCode>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3.8461538461538463</c:v>
                </c:pt>
                <c:pt idx="3">
                  <c:v>6.25</c:v>
                </c:pt>
                <c:pt idx="5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5.5555555555555554</c:v>
                </c:pt>
                <c:pt idx="18" formatCode="General">
                  <c:v>5</c:v>
                </c:pt>
                <c:pt idx="19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EB-4758-A8E0-A3C707E8A6D0}"/>
            </c:ext>
          </c:extLst>
        </c:ser>
        <c:ser>
          <c:idx val="7"/>
          <c:order val="7"/>
          <c:tx>
            <c:strRef>
              <c:f>'morf. samenv.'!$I$116</c:f>
              <c:strCache>
                <c:ptCount val="1"/>
                <c:pt idx="0">
                  <c:v>VIB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samenv.'!$I$231:$I$256</c:f>
              <c:numCache>
                <c:formatCode>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General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EB-4758-A8E0-A3C707E8A6D0}"/>
            </c:ext>
          </c:extLst>
        </c:ser>
        <c:ser>
          <c:idx val="8"/>
          <c:order val="8"/>
          <c:tx>
            <c:strRef>
              <c:f>'morf. samenv.'!$J$116</c:f>
              <c:strCache>
                <c:ptCount val="1"/>
                <c:pt idx="0">
                  <c:v>VII</c:v>
                </c:pt>
              </c:strCache>
            </c:strRef>
          </c:tx>
          <c:invertIfNegative val="0"/>
          <c:cat>
            <c:numRef>
              <c:f>'morf. samenv.'!$A$231:$A$256</c:f>
              <c:numCache>
                <c:formatCode>m/d/yyyy</c:formatCode>
                <c:ptCount val="26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42798</c:v>
                </c:pt>
                <c:pt idx="14">
                  <c:v>42804</c:v>
                </c:pt>
                <c:pt idx="15">
                  <c:v>42811</c:v>
                </c:pt>
                <c:pt idx="16">
                  <c:v>42818</c:v>
                </c:pt>
                <c:pt idx="17">
                  <c:v>42825</c:v>
                </c:pt>
                <c:pt idx="18">
                  <c:v>42832</c:v>
                </c:pt>
                <c:pt idx="19">
                  <c:v>42840</c:v>
                </c:pt>
                <c:pt idx="20">
                  <c:v>42847</c:v>
                </c:pt>
                <c:pt idx="21">
                  <c:v>42853</c:v>
                </c:pt>
                <c:pt idx="22">
                  <c:v>42860</c:v>
                </c:pt>
                <c:pt idx="23">
                  <c:v>42867</c:v>
                </c:pt>
                <c:pt idx="24">
                  <c:v>42874</c:v>
                </c:pt>
                <c:pt idx="25">
                  <c:v>42879</c:v>
                </c:pt>
              </c:numCache>
            </c:numRef>
          </c:cat>
          <c:val>
            <c:numRef>
              <c:f>'morf. samenv.'!$J$231:$J$256</c:f>
              <c:numCache>
                <c:formatCode>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EB-4758-A8E0-A3C707E8A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02528"/>
        <c:axId val="156904064"/>
      </c:barChart>
      <c:catAx>
        <c:axId val="156902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6904064"/>
        <c:crosses val="autoZero"/>
        <c:auto val="0"/>
        <c:lblAlgn val="ctr"/>
        <c:lblOffset val="100"/>
        <c:noMultiLvlLbl val="0"/>
      </c:catAx>
      <c:valAx>
        <c:axId val="156904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56902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cat>
            <c:numRef>
              <c:f>'morf. samenv.'!$H$350:$H$358</c:f>
              <c:numCache>
                <c:formatCode>m/d/yyyy</c:formatCode>
                <c:ptCount val="9"/>
                <c:pt idx="0">
                  <c:v>42795</c:v>
                </c:pt>
                <c:pt idx="1">
                  <c:v>42797</c:v>
                </c:pt>
                <c:pt idx="2">
                  <c:v>42804</c:v>
                </c:pt>
                <c:pt idx="3">
                  <c:v>42811</c:v>
                </c:pt>
                <c:pt idx="4">
                  <c:v>42818</c:v>
                </c:pt>
                <c:pt idx="5">
                  <c:v>42825</c:v>
                </c:pt>
                <c:pt idx="6">
                  <c:v>42832</c:v>
                </c:pt>
                <c:pt idx="7">
                  <c:v>42839</c:v>
                </c:pt>
                <c:pt idx="8">
                  <c:v>42846</c:v>
                </c:pt>
              </c:numCache>
            </c:numRef>
          </c:cat>
          <c:val>
            <c:numRef>
              <c:f>'morf. samenv.'!$J$350:$J$359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8AE-432D-92DB-0826ED53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18528"/>
        <c:axId val="156920064"/>
      </c:barChar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cat>
            <c:numRef>
              <c:f>'morf. samenv.'!$K$350:$K$364</c:f>
              <c:numCache>
                <c:formatCode>m/d/yyyy</c:formatCode>
                <c:ptCount val="15"/>
                <c:pt idx="0">
                  <c:v>42430</c:v>
                </c:pt>
                <c:pt idx="1">
                  <c:v>42433</c:v>
                </c:pt>
                <c:pt idx="2">
                  <c:v>42440</c:v>
                </c:pt>
                <c:pt idx="3">
                  <c:v>42447</c:v>
                </c:pt>
                <c:pt idx="4">
                  <c:v>42454</c:v>
                </c:pt>
                <c:pt idx="5">
                  <c:v>42461</c:v>
                </c:pt>
                <c:pt idx="6">
                  <c:v>42468</c:v>
                </c:pt>
                <c:pt idx="7">
                  <c:v>42475</c:v>
                </c:pt>
                <c:pt idx="8">
                  <c:v>42482</c:v>
                </c:pt>
                <c:pt idx="9">
                  <c:v>42489</c:v>
                </c:pt>
                <c:pt idx="10">
                  <c:v>42494</c:v>
                </c:pt>
                <c:pt idx="11">
                  <c:v>42503</c:v>
                </c:pt>
                <c:pt idx="12">
                  <c:v>42510</c:v>
                </c:pt>
                <c:pt idx="13">
                  <c:v>42517</c:v>
                </c:pt>
                <c:pt idx="14">
                  <c:v>42521</c:v>
                </c:pt>
              </c:numCache>
            </c:numRef>
          </c:cat>
          <c:val>
            <c:numRef>
              <c:f>'morf. samenv.'!$L$350:$L$364</c:f>
              <c:numCache>
                <c:formatCode>General</c:formatCode>
                <c:ptCount val="15"/>
                <c:pt idx="1">
                  <c:v>5</c:v>
                </c:pt>
                <c:pt idx="2">
                  <c:v>56</c:v>
                </c:pt>
                <c:pt idx="3">
                  <c:v>1324</c:v>
                </c:pt>
                <c:pt idx="4">
                  <c:v>3114</c:v>
                </c:pt>
                <c:pt idx="5">
                  <c:v>11329</c:v>
                </c:pt>
                <c:pt idx="6">
                  <c:v>3116</c:v>
                </c:pt>
                <c:pt idx="7">
                  <c:v>2222</c:v>
                </c:pt>
                <c:pt idx="8">
                  <c:v>1134</c:v>
                </c:pt>
                <c:pt idx="9">
                  <c:v>296</c:v>
                </c:pt>
                <c:pt idx="10">
                  <c:v>145</c:v>
                </c:pt>
                <c:pt idx="11">
                  <c:v>556</c:v>
                </c:pt>
                <c:pt idx="12">
                  <c:v>187</c:v>
                </c:pt>
                <c:pt idx="13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AE-432D-92DB-0826ED53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56923776"/>
        <c:axId val="156921856"/>
      </c:barChart>
      <c:dateAx>
        <c:axId val="1569185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6920064"/>
        <c:crosses val="autoZero"/>
        <c:auto val="1"/>
        <c:lblOffset val="100"/>
        <c:baseTimeUnit val="days"/>
      </c:dateAx>
      <c:valAx>
        <c:axId val="1569200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6918528"/>
        <c:crosses val="autoZero"/>
        <c:crossBetween val="between"/>
      </c:valAx>
      <c:valAx>
        <c:axId val="156921856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 week</a:t>
                </a:r>
                <a:r>
                  <a:rPr lang="en-US" baseline="30000"/>
                  <a:t>-1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923776"/>
        <c:crosses val="max"/>
        <c:crossBetween val="between"/>
      </c:valAx>
      <c:dateAx>
        <c:axId val="1569237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6921856"/>
        <c:crosses val="autoZero"/>
        <c:auto val="1"/>
        <c:lblOffset val="100"/>
        <c:baseTimeUnit val="days"/>
      </c:date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42650918635171"/>
          <c:y val="2.8252405949256341E-2"/>
          <c:w val="0.86382414698162735"/>
          <c:h val="0.69111803732866728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samenv.'!$AE$2</c:f>
              <c:strCache>
                <c:ptCount val="1"/>
                <c:pt idx="0">
                  <c:v>PG LO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'morf. samenv.'!$X$3:$X$46</c:f>
              <c:numCache>
                <c:formatCode>m/d/yyyy</c:formatCode>
                <c:ptCount val="44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42807</c:v>
                </c:pt>
                <c:pt idx="15">
                  <c:v>42811</c:v>
                </c:pt>
                <c:pt idx="16">
                  <c:v>42814</c:v>
                </c:pt>
                <c:pt idx="17">
                  <c:v>42818</c:v>
                </c:pt>
                <c:pt idx="18">
                  <c:v>42821</c:v>
                </c:pt>
                <c:pt idx="19">
                  <c:v>42825</c:v>
                </c:pt>
                <c:pt idx="20">
                  <c:v>42828</c:v>
                </c:pt>
                <c:pt idx="21">
                  <c:v>42832</c:v>
                </c:pt>
                <c:pt idx="22">
                  <c:v>42839</c:v>
                </c:pt>
                <c:pt idx="23">
                  <c:v>42846</c:v>
                </c:pt>
                <c:pt idx="24">
                  <c:v>42853</c:v>
                </c:pt>
                <c:pt idx="25">
                  <c:v>42860</c:v>
                </c:pt>
                <c:pt idx="26">
                  <c:v>42867</c:v>
                </c:pt>
                <c:pt idx="27">
                  <c:v>42874</c:v>
                </c:pt>
                <c:pt idx="28">
                  <c:v>42879</c:v>
                </c:pt>
                <c:pt idx="31">
                  <c:v>43178</c:v>
                </c:pt>
                <c:pt idx="32">
                  <c:v>43188</c:v>
                </c:pt>
                <c:pt idx="33">
                  <c:v>43193</c:v>
                </c:pt>
                <c:pt idx="34">
                  <c:v>43196</c:v>
                </c:pt>
                <c:pt idx="35">
                  <c:v>43199</c:v>
                </c:pt>
                <c:pt idx="36">
                  <c:v>43200</c:v>
                </c:pt>
                <c:pt idx="37">
                  <c:v>43206</c:v>
                </c:pt>
                <c:pt idx="38">
                  <c:v>43213</c:v>
                </c:pt>
                <c:pt idx="39">
                  <c:v>43222</c:v>
                </c:pt>
                <c:pt idx="40">
                  <c:v>43227</c:v>
                </c:pt>
                <c:pt idx="41">
                  <c:v>43234</c:v>
                </c:pt>
                <c:pt idx="42">
                  <c:v>43242</c:v>
                </c:pt>
                <c:pt idx="43">
                  <c:v>43248</c:v>
                </c:pt>
              </c:numCache>
            </c:numRef>
          </c:cat>
          <c:val>
            <c:numRef>
              <c:f>'morf. samenv.'!$AE$3:$AE$46</c:f>
              <c:numCache>
                <c:formatCode>0.00</c:formatCode>
                <c:ptCount val="44"/>
                <c:pt idx="1">
                  <c:v>1.0239791161910246</c:v>
                </c:pt>
                <c:pt idx="3">
                  <c:v>1.0120221983022077</c:v>
                </c:pt>
                <c:pt idx="4">
                  <c:v>0.95801161848260985</c:v>
                </c:pt>
                <c:pt idx="5">
                  <c:v>0.98218006818369219</c:v>
                </c:pt>
                <c:pt idx="6">
                  <c:v>0.96008557281049489</c:v>
                </c:pt>
                <c:pt idx="7">
                  <c:v>1.006972303847071</c:v>
                </c:pt>
                <c:pt idx="8">
                  <c:v>1.0552959790510479</c:v>
                </c:pt>
                <c:pt idx="9">
                  <c:v>0.93159410321869862</c:v>
                </c:pt>
                <c:pt idx="10">
                  <c:v>1.0284630996795958</c:v>
                </c:pt>
                <c:pt idx="11">
                  <c:v>1.0488517304218474</c:v>
                </c:pt>
                <c:pt idx="13">
                  <c:v>1.0042524641765505</c:v>
                </c:pt>
                <c:pt idx="14">
                  <c:v>0.98957428494567312</c:v>
                </c:pt>
                <c:pt idx="15">
                  <c:v>1.0012806658856641</c:v>
                </c:pt>
                <c:pt idx="16">
                  <c:v>0.99947106157963983</c:v>
                </c:pt>
                <c:pt idx="17">
                  <c:v>0.95583796842681723</c:v>
                </c:pt>
                <c:pt idx="18">
                  <c:v>0.97846480838085004</c:v>
                </c:pt>
                <c:pt idx="19">
                  <c:v>1.0494685210720998</c:v>
                </c:pt>
                <c:pt idx="20">
                  <c:v>0.9282752790421297</c:v>
                </c:pt>
                <c:pt idx="21">
                  <c:v>1.0028242980957749</c:v>
                </c:pt>
                <c:pt idx="22">
                  <c:v>1.008606558837067</c:v>
                </c:pt>
                <c:pt idx="23">
                  <c:v>0.93979366320943314</c:v>
                </c:pt>
                <c:pt idx="24">
                  <c:v>1.0724314250555242</c:v>
                </c:pt>
                <c:pt idx="25">
                  <c:v>1.0117893683664745</c:v>
                </c:pt>
                <c:pt idx="26">
                  <c:v>1.0450821299077533</c:v>
                </c:pt>
                <c:pt idx="27">
                  <c:v>1.0011101985793149</c:v>
                </c:pt>
                <c:pt idx="28">
                  <c:v>0.91947024458817006</c:v>
                </c:pt>
                <c:pt idx="32">
                  <c:v>0.93917398721993928</c:v>
                </c:pt>
                <c:pt idx="33">
                  <c:v>0.9770809060891793</c:v>
                </c:pt>
                <c:pt idx="34">
                  <c:v>1.050638541974225</c:v>
                </c:pt>
                <c:pt idx="35">
                  <c:v>0.98192210838656424</c:v>
                </c:pt>
                <c:pt idx="36">
                  <c:v>0.93467734782487344</c:v>
                </c:pt>
                <c:pt idx="37">
                  <c:v>0.93307968044175449</c:v>
                </c:pt>
                <c:pt idx="38">
                  <c:v>0.89079672320734504</c:v>
                </c:pt>
                <c:pt idx="39">
                  <c:v>0.9335486992910168</c:v>
                </c:pt>
                <c:pt idx="40">
                  <c:v>0.93715529879219406</c:v>
                </c:pt>
                <c:pt idx="41">
                  <c:v>0.91803564562568696</c:v>
                </c:pt>
                <c:pt idx="42">
                  <c:v>0.92951634361911017</c:v>
                </c:pt>
                <c:pt idx="43">
                  <c:v>0.85968775451369395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B-47BB-9C23-70A1CC46FCB1}"/>
            </c:ext>
          </c:extLst>
        </c:ser>
        <c:ser>
          <c:idx val="1"/>
          <c:order val="1"/>
          <c:tx>
            <c:strRef>
              <c:f>'morf. samenv.'!$AF$2</c:f>
              <c:strCache>
                <c:ptCount val="1"/>
                <c:pt idx="0">
                  <c:v>PG RO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diamond"/>
            <c:size val="4"/>
            <c:spPr>
              <a:solidFill>
                <a:schemeClr val="accent6">
                  <a:lumMod val="75000"/>
                </a:schemeClr>
              </a:solidFill>
            </c:spPr>
          </c:marker>
          <c:cat>
            <c:numRef>
              <c:f>'morf. samenv.'!$X$3:$X$46</c:f>
              <c:numCache>
                <c:formatCode>m/d/yyyy</c:formatCode>
                <c:ptCount val="44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42804</c:v>
                </c:pt>
                <c:pt idx="14">
                  <c:v>42807</c:v>
                </c:pt>
                <c:pt idx="15">
                  <c:v>42811</c:v>
                </c:pt>
                <c:pt idx="16">
                  <c:v>42814</c:v>
                </c:pt>
                <c:pt idx="17">
                  <c:v>42818</c:v>
                </c:pt>
                <c:pt idx="18">
                  <c:v>42821</c:v>
                </c:pt>
                <c:pt idx="19">
                  <c:v>42825</c:v>
                </c:pt>
                <c:pt idx="20">
                  <c:v>42828</c:v>
                </c:pt>
                <c:pt idx="21">
                  <c:v>42832</c:v>
                </c:pt>
                <c:pt idx="22">
                  <c:v>42839</c:v>
                </c:pt>
                <c:pt idx="23">
                  <c:v>42846</c:v>
                </c:pt>
                <c:pt idx="24">
                  <c:v>42853</c:v>
                </c:pt>
                <c:pt idx="25">
                  <c:v>42860</c:v>
                </c:pt>
                <c:pt idx="26">
                  <c:v>42867</c:v>
                </c:pt>
                <c:pt idx="27">
                  <c:v>42874</c:v>
                </c:pt>
                <c:pt idx="28">
                  <c:v>42879</c:v>
                </c:pt>
                <c:pt idx="31">
                  <c:v>43178</c:v>
                </c:pt>
                <c:pt idx="32">
                  <c:v>43188</c:v>
                </c:pt>
                <c:pt idx="33">
                  <c:v>43193</c:v>
                </c:pt>
                <c:pt idx="34">
                  <c:v>43196</c:v>
                </c:pt>
                <c:pt idx="35">
                  <c:v>43199</c:v>
                </c:pt>
                <c:pt idx="36">
                  <c:v>43200</c:v>
                </c:pt>
                <c:pt idx="37">
                  <c:v>43206</c:v>
                </c:pt>
                <c:pt idx="38">
                  <c:v>43213</c:v>
                </c:pt>
                <c:pt idx="39">
                  <c:v>43222</c:v>
                </c:pt>
                <c:pt idx="40">
                  <c:v>43227</c:v>
                </c:pt>
                <c:pt idx="41">
                  <c:v>43234</c:v>
                </c:pt>
                <c:pt idx="42">
                  <c:v>43242</c:v>
                </c:pt>
                <c:pt idx="43">
                  <c:v>43248</c:v>
                </c:pt>
              </c:numCache>
            </c:numRef>
          </c:cat>
          <c:val>
            <c:numRef>
              <c:f>'morf. samenv.'!$AF$3:$AF$46</c:f>
              <c:numCache>
                <c:formatCode>0.00</c:formatCode>
                <c:ptCount val="44"/>
                <c:pt idx="0">
                  <c:v>0.99750879777273715</c:v>
                </c:pt>
                <c:pt idx="1">
                  <c:v>0.98368197631989507</c:v>
                </c:pt>
                <c:pt idx="2">
                  <c:v>0.9587077016582588</c:v>
                </c:pt>
                <c:pt idx="3">
                  <c:v>1.0218857168948132</c:v>
                </c:pt>
                <c:pt idx="4">
                  <c:v>0.9664243589464897</c:v>
                </c:pt>
                <c:pt idx="5">
                  <c:v>0.95399622020217678</c:v>
                </c:pt>
                <c:pt idx="6">
                  <c:v>0.99726014745972724</c:v>
                </c:pt>
                <c:pt idx="7">
                  <c:v>1.0141147130575103</c:v>
                </c:pt>
                <c:pt idx="8">
                  <c:v>1.0652987393399653</c:v>
                </c:pt>
                <c:pt idx="9">
                  <c:v>0.97985859249556218</c:v>
                </c:pt>
                <c:pt idx="10">
                  <c:v>1.0577343198716862</c:v>
                </c:pt>
                <c:pt idx="13">
                  <c:v>0.94082406028225463</c:v>
                </c:pt>
                <c:pt idx="14">
                  <c:v>0.96800802367231342</c:v>
                </c:pt>
                <c:pt idx="15">
                  <c:v>0.98309222842031518</c:v>
                </c:pt>
                <c:pt idx="16">
                  <c:v>1.0550808359651354</c:v>
                </c:pt>
                <c:pt idx="17">
                  <c:v>0.92618894495561177</c:v>
                </c:pt>
                <c:pt idx="18">
                  <c:v>0.98829006922878071</c:v>
                </c:pt>
                <c:pt idx="19">
                  <c:v>1.0159748895764338</c:v>
                </c:pt>
                <c:pt idx="20">
                  <c:v>1.0234507391914247</c:v>
                </c:pt>
                <c:pt idx="21">
                  <c:v>1.012952532891424</c:v>
                </c:pt>
                <c:pt idx="22">
                  <c:v>1.0152613708967622</c:v>
                </c:pt>
                <c:pt idx="23">
                  <c:v>0.90301153876265272</c:v>
                </c:pt>
                <c:pt idx="24">
                  <c:v>1.1039014490489489</c:v>
                </c:pt>
                <c:pt idx="25">
                  <c:v>1.0382379464082179</c:v>
                </c:pt>
                <c:pt idx="26">
                  <c:v>1.1190624470327686</c:v>
                </c:pt>
                <c:pt idx="27">
                  <c:v>1.0441523294974744</c:v>
                </c:pt>
                <c:pt idx="28">
                  <c:v>0.89488436375050684</c:v>
                </c:pt>
                <c:pt idx="32">
                  <c:v>1.0255807539072477</c:v>
                </c:pt>
                <c:pt idx="33">
                  <c:v>0.94603323020618901</c:v>
                </c:pt>
                <c:pt idx="34">
                  <c:v>1.0434293943459478</c:v>
                </c:pt>
                <c:pt idx="35">
                  <c:v>0.99187189789694108</c:v>
                </c:pt>
                <c:pt idx="36">
                  <c:v>0.95403879815097781</c:v>
                </c:pt>
                <c:pt idx="37">
                  <c:v>0.99870307001924574</c:v>
                </c:pt>
                <c:pt idx="38">
                  <c:v>0.90396195484707476</c:v>
                </c:pt>
                <c:pt idx="39">
                  <c:v>1.0218484593074795</c:v>
                </c:pt>
                <c:pt idx="40">
                  <c:v>0.93703930305862537</c:v>
                </c:pt>
                <c:pt idx="41">
                  <c:v>0.91160783149994007</c:v>
                </c:pt>
                <c:pt idx="42">
                  <c:v>0.90857997191465334</c:v>
                </c:pt>
                <c:pt idx="43">
                  <c:v>0.80547598862685443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B-47BB-9C23-70A1CC46F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27264"/>
        <c:axId val="157230208"/>
      </c:lineChart>
      <c:catAx>
        <c:axId val="157227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7230208"/>
        <c:crosses val="autoZero"/>
        <c:auto val="0"/>
        <c:lblAlgn val="ctr"/>
        <c:lblOffset val="100"/>
        <c:noMultiLvlLbl val="0"/>
      </c:catAx>
      <c:valAx>
        <c:axId val="157230208"/>
        <c:scaling>
          <c:orientation val="minMax"/>
          <c:max val="1.2"/>
          <c:min val="0.8"/>
        </c:scaling>
        <c:delete val="0"/>
        <c:axPos val="l"/>
        <c:numFmt formatCode="General" sourceLinked="1"/>
        <c:majorTickMark val="out"/>
        <c:minorTickMark val="none"/>
        <c:tickLblPos val="nextTo"/>
        <c:crossAx val="157227264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12281933508311466"/>
          <c:y val="2.4458101273926124E-2"/>
          <c:w val="0.15495844269466316"/>
          <c:h val="0.167434383202099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3.7558685446009391E-2"/>
          <c:y val="5.1400554097404488E-2"/>
          <c:w val="0.80327064750708976"/>
          <c:h val="0.89719889180519097"/>
        </c:manualLayout>
      </c:layout>
      <c:barChart>
        <c:barDir val="col"/>
        <c:grouping val="clustered"/>
        <c:varyColors val="0"/>
        <c:ser>
          <c:idx val="1"/>
          <c:order val="1"/>
          <c:invertIfNegative val="0"/>
          <c:cat>
            <c:numRef>
              <c:f>'morf. samenv.'!$H$350:$H$358</c:f>
              <c:numCache>
                <c:formatCode>m/d/yyyy</c:formatCode>
                <c:ptCount val="9"/>
                <c:pt idx="0">
                  <c:v>42795</c:v>
                </c:pt>
                <c:pt idx="1">
                  <c:v>42797</c:v>
                </c:pt>
                <c:pt idx="2">
                  <c:v>42804</c:v>
                </c:pt>
                <c:pt idx="3">
                  <c:v>42811</c:v>
                </c:pt>
                <c:pt idx="4">
                  <c:v>42818</c:v>
                </c:pt>
                <c:pt idx="5">
                  <c:v>42825</c:v>
                </c:pt>
                <c:pt idx="6">
                  <c:v>42832</c:v>
                </c:pt>
                <c:pt idx="7">
                  <c:v>42839</c:v>
                </c:pt>
                <c:pt idx="8">
                  <c:v>42846</c:v>
                </c:pt>
              </c:numCache>
            </c:numRef>
          </c:cat>
          <c:val>
            <c:numRef>
              <c:f>'morf. samenv.'!$J$350:$J$359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94B1-4B39-9794-D44B3896E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268608"/>
        <c:axId val="157274496"/>
      </c:barChart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numRef>
              <c:f>'morf. samenv.'!$H$350:$H$364</c:f>
              <c:numCache>
                <c:formatCode>m/d/yyyy</c:formatCode>
                <c:ptCount val="15"/>
                <c:pt idx="0">
                  <c:v>42795</c:v>
                </c:pt>
                <c:pt idx="1">
                  <c:v>42797</c:v>
                </c:pt>
                <c:pt idx="2">
                  <c:v>42804</c:v>
                </c:pt>
                <c:pt idx="3">
                  <c:v>42811</c:v>
                </c:pt>
                <c:pt idx="4">
                  <c:v>42818</c:v>
                </c:pt>
                <c:pt idx="5">
                  <c:v>42825</c:v>
                </c:pt>
                <c:pt idx="6">
                  <c:v>42832</c:v>
                </c:pt>
                <c:pt idx="7">
                  <c:v>42839</c:v>
                </c:pt>
                <c:pt idx="8">
                  <c:v>42846</c:v>
                </c:pt>
                <c:pt idx="9">
                  <c:v>42853</c:v>
                </c:pt>
                <c:pt idx="10">
                  <c:v>42860</c:v>
                </c:pt>
                <c:pt idx="11">
                  <c:v>42867</c:v>
                </c:pt>
                <c:pt idx="12">
                  <c:v>42874</c:v>
                </c:pt>
                <c:pt idx="13">
                  <c:v>42879</c:v>
                </c:pt>
                <c:pt idx="14">
                  <c:v>42886</c:v>
                </c:pt>
              </c:numCache>
            </c:numRef>
          </c:cat>
          <c:val>
            <c:numRef>
              <c:f>'morf. samenv.'!$I$350:$I$364</c:f>
              <c:numCache>
                <c:formatCode>General</c:formatCode>
                <c:ptCount val="15"/>
                <c:pt idx="1">
                  <c:v>5</c:v>
                </c:pt>
                <c:pt idx="2">
                  <c:v>34</c:v>
                </c:pt>
                <c:pt idx="3">
                  <c:v>3986</c:v>
                </c:pt>
                <c:pt idx="4">
                  <c:v>14583</c:v>
                </c:pt>
                <c:pt idx="5">
                  <c:v>30841</c:v>
                </c:pt>
                <c:pt idx="6">
                  <c:v>7588</c:v>
                </c:pt>
                <c:pt idx="7">
                  <c:v>4722</c:v>
                </c:pt>
                <c:pt idx="8">
                  <c:v>2151</c:v>
                </c:pt>
                <c:pt idx="9">
                  <c:v>2090</c:v>
                </c:pt>
                <c:pt idx="10">
                  <c:v>470</c:v>
                </c:pt>
                <c:pt idx="11">
                  <c:v>222</c:v>
                </c:pt>
                <c:pt idx="12">
                  <c:v>183</c:v>
                </c:pt>
                <c:pt idx="1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1-4B39-9794-D44B3896E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57282304"/>
        <c:axId val="157276032"/>
      </c:barChart>
      <c:dateAx>
        <c:axId val="1572686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7274496"/>
        <c:crosses val="autoZero"/>
        <c:auto val="1"/>
        <c:lblOffset val="100"/>
        <c:baseTimeUnit val="days"/>
      </c:dateAx>
      <c:valAx>
        <c:axId val="157274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7268608"/>
        <c:crosses val="autoZero"/>
        <c:crossBetween val="between"/>
      </c:valAx>
      <c:valAx>
        <c:axId val="157276032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 week</a:t>
                </a:r>
                <a:r>
                  <a:rPr lang="en-US" baseline="30000"/>
                  <a:t>-1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282304"/>
        <c:crosses val="max"/>
        <c:crossBetween val="between"/>
      </c:valAx>
      <c:dateAx>
        <c:axId val="15728230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7276032"/>
        <c:crosses val="autoZero"/>
        <c:auto val="1"/>
        <c:lblOffset val="100"/>
        <c:baseTimeUnit val="days"/>
      </c:date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10"/>
      <c:rAngAx val="0"/>
      <c:perspective val="60"/>
    </c:view3D>
    <c:floor>
      <c:thickness val="0"/>
    </c:floor>
    <c:sideWall>
      <c:thickness val="0"/>
      <c:spPr>
        <a:noFill/>
      </c:spPr>
    </c:sideWall>
    <c:backWall>
      <c:thickness val="0"/>
      <c:spPr>
        <a:noFill/>
      </c:spPr>
    </c:backWall>
    <c:plotArea>
      <c:layout>
        <c:manualLayout>
          <c:layoutTarget val="inner"/>
          <c:xMode val="edge"/>
          <c:yMode val="edge"/>
          <c:x val="0.12182195975503061"/>
          <c:y val="5.1400554097404488E-2"/>
          <c:w val="0.84138298337707784"/>
          <c:h val="0.6932093904928550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'morf. samenv.'!$B$339</c:f>
              <c:strCache>
                <c:ptCount val="1"/>
                <c:pt idx="0">
                  <c:v>palinggoten</c:v>
                </c:pt>
              </c:strCache>
            </c:strRef>
          </c:tx>
          <c:spPr>
            <a:solidFill>
              <a:srgbClr val="00B0F0"/>
            </a:solidFill>
            <a:ln w="25400">
              <a:solidFill>
                <a:srgbClr val="00B0F0"/>
              </a:solidFill>
            </a:ln>
          </c:spPr>
          <c:invertIfNegative val="0"/>
          <c:cat>
            <c:numRef>
              <c:f>'morf. samenv.'!$A$340:$A$355</c:f>
              <c:numCache>
                <c:formatCode>m/d/yyyy</c:formatCode>
                <c:ptCount val="16"/>
                <c:pt idx="0">
                  <c:v>42804</c:v>
                </c:pt>
                <c:pt idx="1">
                  <c:v>42807</c:v>
                </c:pt>
                <c:pt idx="2">
                  <c:v>42811</c:v>
                </c:pt>
                <c:pt idx="3">
                  <c:v>42814</c:v>
                </c:pt>
                <c:pt idx="4">
                  <c:v>42818</c:v>
                </c:pt>
                <c:pt idx="5">
                  <c:v>42821</c:v>
                </c:pt>
                <c:pt idx="6">
                  <c:v>42825</c:v>
                </c:pt>
                <c:pt idx="7">
                  <c:v>42828</c:v>
                </c:pt>
                <c:pt idx="8">
                  <c:v>42832</c:v>
                </c:pt>
                <c:pt idx="9">
                  <c:v>42839</c:v>
                </c:pt>
                <c:pt idx="10">
                  <c:v>42846</c:v>
                </c:pt>
                <c:pt idx="11">
                  <c:v>42853</c:v>
                </c:pt>
                <c:pt idx="12">
                  <c:v>42860</c:v>
                </c:pt>
                <c:pt idx="13">
                  <c:v>42867</c:v>
                </c:pt>
                <c:pt idx="14">
                  <c:v>42874</c:v>
                </c:pt>
                <c:pt idx="15">
                  <c:v>42879</c:v>
                </c:pt>
              </c:numCache>
            </c:numRef>
          </c:cat>
          <c:val>
            <c:numRef>
              <c:f>'morf. samenv.'!$B$340:$B$355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0">
                  <c:v>2.7777777777777777</c:v>
                </c:pt>
                <c:pt idx="3" formatCode="0">
                  <c:v>0</c:v>
                </c:pt>
                <c:pt idx="4" formatCode="0">
                  <c:v>3</c:v>
                </c:pt>
                <c:pt idx="5" formatCode="0">
                  <c:v>0</c:v>
                </c:pt>
                <c:pt idx="6" formatCode="0">
                  <c:v>10</c:v>
                </c:pt>
                <c:pt idx="7" formatCode="0">
                  <c:v>45.544554455445549</c:v>
                </c:pt>
                <c:pt idx="8" formatCode="0">
                  <c:v>21.782178217821784</c:v>
                </c:pt>
                <c:pt idx="9" formatCode="0">
                  <c:v>83</c:v>
                </c:pt>
                <c:pt idx="10" formatCode="0">
                  <c:v>78.640776699029118</c:v>
                </c:pt>
                <c:pt idx="11" formatCode="0">
                  <c:v>98</c:v>
                </c:pt>
                <c:pt idx="12" formatCode="0">
                  <c:v>97</c:v>
                </c:pt>
                <c:pt idx="13" formatCode="0">
                  <c:v>99</c:v>
                </c:pt>
                <c:pt idx="14" formatCode="0">
                  <c:v>100</c:v>
                </c:pt>
                <c:pt idx="15" formatCode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4-429F-83F4-1CDA680C3D09}"/>
            </c:ext>
          </c:extLst>
        </c:ser>
        <c:ser>
          <c:idx val="1"/>
          <c:order val="1"/>
          <c:tx>
            <c:strRef>
              <c:f>'morf. samenv.'!$C$339</c:f>
              <c:strCache>
                <c:ptCount val="1"/>
                <c:pt idx="0">
                  <c:v>substraten</c:v>
                </c:pt>
              </c:strCache>
            </c:strRef>
          </c:tx>
          <c:spPr>
            <a:solidFill>
              <a:schemeClr val="accent2"/>
            </a:solidFill>
            <a:ln w="31750">
              <a:solidFill>
                <a:srgbClr val="C00000"/>
              </a:solidFill>
            </a:ln>
          </c:spPr>
          <c:invertIfNegative val="0"/>
          <c:cat>
            <c:numRef>
              <c:f>'morf. samenv.'!$A$340:$A$355</c:f>
              <c:numCache>
                <c:formatCode>m/d/yyyy</c:formatCode>
                <c:ptCount val="16"/>
                <c:pt idx="0">
                  <c:v>42804</c:v>
                </c:pt>
                <c:pt idx="1">
                  <c:v>42807</c:v>
                </c:pt>
                <c:pt idx="2">
                  <c:v>42811</c:v>
                </c:pt>
                <c:pt idx="3">
                  <c:v>42814</c:v>
                </c:pt>
                <c:pt idx="4">
                  <c:v>42818</c:v>
                </c:pt>
                <c:pt idx="5">
                  <c:v>42821</c:v>
                </c:pt>
                <c:pt idx="6">
                  <c:v>42825</c:v>
                </c:pt>
                <c:pt idx="7">
                  <c:v>42828</c:v>
                </c:pt>
                <c:pt idx="8">
                  <c:v>42832</c:v>
                </c:pt>
                <c:pt idx="9">
                  <c:v>42839</c:v>
                </c:pt>
                <c:pt idx="10">
                  <c:v>42846</c:v>
                </c:pt>
                <c:pt idx="11">
                  <c:v>42853</c:v>
                </c:pt>
                <c:pt idx="12">
                  <c:v>42860</c:v>
                </c:pt>
                <c:pt idx="13">
                  <c:v>42867</c:v>
                </c:pt>
                <c:pt idx="14">
                  <c:v>42874</c:v>
                </c:pt>
                <c:pt idx="15">
                  <c:v>42879</c:v>
                </c:pt>
              </c:numCache>
            </c:numRef>
          </c:cat>
          <c:val>
            <c:numRef>
              <c:f>'morf. samenv.'!$C$340:$C$355</c:f>
              <c:numCache>
                <c:formatCode>General</c:formatCode>
                <c:ptCount val="16"/>
                <c:pt idx="3" formatCode="0">
                  <c:v>0</c:v>
                </c:pt>
                <c:pt idx="4" formatCode="0">
                  <c:v>0</c:v>
                </c:pt>
                <c:pt idx="6" formatCode="0">
                  <c:v>61.764705882352942</c:v>
                </c:pt>
                <c:pt idx="8" formatCode="0">
                  <c:v>84.848484848484844</c:v>
                </c:pt>
                <c:pt idx="9" formatCode="0">
                  <c:v>88.732394366197184</c:v>
                </c:pt>
                <c:pt idx="10" formatCode="0">
                  <c:v>85.245901639344254</c:v>
                </c:pt>
                <c:pt idx="11" formatCode="0">
                  <c:v>100</c:v>
                </c:pt>
                <c:pt idx="12" formatCode="0">
                  <c:v>100</c:v>
                </c:pt>
                <c:pt idx="13" formatCode="0">
                  <c:v>100</c:v>
                </c:pt>
                <c:pt idx="14" formatCode="0">
                  <c:v>100</c:v>
                </c:pt>
                <c:pt idx="15" formatCode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4-429F-83F4-1CDA680C3D09}"/>
            </c:ext>
          </c:extLst>
        </c:ser>
        <c:ser>
          <c:idx val="2"/>
          <c:order val="2"/>
          <c:tx>
            <c:strRef>
              <c:f>'morf. samenv.'!$D$339</c:f>
              <c:strCache>
                <c:ptCount val="1"/>
                <c:pt idx="0">
                  <c:v>kruisnetten</c:v>
                </c:pt>
              </c:strCache>
            </c:strRef>
          </c:tx>
          <c:spPr>
            <a:solidFill>
              <a:srgbClr val="92D050"/>
            </a:solidFill>
            <a:ln w="28575">
              <a:solidFill>
                <a:srgbClr val="92D050"/>
              </a:solidFill>
            </a:ln>
          </c:spPr>
          <c:invertIfNegative val="0"/>
          <c:cat>
            <c:numRef>
              <c:f>'morf. samenv.'!$A$340:$A$355</c:f>
              <c:numCache>
                <c:formatCode>m/d/yyyy</c:formatCode>
                <c:ptCount val="16"/>
                <c:pt idx="0">
                  <c:v>42804</c:v>
                </c:pt>
                <c:pt idx="1">
                  <c:v>42807</c:v>
                </c:pt>
                <c:pt idx="2">
                  <c:v>42811</c:v>
                </c:pt>
                <c:pt idx="3">
                  <c:v>42814</c:v>
                </c:pt>
                <c:pt idx="4">
                  <c:v>42818</c:v>
                </c:pt>
                <c:pt idx="5">
                  <c:v>42821</c:v>
                </c:pt>
                <c:pt idx="6">
                  <c:v>42825</c:v>
                </c:pt>
                <c:pt idx="7">
                  <c:v>42828</c:v>
                </c:pt>
                <c:pt idx="8">
                  <c:v>42832</c:v>
                </c:pt>
                <c:pt idx="9">
                  <c:v>42839</c:v>
                </c:pt>
                <c:pt idx="10">
                  <c:v>42846</c:v>
                </c:pt>
                <c:pt idx="11">
                  <c:v>42853</c:v>
                </c:pt>
                <c:pt idx="12">
                  <c:v>42860</c:v>
                </c:pt>
                <c:pt idx="13">
                  <c:v>42867</c:v>
                </c:pt>
                <c:pt idx="14">
                  <c:v>42874</c:v>
                </c:pt>
                <c:pt idx="15">
                  <c:v>42879</c:v>
                </c:pt>
              </c:numCache>
            </c:numRef>
          </c:cat>
          <c:val>
            <c:numRef>
              <c:f>'morf. samenv.'!$D$340:$D$355</c:f>
              <c:numCache>
                <c:formatCode>General</c:formatCode>
                <c:ptCount val="16"/>
                <c:pt idx="3" formatCode="0">
                  <c:v>0</c:v>
                </c:pt>
                <c:pt idx="4" formatCode="0">
                  <c:v>17.647058823529413</c:v>
                </c:pt>
                <c:pt idx="6" formatCode="0">
                  <c:v>36.111111111111107</c:v>
                </c:pt>
                <c:pt idx="8" formatCode="0">
                  <c:v>85</c:v>
                </c:pt>
                <c:pt idx="9" formatCode="0">
                  <c:v>75</c:v>
                </c:pt>
                <c:pt idx="10" formatCode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4-429F-83F4-1CDA680C3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gapDepth val="156"/>
        <c:shape val="box"/>
        <c:axId val="157054080"/>
        <c:axId val="157055616"/>
        <c:axId val="156865408"/>
      </c:bar3DChart>
      <c:dateAx>
        <c:axId val="157054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640000"/>
          <a:lstStyle/>
          <a:p>
            <a:pPr>
              <a:defRPr/>
            </a:pPr>
            <a:endParaRPr lang="nl-BE"/>
          </a:p>
        </c:txPr>
        <c:crossAx val="157055616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15705561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%</a:t>
                </a:r>
              </a:p>
            </c:rich>
          </c:tx>
          <c:layout>
            <c:manualLayout>
              <c:xMode val="edge"/>
              <c:yMode val="edge"/>
              <c:x val="9.446522309711286E-2"/>
              <c:y val="8.389472149314669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57054080"/>
        <c:crosses val="autoZero"/>
        <c:crossBetween val="between"/>
      </c:valAx>
      <c:serAx>
        <c:axId val="156865408"/>
        <c:scaling>
          <c:orientation val="minMax"/>
        </c:scaling>
        <c:delete val="1"/>
        <c:axPos val="b"/>
        <c:majorTickMark val="out"/>
        <c:minorTickMark val="none"/>
        <c:tickLblPos val="nextTo"/>
        <c:crossAx val="157055616"/>
        <c:crosses val="autoZero"/>
      </c:serAx>
      <c:spPr>
        <a:noFill/>
      </c:spPr>
    </c:plotArea>
    <c:legend>
      <c:legendPos val="r"/>
      <c:layout>
        <c:manualLayout>
          <c:xMode val="edge"/>
          <c:yMode val="edge"/>
          <c:x val="0.75784820647419071"/>
          <c:y val="4.0536599591717171E-3"/>
          <c:w val="0.23381846019247593"/>
          <c:h val="0.18170713035870517"/>
        </c:manualLayout>
      </c:layout>
      <c:overlay val="0"/>
    </c:legend>
    <c:plotVisOnly val="1"/>
    <c:dispBlanksAs val="gap"/>
    <c:showDLblsOverMax val="0"/>
  </c:chart>
  <c:spPr>
    <a:ln w="6350" cap="sq">
      <a:noFill/>
    </a:ln>
  </c:sp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54976676631737"/>
          <c:y val="3.8054898675546379E-2"/>
          <c:w val="0.82480893515279963"/>
          <c:h val="0.77131624359755657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samenv.'!$B$383</c:f>
              <c:strCache>
                <c:ptCount val="1"/>
                <c:pt idx="0">
                  <c:v>LO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'morf. samenv.'!$A$384:$A$397</c:f>
              <c:numCache>
                <c:formatCode>m/d/yyyy</c:formatCode>
                <c:ptCount val="14"/>
                <c:pt idx="0">
                  <c:v>42790</c:v>
                </c:pt>
                <c:pt idx="1">
                  <c:v>42797</c:v>
                </c:pt>
                <c:pt idx="2">
                  <c:v>42804</c:v>
                </c:pt>
                <c:pt idx="3">
                  <c:v>42811</c:v>
                </c:pt>
                <c:pt idx="4">
                  <c:v>42818</c:v>
                </c:pt>
                <c:pt idx="5">
                  <c:v>42825</c:v>
                </c:pt>
                <c:pt idx="6">
                  <c:v>42832</c:v>
                </c:pt>
                <c:pt idx="7">
                  <c:v>42839</c:v>
                </c:pt>
                <c:pt idx="8">
                  <c:v>42846</c:v>
                </c:pt>
                <c:pt idx="9">
                  <c:v>42853</c:v>
                </c:pt>
                <c:pt idx="10">
                  <c:v>42860</c:v>
                </c:pt>
                <c:pt idx="11">
                  <c:v>42867</c:v>
                </c:pt>
                <c:pt idx="12">
                  <c:v>42874</c:v>
                </c:pt>
                <c:pt idx="13">
                  <c:v>42879</c:v>
                </c:pt>
              </c:numCache>
            </c:numRef>
          </c:cat>
          <c:val>
            <c:numRef>
              <c:f>'morf. samenv.'!$B$384:$B$397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24</c:v>
                </c:pt>
                <c:pt idx="3">
                  <c:v>2194</c:v>
                </c:pt>
                <c:pt idx="4">
                  <c:v>8747</c:v>
                </c:pt>
                <c:pt idx="5" formatCode="0">
                  <c:v>20807</c:v>
                </c:pt>
                <c:pt idx="6" formatCode="0">
                  <c:v>4284</c:v>
                </c:pt>
                <c:pt idx="7" formatCode="0">
                  <c:v>1501</c:v>
                </c:pt>
                <c:pt idx="8" formatCode="0">
                  <c:v>808</c:v>
                </c:pt>
                <c:pt idx="9" formatCode="0">
                  <c:v>1472</c:v>
                </c:pt>
                <c:pt idx="10" formatCode="0">
                  <c:v>64</c:v>
                </c:pt>
                <c:pt idx="11" formatCode="0">
                  <c:v>36</c:v>
                </c:pt>
                <c:pt idx="12" formatCode="0">
                  <c:v>127</c:v>
                </c:pt>
                <c:pt idx="13" formatCode="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7-4DF3-AA01-C5DC601B451C}"/>
            </c:ext>
          </c:extLst>
        </c:ser>
        <c:ser>
          <c:idx val="1"/>
          <c:order val="1"/>
          <c:tx>
            <c:strRef>
              <c:f>'morf. samenv.'!$C$383</c:f>
              <c:strCache>
                <c:ptCount val="1"/>
                <c:pt idx="0">
                  <c:v>RO</c:v>
                </c:pt>
              </c:strCache>
            </c:strRef>
          </c:tx>
          <c:spPr>
            <a:ln>
              <a:solidFill>
                <a:srgbClr val="0066FF"/>
              </a:solidFill>
            </a:ln>
          </c:spPr>
          <c:marker>
            <c:symbol val="circle"/>
            <c:size val="5"/>
            <c:spPr>
              <a:solidFill>
                <a:srgbClr val="0066FF"/>
              </a:solidFill>
              <a:ln>
                <a:solidFill>
                  <a:srgbClr val="0066FF"/>
                </a:solidFill>
              </a:ln>
            </c:spPr>
          </c:marker>
          <c:cat>
            <c:numRef>
              <c:f>'morf. samenv.'!$A$384:$A$397</c:f>
              <c:numCache>
                <c:formatCode>m/d/yyyy</c:formatCode>
                <c:ptCount val="14"/>
                <c:pt idx="0">
                  <c:v>42790</c:v>
                </c:pt>
                <c:pt idx="1">
                  <c:v>42797</c:v>
                </c:pt>
                <c:pt idx="2">
                  <c:v>42804</c:v>
                </c:pt>
                <c:pt idx="3">
                  <c:v>42811</c:v>
                </c:pt>
                <c:pt idx="4">
                  <c:v>42818</c:v>
                </c:pt>
                <c:pt idx="5">
                  <c:v>42825</c:v>
                </c:pt>
                <c:pt idx="6">
                  <c:v>42832</c:v>
                </c:pt>
                <c:pt idx="7">
                  <c:v>42839</c:v>
                </c:pt>
                <c:pt idx="8">
                  <c:v>42846</c:v>
                </c:pt>
                <c:pt idx="9">
                  <c:v>42853</c:v>
                </c:pt>
                <c:pt idx="10">
                  <c:v>42860</c:v>
                </c:pt>
                <c:pt idx="11">
                  <c:v>42867</c:v>
                </c:pt>
                <c:pt idx="12">
                  <c:v>42874</c:v>
                </c:pt>
                <c:pt idx="13">
                  <c:v>42879</c:v>
                </c:pt>
              </c:numCache>
            </c:numRef>
          </c:cat>
          <c:val>
            <c:numRef>
              <c:f>'morf. samenv.'!$C$384:$C$397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 formatCode="0">
                  <c:v>10</c:v>
                </c:pt>
                <c:pt idx="3">
                  <c:v>1792</c:v>
                </c:pt>
                <c:pt idx="4">
                  <c:v>5836</c:v>
                </c:pt>
                <c:pt idx="5" formatCode="0">
                  <c:v>10034</c:v>
                </c:pt>
                <c:pt idx="6" formatCode="0">
                  <c:v>3304</c:v>
                </c:pt>
                <c:pt idx="7" formatCode="0">
                  <c:v>3221</c:v>
                </c:pt>
                <c:pt idx="8" formatCode="0">
                  <c:v>1343</c:v>
                </c:pt>
                <c:pt idx="9" formatCode="0">
                  <c:v>618</c:v>
                </c:pt>
                <c:pt idx="10" formatCode="0">
                  <c:v>406</c:v>
                </c:pt>
                <c:pt idx="11" formatCode="0">
                  <c:v>186</c:v>
                </c:pt>
                <c:pt idx="12" formatCode="0">
                  <c:v>56</c:v>
                </c:pt>
                <c:pt idx="13" formatCode="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17-4DF3-AA01-C5DC601B4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77888"/>
        <c:axId val="157079808"/>
      </c:lineChart>
      <c:dateAx>
        <c:axId val="157077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7079808"/>
        <c:crosses val="autoZero"/>
        <c:auto val="1"/>
        <c:lblOffset val="100"/>
        <c:baseTimeUnit val="days"/>
      </c:dateAx>
      <c:valAx>
        <c:axId val="1570798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 week</a:t>
                </a:r>
                <a:r>
                  <a:rPr lang="en-US" sz="1400" baseline="30000"/>
                  <a:t>-1</a:t>
                </a:r>
              </a:p>
            </c:rich>
          </c:tx>
          <c:layout>
            <c:manualLayout>
              <c:xMode val="edge"/>
              <c:yMode val="edge"/>
              <c:x val="1.0883996839947518E-2"/>
              <c:y val="0.239017269122045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707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7501690813690313"/>
          <c:y val="4.0418587152308658E-2"/>
          <c:w val="8.1878740526513005E-2"/>
          <c:h val="0.14055552886652525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54976676631737"/>
          <c:y val="3.8054898675546379E-2"/>
          <c:w val="0.82480893515279963"/>
          <c:h val="0.77131624359755657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samenv.'!$E$383</c:f>
              <c:strCache>
                <c:ptCount val="1"/>
                <c:pt idx="0">
                  <c:v>LO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'morf. samenv.'!$A$384:$A$397</c:f>
              <c:numCache>
                <c:formatCode>m/d/yyyy</c:formatCode>
                <c:ptCount val="14"/>
                <c:pt idx="0">
                  <c:v>42790</c:v>
                </c:pt>
                <c:pt idx="1">
                  <c:v>42797</c:v>
                </c:pt>
                <c:pt idx="2">
                  <c:v>42804</c:v>
                </c:pt>
                <c:pt idx="3">
                  <c:v>42811</c:v>
                </c:pt>
                <c:pt idx="4">
                  <c:v>42818</c:v>
                </c:pt>
                <c:pt idx="5">
                  <c:v>42825</c:v>
                </c:pt>
                <c:pt idx="6">
                  <c:v>42832</c:v>
                </c:pt>
                <c:pt idx="7">
                  <c:v>42839</c:v>
                </c:pt>
                <c:pt idx="8">
                  <c:v>42846</c:v>
                </c:pt>
                <c:pt idx="9">
                  <c:v>42853</c:v>
                </c:pt>
                <c:pt idx="10">
                  <c:v>42860</c:v>
                </c:pt>
                <c:pt idx="11">
                  <c:v>42867</c:v>
                </c:pt>
                <c:pt idx="12">
                  <c:v>42874</c:v>
                </c:pt>
                <c:pt idx="13">
                  <c:v>42879</c:v>
                </c:pt>
              </c:numCache>
            </c:numRef>
          </c:cat>
          <c:val>
            <c:numRef>
              <c:f>'morf. samenv.'!$E$384:$E$397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24</c:v>
                </c:pt>
                <c:pt idx="4">
                  <c:v>29</c:v>
                </c:pt>
                <c:pt idx="5" formatCode="0">
                  <c:v>10</c:v>
                </c:pt>
                <c:pt idx="6" formatCode="0">
                  <c:v>15</c:v>
                </c:pt>
                <c:pt idx="7">
                  <c:v>7</c:v>
                </c:pt>
                <c:pt idx="8">
                  <c:v>6</c:v>
                </c:pt>
                <c:pt idx="9">
                  <c:v>11</c:v>
                </c:pt>
                <c:pt idx="10">
                  <c:v>7</c:v>
                </c:pt>
                <c:pt idx="11">
                  <c:v>5</c:v>
                </c:pt>
                <c:pt idx="12">
                  <c:v>10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E-49AA-AA17-AC73ACDD9525}"/>
            </c:ext>
          </c:extLst>
        </c:ser>
        <c:ser>
          <c:idx val="1"/>
          <c:order val="1"/>
          <c:tx>
            <c:strRef>
              <c:f>'morf. samenv.'!$F$383</c:f>
              <c:strCache>
                <c:ptCount val="1"/>
                <c:pt idx="0">
                  <c:v>RO</c:v>
                </c:pt>
              </c:strCache>
            </c:strRef>
          </c:tx>
          <c:spPr>
            <a:ln>
              <a:solidFill>
                <a:srgbClr val="0066FF"/>
              </a:solidFill>
            </a:ln>
          </c:spPr>
          <c:marker>
            <c:symbol val="circle"/>
            <c:size val="5"/>
            <c:spPr>
              <a:solidFill>
                <a:srgbClr val="0066FF"/>
              </a:solidFill>
              <a:ln>
                <a:solidFill>
                  <a:srgbClr val="0066FF"/>
                </a:solidFill>
              </a:ln>
            </c:spPr>
          </c:marker>
          <c:cat>
            <c:numRef>
              <c:f>'morf. samenv.'!$A$384:$A$397</c:f>
              <c:numCache>
                <c:formatCode>m/d/yyyy</c:formatCode>
                <c:ptCount val="14"/>
                <c:pt idx="0">
                  <c:v>42790</c:v>
                </c:pt>
                <c:pt idx="1">
                  <c:v>42797</c:v>
                </c:pt>
                <c:pt idx="2">
                  <c:v>42804</c:v>
                </c:pt>
                <c:pt idx="3">
                  <c:v>42811</c:v>
                </c:pt>
                <c:pt idx="4">
                  <c:v>42818</c:v>
                </c:pt>
                <c:pt idx="5">
                  <c:v>42825</c:v>
                </c:pt>
                <c:pt idx="6">
                  <c:v>42832</c:v>
                </c:pt>
                <c:pt idx="7">
                  <c:v>42839</c:v>
                </c:pt>
                <c:pt idx="8">
                  <c:v>42846</c:v>
                </c:pt>
                <c:pt idx="9">
                  <c:v>42853</c:v>
                </c:pt>
                <c:pt idx="10">
                  <c:v>42860</c:v>
                </c:pt>
                <c:pt idx="11">
                  <c:v>42867</c:v>
                </c:pt>
                <c:pt idx="12">
                  <c:v>42874</c:v>
                </c:pt>
                <c:pt idx="13">
                  <c:v>42879</c:v>
                </c:pt>
              </c:numCache>
            </c:numRef>
          </c:cat>
          <c:val>
            <c:numRef>
              <c:f>'morf. samenv.'!$F$384:$F$397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14</c:v>
                </c:pt>
                <c:pt idx="4">
                  <c:v>17</c:v>
                </c:pt>
                <c:pt idx="5" formatCode="0">
                  <c:v>12</c:v>
                </c:pt>
                <c:pt idx="6" formatCode="0">
                  <c:v>8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E-49AA-AA17-AC73ACDD9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96576"/>
        <c:axId val="157123328"/>
      </c:lineChart>
      <c:dateAx>
        <c:axId val="157096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7123328"/>
        <c:crosses val="autoZero"/>
        <c:auto val="1"/>
        <c:lblOffset val="100"/>
        <c:baseTimeUnit val="days"/>
      </c:dateAx>
      <c:valAx>
        <c:axId val="1571233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elvers week</a:t>
                </a:r>
                <a:r>
                  <a:rPr lang="en-US" sz="1400" baseline="30000"/>
                  <a:t>-1</a:t>
                </a:r>
              </a:p>
            </c:rich>
          </c:tx>
          <c:layout>
            <c:manualLayout>
              <c:xMode val="edge"/>
              <c:yMode val="edge"/>
              <c:x val="1.0883996839947518E-2"/>
              <c:y val="0.239017269122045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7096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7501690813690313"/>
          <c:y val="4.0418587152308658E-2"/>
          <c:w val="8.1878740526513005E-2"/>
          <c:h val="0.14055552886652525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5682414698163"/>
          <c:y val="5.1400554097404488E-2"/>
          <c:w val="0.83510192475940503"/>
          <c:h val="0.66334025955088949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samenv.'!$AH$116</c:f>
              <c:strCache>
                <c:ptCount val="1"/>
                <c:pt idx="0">
                  <c:v>GG</c:v>
                </c:pt>
              </c:strCache>
            </c:strRef>
          </c:tx>
          <c:spPr>
            <a:ln w="25400">
              <a:solidFill>
                <a:srgbClr val="0066FF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rgbClr val="0070C0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samenv.'!$AH$118:$AH$164</c:f>
              <c:numCache>
                <c:formatCode>0.00</c:formatCode>
                <c:ptCount val="47"/>
                <c:pt idx="0">
                  <c:v>0.85020224227089025</c:v>
                </c:pt>
                <c:pt idx="1">
                  <c:v>0.98559943841346076</c:v>
                </c:pt>
                <c:pt idx="2">
                  <c:v>0.815828059419346</c:v>
                </c:pt>
                <c:pt idx="3">
                  <c:v>1.0169256616894047</c:v>
                </c:pt>
                <c:pt idx="4">
                  <c:v>0.96070337144874851</c:v>
                </c:pt>
                <c:pt idx="5">
                  <c:v>0.97621858818760199</c:v>
                </c:pt>
                <c:pt idx="6">
                  <c:v>0.97060853441755268</c:v>
                </c:pt>
                <c:pt idx="7">
                  <c:v>1.0087820359105271</c:v>
                </c:pt>
                <c:pt idx="8">
                  <c:v>1.0597109904889148</c:v>
                </c:pt>
                <c:pt idx="9">
                  <c:v>0.95103878954606813</c:v>
                </c:pt>
                <c:pt idx="10">
                  <c:v>1.0455249339092101</c:v>
                </c:pt>
                <c:pt idx="11">
                  <c:v>1.0488517304218474</c:v>
                </c:pt>
                <c:pt idx="14">
                  <c:v>0.98559705126646335</c:v>
                </c:pt>
                <c:pt idx="15">
                  <c:v>0.98435148361588098</c:v>
                </c:pt>
                <c:pt idx="16">
                  <c:v>0.99242598117702285</c:v>
                </c:pt>
                <c:pt idx="17">
                  <c:v>1.0195306266771247</c:v>
                </c:pt>
                <c:pt idx="18">
                  <c:v>0.94312874462799523</c:v>
                </c:pt>
                <c:pt idx="19">
                  <c:v>0.98242457111000858</c:v>
                </c:pt>
                <c:pt idx="20">
                  <c:v>1.0394852939837271</c:v>
                </c:pt>
                <c:pt idx="21">
                  <c:v>0.97098661453137303</c:v>
                </c:pt>
                <c:pt idx="22">
                  <c:v>1.0070927037426454</c:v>
                </c:pt>
                <c:pt idx="23">
                  <c:v>1.0131459806168801</c:v>
                </c:pt>
                <c:pt idx="24">
                  <c:v>0.91682834794582269</c:v>
                </c:pt>
                <c:pt idx="25">
                  <c:v>1.0817369154038192</c:v>
                </c:pt>
                <c:pt idx="26">
                  <c:v>1.0346364379089168</c:v>
                </c:pt>
                <c:pt idx="27">
                  <c:v>1.1070656388503335</c:v>
                </c:pt>
                <c:pt idx="28">
                  <c:v>1.0142815610460743</c:v>
                </c:pt>
                <c:pt idx="29">
                  <c:v>0.90745668917885747</c:v>
                </c:pt>
                <c:pt idx="34">
                  <c:v>0.97552442010218621</c:v>
                </c:pt>
                <c:pt idx="35">
                  <c:v>0.96150444496822152</c:v>
                </c:pt>
                <c:pt idx="36">
                  <c:v>1.0463488012367377</c:v>
                </c:pt>
                <c:pt idx="37">
                  <c:v>0.98912712837683714</c:v>
                </c:pt>
                <c:pt idx="38">
                  <c:v>0.95224402243820883</c:v>
                </c:pt>
                <c:pt idx="39">
                  <c:v>0.96098029726862721</c:v>
                </c:pt>
                <c:pt idx="40">
                  <c:v>0.89682331114347613</c:v>
                </c:pt>
                <c:pt idx="41">
                  <c:v>0.94789237795168224</c:v>
                </c:pt>
                <c:pt idx="42">
                  <c:v>1.0051779443434206</c:v>
                </c:pt>
                <c:pt idx="43">
                  <c:v>0.93706946743378505</c:v>
                </c:pt>
                <c:pt idx="44">
                  <c:v>0.91354366094485118</c:v>
                </c:pt>
                <c:pt idx="45">
                  <c:v>0.91396853008919188</c:v>
                </c:pt>
                <c:pt idx="46">
                  <c:v>0.8301800844740217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D-4E74-B6B7-B65261CA4BBF}"/>
            </c:ext>
          </c:extLst>
        </c:ser>
        <c:ser>
          <c:idx val="1"/>
          <c:order val="1"/>
          <c:tx>
            <c:strRef>
              <c:f>'morf. samenv.'!$AI$116</c:f>
              <c:strCache>
                <c:ptCount val="1"/>
                <c:pt idx="0">
                  <c:v>SU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'morf. samenv.'!$X$118:$X$164</c:f>
              <c:numCache>
                <c:formatCode>m/d/yyyy</c:formatCode>
                <c:ptCount val="47"/>
                <c:pt idx="0">
                  <c:v>42440</c:v>
                </c:pt>
                <c:pt idx="1">
                  <c:v>42447</c:v>
                </c:pt>
                <c:pt idx="2">
                  <c:v>42454</c:v>
                </c:pt>
                <c:pt idx="3">
                  <c:v>42461</c:v>
                </c:pt>
                <c:pt idx="4">
                  <c:v>42468</c:v>
                </c:pt>
                <c:pt idx="5">
                  <c:v>42475</c:v>
                </c:pt>
                <c:pt idx="6">
                  <c:v>42482</c:v>
                </c:pt>
                <c:pt idx="7">
                  <c:v>42489</c:v>
                </c:pt>
                <c:pt idx="8">
                  <c:v>42494</c:v>
                </c:pt>
                <c:pt idx="9">
                  <c:v>42503</c:v>
                </c:pt>
                <c:pt idx="10">
                  <c:v>42510</c:v>
                </c:pt>
                <c:pt idx="11">
                  <c:v>42517</c:v>
                </c:pt>
                <c:pt idx="13">
                  <c:v>42797</c:v>
                </c:pt>
                <c:pt idx="14">
                  <c:v>42804</c:v>
                </c:pt>
                <c:pt idx="15">
                  <c:v>42807</c:v>
                </c:pt>
                <c:pt idx="16">
                  <c:v>42811</c:v>
                </c:pt>
                <c:pt idx="17">
                  <c:v>42814</c:v>
                </c:pt>
                <c:pt idx="18">
                  <c:v>42818</c:v>
                </c:pt>
                <c:pt idx="19">
                  <c:v>42821</c:v>
                </c:pt>
                <c:pt idx="20">
                  <c:v>42825</c:v>
                </c:pt>
                <c:pt idx="21">
                  <c:v>42828</c:v>
                </c:pt>
                <c:pt idx="22">
                  <c:v>42832</c:v>
                </c:pt>
                <c:pt idx="23">
                  <c:v>42839</c:v>
                </c:pt>
                <c:pt idx="24">
                  <c:v>42846</c:v>
                </c:pt>
                <c:pt idx="25">
                  <c:v>42853</c:v>
                </c:pt>
                <c:pt idx="26">
                  <c:v>42860</c:v>
                </c:pt>
                <c:pt idx="27">
                  <c:v>42867</c:v>
                </c:pt>
                <c:pt idx="28">
                  <c:v>42874</c:v>
                </c:pt>
                <c:pt idx="29">
                  <c:v>42879</c:v>
                </c:pt>
                <c:pt idx="31">
                  <c:v>43168</c:v>
                </c:pt>
                <c:pt idx="32">
                  <c:v>43171</c:v>
                </c:pt>
                <c:pt idx="33">
                  <c:v>43178</c:v>
                </c:pt>
                <c:pt idx="34">
                  <c:v>43188</c:v>
                </c:pt>
                <c:pt idx="35">
                  <c:v>43193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43206</c:v>
                </c:pt>
                <c:pt idx="40">
                  <c:v>43213</c:v>
                </c:pt>
                <c:pt idx="41">
                  <c:v>43214</c:v>
                </c:pt>
                <c:pt idx="42">
                  <c:v>43222</c:v>
                </c:pt>
                <c:pt idx="43">
                  <c:v>43227</c:v>
                </c:pt>
                <c:pt idx="44">
                  <c:v>43234</c:v>
                </c:pt>
                <c:pt idx="45">
                  <c:v>43242</c:v>
                </c:pt>
                <c:pt idx="46">
                  <c:v>43248</c:v>
                </c:pt>
              </c:numCache>
            </c:numRef>
          </c:cat>
          <c:val>
            <c:numRef>
              <c:f>'morf. samenv.'!$AI$118:$AI$164</c:f>
              <c:numCache>
                <c:formatCode>General</c:formatCode>
                <c:ptCount val="47"/>
                <c:pt idx="2" formatCode="0.00">
                  <c:v>0.97107724618239166</c:v>
                </c:pt>
                <c:pt idx="3" formatCode="0.00">
                  <c:v>0.96327728973589954</c:v>
                </c:pt>
                <c:pt idx="4" formatCode="0.00">
                  <c:v>1.0241288005218374</c:v>
                </c:pt>
                <c:pt idx="5" formatCode="0.00">
                  <c:v>0.97766597075578543</c:v>
                </c:pt>
                <c:pt idx="6" formatCode="0.00">
                  <c:v>0.98858582369340842</c:v>
                </c:pt>
                <c:pt idx="7" formatCode="0.00">
                  <c:v>1.0283818581934538</c:v>
                </c:pt>
                <c:pt idx="8" formatCode="0.00">
                  <c:v>1.1121801350172258</c:v>
                </c:pt>
                <c:pt idx="9" formatCode="0.00">
                  <c:v>1.0780113283208652</c:v>
                </c:pt>
                <c:pt idx="10" formatCode="0.00">
                  <c:v>1.1669121332351196</c:v>
                </c:pt>
                <c:pt idx="11" formatCode="0.00">
                  <c:v>1.1749109160485109</c:v>
                </c:pt>
                <c:pt idx="16" formatCode="0.00">
                  <c:v>1.0784484428874663</c:v>
                </c:pt>
                <c:pt idx="18" formatCode="0.00">
                  <c:v>0.99844150276528831</c:v>
                </c:pt>
                <c:pt idx="20" formatCode="0.00">
                  <c:v>1.018097162590804</c:v>
                </c:pt>
                <c:pt idx="22" formatCode="0.00">
                  <c:v>1.0207789250218771</c:v>
                </c:pt>
                <c:pt idx="23" formatCode="0.00">
                  <c:v>1.057563925692018</c:v>
                </c:pt>
                <c:pt idx="24" formatCode="0.00">
                  <c:v>0.98947546314173185</c:v>
                </c:pt>
                <c:pt idx="25" formatCode="0.00">
                  <c:v>1.1562927754624392</c:v>
                </c:pt>
                <c:pt idx="26" formatCode="0.00">
                  <c:v>1.1334635363536005</c:v>
                </c:pt>
                <c:pt idx="27" formatCode="0.00">
                  <c:v>1.2129350681044888</c:v>
                </c:pt>
                <c:pt idx="28" formatCode="0.00">
                  <c:v>1.3377644618416351</c:v>
                </c:pt>
                <c:pt idx="29" formatCode="0.00">
                  <c:v>1.2983647756553132</c:v>
                </c:pt>
                <c:pt idx="33" formatCode="0.00">
                  <c:v>1.1087466548204905</c:v>
                </c:pt>
                <c:pt idx="34" formatCode="0.00">
                  <c:v>1.0444958797810828</c:v>
                </c:pt>
                <c:pt idx="35" formatCode="0.00">
                  <c:v>0.91041454505794028</c:v>
                </c:pt>
                <c:pt idx="37" formatCode="0.00">
                  <c:v>1.0301215667816326</c:v>
                </c:pt>
                <c:pt idx="39" formatCode="0.00">
                  <c:v>0.99465351402605007</c:v>
                </c:pt>
                <c:pt idx="40" formatCode="0.00">
                  <c:v>0.91652711425043365</c:v>
                </c:pt>
                <c:pt idx="42" formatCode="0.00">
                  <c:v>1.0032696168551445</c:v>
                </c:pt>
                <c:pt idx="43" formatCode="0.00">
                  <c:v>0.98625443288095915</c:v>
                </c:pt>
                <c:pt idx="44" formatCode="0.00">
                  <c:v>0.99586056299919046</c:v>
                </c:pt>
                <c:pt idx="45" formatCode="0.00">
                  <c:v>1.0296493232787736</c:v>
                </c:pt>
                <c:pt idx="46" formatCode="0.00">
                  <c:v>1.0747347153777391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D-4E74-B6B7-B65261CA4BBF}"/>
            </c:ext>
          </c:extLst>
        </c:ser>
        <c:ser>
          <c:idx val="2"/>
          <c:order val="2"/>
          <c:spPr>
            <a:ln>
              <a:solidFill>
                <a:srgbClr val="00B050"/>
              </a:solidFill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val>
            <c:numRef>
              <c:f>'morf. samenv.'!$AJ$118:$AJ$164</c:f>
              <c:numCache>
                <c:formatCode>0.00</c:formatCode>
                <c:ptCount val="47"/>
                <c:pt idx="0">
                  <c:v>1.0165201485003152</c:v>
                </c:pt>
                <c:pt idx="1">
                  <c:v>0.98412309818301036</c:v>
                </c:pt>
                <c:pt idx="2">
                  <c:v>1.0352939231937621</c:v>
                </c:pt>
                <c:pt idx="3">
                  <c:v>1.0096744294139668</c:v>
                </c:pt>
                <c:pt idx="5">
                  <c:v>0.906564055600241</c:v>
                </c:pt>
                <c:pt idx="14">
                  <c:v>0.9863528274482215</c:v>
                </c:pt>
                <c:pt idx="16">
                  <c:v>1.0224832461299236</c:v>
                </c:pt>
                <c:pt idx="18">
                  <c:v>0.96972271995340631</c:v>
                </c:pt>
                <c:pt idx="20">
                  <c:v>0.99582076365575112</c:v>
                </c:pt>
                <c:pt idx="22">
                  <c:v>0.96592790136500262</c:v>
                </c:pt>
                <c:pt idx="23">
                  <c:v>1.1604370268477049</c:v>
                </c:pt>
                <c:pt idx="24">
                  <c:v>0.9677130163451293</c:v>
                </c:pt>
                <c:pt idx="33">
                  <c:v>1.1394403266582962</c:v>
                </c:pt>
                <c:pt idx="34">
                  <c:v>1.0179061094366519</c:v>
                </c:pt>
                <c:pt idx="35">
                  <c:v>1.0074991052310371</c:v>
                </c:pt>
                <c:pt idx="37">
                  <c:v>0.95570162043249185</c:v>
                </c:pt>
                <c:pt idx="39">
                  <c:v>0.97095957393785437</c:v>
                </c:pt>
                <c:pt idx="40">
                  <c:v>0.90713962231381917</c:v>
                </c:pt>
                <c:pt idx="42">
                  <c:v>0.98170014169358155</c:v>
                </c:pt>
                <c:pt idx="44">
                  <c:v>0.91378742836792448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D-4E74-B6B7-B65261CA4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158784"/>
        <c:axId val="157165440"/>
      </c:lineChart>
      <c:catAx>
        <c:axId val="157158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3960000"/>
          <a:lstStyle/>
          <a:p>
            <a:pPr>
              <a:defRPr/>
            </a:pPr>
            <a:endParaRPr lang="nl-BE"/>
          </a:p>
        </c:txPr>
        <c:crossAx val="157165440"/>
        <c:crosses val="autoZero"/>
        <c:auto val="0"/>
        <c:lblAlgn val="ctr"/>
        <c:lblOffset val="100"/>
        <c:noMultiLvlLbl val="0"/>
      </c:catAx>
      <c:valAx>
        <c:axId val="157165440"/>
        <c:scaling>
          <c:orientation val="minMax"/>
          <c:max val="1.4"/>
          <c:min val="0.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conditie</a:t>
                </a:r>
                <a:r>
                  <a:rPr lang="en-US" sz="1200" baseline="0"/>
                  <a:t> (Kn)</a:t>
                </a:r>
                <a:endParaRPr lang="en-US" sz="1200"/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571587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54976676631737"/>
          <c:y val="3.8054898675546379E-2"/>
          <c:w val="0.82480893515279963"/>
          <c:h val="0.77131624359755657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samenv.'!$B$383</c:f>
              <c:strCache>
                <c:ptCount val="1"/>
                <c:pt idx="0">
                  <c:v>LO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'morf. samenv.'!$A$404:$A$415</c:f>
              <c:numCache>
                <c:formatCode>m/d/yyyy</c:formatCode>
                <c:ptCount val="12"/>
                <c:pt idx="1">
                  <c:v>43178</c:v>
                </c:pt>
                <c:pt idx="2">
                  <c:v>43185</c:v>
                </c:pt>
                <c:pt idx="3">
                  <c:v>43193</c:v>
                </c:pt>
                <c:pt idx="4">
                  <c:v>43199</c:v>
                </c:pt>
                <c:pt idx="5">
                  <c:v>43206</c:v>
                </c:pt>
                <c:pt idx="6">
                  <c:v>43213</c:v>
                </c:pt>
                <c:pt idx="7">
                  <c:v>43222</c:v>
                </c:pt>
                <c:pt idx="8">
                  <c:v>43227</c:v>
                </c:pt>
                <c:pt idx="9">
                  <c:v>43234</c:v>
                </c:pt>
                <c:pt idx="10">
                  <c:v>43242</c:v>
                </c:pt>
                <c:pt idx="11">
                  <c:v>43248</c:v>
                </c:pt>
              </c:numCache>
            </c:numRef>
          </c:cat>
          <c:val>
            <c:numRef>
              <c:f>'morf. samenv.'!$B$404:$B$415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252</c:v>
                </c:pt>
                <c:pt idx="3">
                  <c:v>147</c:v>
                </c:pt>
                <c:pt idx="4">
                  <c:v>113</c:v>
                </c:pt>
                <c:pt idx="5">
                  <c:v>2371</c:v>
                </c:pt>
                <c:pt idx="6">
                  <c:v>7805</c:v>
                </c:pt>
                <c:pt idx="7">
                  <c:v>2834</c:v>
                </c:pt>
                <c:pt idx="8" formatCode="0">
                  <c:v>110</c:v>
                </c:pt>
                <c:pt idx="9" formatCode="0">
                  <c:v>2250</c:v>
                </c:pt>
                <c:pt idx="10" formatCode="0">
                  <c:v>532</c:v>
                </c:pt>
                <c:pt idx="11" formatCode="0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F-42E3-9FA5-3FB5A6032DB0}"/>
            </c:ext>
          </c:extLst>
        </c:ser>
        <c:ser>
          <c:idx val="1"/>
          <c:order val="1"/>
          <c:tx>
            <c:strRef>
              <c:f>'morf. samenv.'!$C$383</c:f>
              <c:strCache>
                <c:ptCount val="1"/>
                <c:pt idx="0">
                  <c:v>RO</c:v>
                </c:pt>
              </c:strCache>
            </c:strRef>
          </c:tx>
          <c:spPr>
            <a:ln>
              <a:solidFill>
                <a:srgbClr val="0066FF"/>
              </a:solidFill>
            </a:ln>
          </c:spPr>
          <c:marker>
            <c:symbol val="circle"/>
            <c:size val="5"/>
            <c:spPr>
              <a:solidFill>
                <a:srgbClr val="0066FF"/>
              </a:solidFill>
              <a:ln>
                <a:solidFill>
                  <a:srgbClr val="0066FF"/>
                </a:solidFill>
              </a:ln>
            </c:spPr>
          </c:marker>
          <c:cat>
            <c:numRef>
              <c:f>'morf. samenv.'!$A$404:$A$415</c:f>
              <c:numCache>
                <c:formatCode>m/d/yyyy</c:formatCode>
                <c:ptCount val="12"/>
                <c:pt idx="1">
                  <c:v>43178</c:v>
                </c:pt>
                <c:pt idx="2">
                  <c:v>43185</c:v>
                </c:pt>
                <c:pt idx="3">
                  <c:v>43193</c:v>
                </c:pt>
                <c:pt idx="4">
                  <c:v>43199</c:v>
                </c:pt>
                <c:pt idx="5">
                  <c:v>43206</c:v>
                </c:pt>
                <c:pt idx="6">
                  <c:v>43213</c:v>
                </c:pt>
                <c:pt idx="7">
                  <c:v>43222</c:v>
                </c:pt>
                <c:pt idx="8">
                  <c:v>43227</c:v>
                </c:pt>
                <c:pt idx="9">
                  <c:v>43234</c:v>
                </c:pt>
                <c:pt idx="10">
                  <c:v>43242</c:v>
                </c:pt>
                <c:pt idx="11">
                  <c:v>43248</c:v>
                </c:pt>
              </c:numCache>
            </c:numRef>
          </c:cat>
          <c:val>
            <c:numRef>
              <c:f>'morf. samenv.'!$C$404:$C$415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183</c:v>
                </c:pt>
                <c:pt idx="3">
                  <c:v>148</c:v>
                </c:pt>
                <c:pt idx="4">
                  <c:v>241</c:v>
                </c:pt>
                <c:pt idx="5">
                  <c:v>3391</c:v>
                </c:pt>
                <c:pt idx="6">
                  <c:v>6232</c:v>
                </c:pt>
                <c:pt idx="7">
                  <c:v>8581</c:v>
                </c:pt>
                <c:pt idx="8" formatCode="0">
                  <c:v>313</c:v>
                </c:pt>
                <c:pt idx="9" formatCode="0">
                  <c:v>5221</c:v>
                </c:pt>
                <c:pt idx="10" formatCode="0">
                  <c:v>1535</c:v>
                </c:pt>
                <c:pt idx="11" formatCode="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F-42E3-9FA5-3FB5A6032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88320"/>
        <c:axId val="157294592"/>
      </c:lineChart>
      <c:catAx>
        <c:axId val="15728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294592"/>
        <c:crosses val="autoZero"/>
        <c:auto val="0"/>
        <c:lblAlgn val="ctr"/>
        <c:lblOffset val="100"/>
        <c:noMultiLvlLbl val="0"/>
      </c:catAx>
      <c:valAx>
        <c:axId val="1572945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glasalen week</a:t>
                </a:r>
                <a:r>
                  <a:rPr lang="en-US" sz="1400" baseline="30000"/>
                  <a:t>-1</a:t>
                </a:r>
              </a:p>
            </c:rich>
          </c:tx>
          <c:layout>
            <c:manualLayout>
              <c:xMode val="edge"/>
              <c:yMode val="edge"/>
              <c:x val="1.0883996839947518E-2"/>
              <c:y val="0.239017269122045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7288320"/>
        <c:crosses val="autoZero"/>
        <c:crossBetween val="between"/>
        <c:majorUnit val="2000"/>
      </c:valAx>
    </c:plotArea>
    <c:legend>
      <c:legendPos val="r"/>
      <c:layout>
        <c:manualLayout>
          <c:xMode val="edge"/>
          <c:yMode val="edge"/>
          <c:x val="0.17501690813690313"/>
          <c:y val="4.0418587152308658E-2"/>
          <c:w val="8.1878740526513005E-2"/>
          <c:h val="0.14055552886652525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54976676631737"/>
          <c:y val="3.8054898675546379E-2"/>
          <c:w val="0.82480893515279963"/>
          <c:h val="0.77131624359755657"/>
        </c:manualLayout>
      </c:layout>
      <c:lineChart>
        <c:grouping val="standard"/>
        <c:varyColors val="0"/>
        <c:ser>
          <c:idx val="0"/>
          <c:order val="0"/>
          <c:tx>
            <c:strRef>
              <c:f>'morf. samenv.'!$E$383</c:f>
              <c:strCache>
                <c:ptCount val="1"/>
                <c:pt idx="0">
                  <c:v>LO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'morf. samenv.'!$A$404:$A$415</c:f>
              <c:numCache>
                <c:formatCode>m/d/yyyy</c:formatCode>
                <c:ptCount val="12"/>
                <c:pt idx="1">
                  <c:v>43178</c:v>
                </c:pt>
                <c:pt idx="2">
                  <c:v>43185</c:v>
                </c:pt>
                <c:pt idx="3">
                  <c:v>43193</c:v>
                </c:pt>
                <c:pt idx="4">
                  <c:v>43199</c:v>
                </c:pt>
                <c:pt idx="5">
                  <c:v>43206</c:v>
                </c:pt>
                <c:pt idx="6">
                  <c:v>43213</c:v>
                </c:pt>
                <c:pt idx="7">
                  <c:v>43222</c:v>
                </c:pt>
                <c:pt idx="8">
                  <c:v>43227</c:v>
                </c:pt>
                <c:pt idx="9">
                  <c:v>43234</c:v>
                </c:pt>
                <c:pt idx="10">
                  <c:v>43242</c:v>
                </c:pt>
                <c:pt idx="11">
                  <c:v>43248</c:v>
                </c:pt>
              </c:numCache>
            </c:numRef>
          </c:cat>
          <c:val>
            <c:numRef>
              <c:f>'morf. samenv.'!$E$404:$E$415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0</c:v>
                </c:pt>
                <c:pt idx="9">
                  <c:v>8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9-4493-9551-85CDC2AD5DCF}"/>
            </c:ext>
          </c:extLst>
        </c:ser>
        <c:ser>
          <c:idx val="1"/>
          <c:order val="1"/>
          <c:tx>
            <c:strRef>
              <c:f>'morf. samenv.'!$F$383</c:f>
              <c:strCache>
                <c:ptCount val="1"/>
                <c:pt idx="0">
                  <c:v>RO</c:v>
                </c:pt>
              </c:strCache>
            </c:strRef>
          </c:tx>
          <c:spPr>
            <a:ln>
              <a:solidFill>
                <a:srgbClr val="0066FF"/>
              </a:solidFill>
            </a:ln>
          </c:spPr>
          <c:marker>
            <c:symbol val="circle"/>
            <c:size val="5"/>
            <c:spPr>
              <a:solidFill>
                <a:srgbClr val="0066FF"/>
              </a:solidFill>
              <a:ln>
                <a:solidFill>
                  <a:srgbClr val="0066FF"/>
                </a:solidFill>
              </a:ln>
            </c:spPr>
          </c:marker>
          <c:cat>
            <c:numRef>
              <c:f>'morf. samenv.'!$A$404:$A$415</c:f>
              <c:numCache>
                <c:formatCode>m/d/yyyy</c:formatCode>
                <c:ptCount val="12"/>
                <c:pt idx="1">
                  <c:v>43178</c:v>
                </c:pt>
                <c:pt idx="2">
                  <c:v>43185</c:v>
                </c:pt>
                <c:pt idx="3">
                  <c:v>43193</c:v>
                </c:pt>
                <c:pt idx="4">
                  <c:v>43199</c:v>
                </c:pt>
                <c:pt idx="5">
                  <c:v>43206</c:v>
                </c:pt>
                <c:pt idx="6">
                  <c:v>43213</c:v>
                </c:pt>
                <c:pt idx="7">
                  <c:v>43222</c:v>
                </c:pt>
                <c:pt idx="8">
                  <c:v>43227</c:v>
                </c:pt>
                <c:pt idx="9">
                  <c:v>43234</c:v>
                </c:pt>
                <c:pt idx="10">
                  <c:v>43242</c:v>
                </c:pt>
                <c:pt idx="11">
                  <c:v>43248</c:v>
                </c:pt>
              </c:numCache>
            </c:numRef>
          </c:cat>
          <c:val>
            <c:numRef>
              <c:f>'morf. samenv.'!$F$404:$F$415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11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8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9-4493-9551-85CDC2AD5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07264"/>
        <c:axId val="157309184"/>
      </c:lineChart>
      <c:catAx>
        <c:axId val="1573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309184"/>
        <c:crosses val="autoZero"/>
        <c:auto val="0"/>
        <c:lblAlgn val="ctr"/>
        <c:lblOffset val="100"/>
        <c:noMultiLvlLbl val="0"/>
      </c:catAx>
      <c:valAx>
        <c:axId val="1573091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 elvers week</a:t>
                </a:r>
                <a:r>
                  <a:rPr lang="en-US" sz="1400" baseline="30000"/>
                  <a:t>-1</a:t>
                </a:r>
              </a:p>
            </c:rich>
          </c:tx>
          <c:layout>
            <c:manualLayout>
              <c:xMode val="edge"/>
              <c:yMode val="edge"/>
              <c:x val="1.0883996839947518E-2"/>
              <c:y val="0.239017269122045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57307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7501690813690313"/>
          <c:y val="4.0418587152308658E-2"/>
          <c:w val="8.1878740526513005E-2"/>
          <c:h val="0.14055552886652525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618547681543"/>
          <c:y val="5.1400554097404488E-2"/>
          <c:w val="0.78776159230096243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 + figuren paper'!$R$4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rgbClr val="FF0000"/>
              </a:solidFill>
            </a:ln>
          </c:spPr>
          <c:invertIfNegative val="0"/>
          <c:cat>
            <c:numRef>
              <c:f>'tabel + figuren paper'!$Q$5:$Q$19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paper'!$R$5:$R$19</c:f>
              <c:numCache>
                <c:formatCode>General</c:formatCode>
                <c:ptCount val="15"/>
                <c:pt idx="2">
                  <c:v>5</c:v>
                </c:pt>
                <c:pt idx="3">
                  <c:v>56</c:v>
                </c:pt>
                <c:pt idx="4">
                  <c:v>1324</c:v>
                </c:pt>
                <c:pt idx="5">
                  <c:v>3114</c:v>
                </c:pt>
                <c:pt idx="6">
                  <c:v>11329</c:v>
                </c:pt>
                <c:pt idx="7">
                  <c:v>3116</c:v>
                </c:pt>
                <c:pt idx="8">
                  <c:v>2222</c:v>
                </c:pt>
                <c:pt idx="9">
                  <c:v>1134</c:v>
                </c:pt>
                <c:pt idx="10">
                  <c:v>296</c:v>
                </c:pt>
                <c:pt idx="11">
                  <c:v>145</c:v>
                </c:pt>
                <c:pt idx="12">
                  <c:v>556</c:v>
                </c:pt>
                <c:pt idx="13">
                  <c:v>187</c:v>
                </c:pt>
                <c:pt idx="14">
                  <c:v>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1-4CB2-ADD7-64955475B3D1}"/>
            </c:ext>
          </c:extLst>
        </c:ser>
        <c:ser>
          <c:idx val="1"/>
          <c:order val="1"/>
          <c:tx>
            <c:strRef>
              <c:f>'tabel + figuren paper'!$S$4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0066FF"/>
            </a:solidFill>
            <a:ln w="25400">
              <a:solidFill>
                <a:srgbClr val="0066FF"/>
              </a:solidFill>
              <a:prstDash val="solid"/>
            </a:ln>
          </c:spPr>
          <c:invertIfNegative val="0"/>
          <c:cat>
            <c:numRef>
              <c:f>'tabel + figuren paper'!$Q$5:$Q$19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paper'!$S$5:$S$19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34</c:v>
                </c:pt>
                <c:pt idx="3">
                  <c:v>3986</c:v>
                </c:pt>
                <c:pt idx="4">
                  <c:v>14583</c:v>
                </c:pt>
                <c:pt idx="5">
                  <c:v>30841</c:v>
                </c:pt>
                <c:pt idx="6">
                  <c:v>7588</c:v>
                </c:pt>
                <c:pt idx="7">
                  <c:v>4722</c:v>
                </c:pt>
                <c:pt idx="8">
                  <c:v>2151</c:v>
                </c:pt>
                <c:pt idx="9">
                  <c:v>2090</c:v>
                </c:pt>
                <c:pt idx="10">
                  <c:v>470</c:v>
                </c:pt>
                <c:pt idx="11">
                  <c:v>222</c:v>
                </c:pt>
                <c:pt idx="12">
                  <c:v>183</c:v>
                </c:pt>
                <c:pt idx="1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1-4CB2-ADD7-64955475B3D1}"/>
            </c:ext>
          </c:extLst>
        </c:ser>
        <c:ser>
          <c:idx val="2"/>
          <c:order val="2"/>
          <c:tx>
            <c:strRef>
              <c:f>'tabel + figuren paper'!$T$4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</c:spPr>
          <c:invertIfNegative val="0"/>
          <c:cat>
            <c:numRef>
              <c:f>'tabel + figuren paper'!$Q$5:$Q$19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paper'!$T$5:$T$19</c:f>
              <c:numCache>
                <c:formatCode>General</c:formatCode>
                <c:ptCount val="15"/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435</c:v>
                </c:pt>
                <c:pt idx="6">
                  <c:v>417</c:v>
                </c:pt>
                <c:pt idx="7">
                  <c:v>1807</c:v>
                </c:pt>
                <c:pt idx="8">
                  <c:v>4187</c:v>
                </c:pt>
                <c:pt idx="9">
                  <c:v>16893</c:v>
                </c:pt>
                <c:pt idx="10">
                  <c:v>8559</c:v>
                </c:pt>
                <c:pt idx="11">
                  <c:v>423</c:v>
                </c:pt>
                <c:pt idx="12">
                  <c:v>7471</c:v>
                </c:pt>
                <c:pt idx="13">
                  <c:v>2067</c:v>
                </c:pt>
                <c:pt idx="1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51-4CB2-ADD7-64955475B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64256"/>
        <c:axId val="160066176"/>
      </c:barChart>
      <c:catAx>
        <c:axId val="16006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week °</a:t>
                </a:r>
              </a:p>
            </c:rich>
          </c:tx>
          <c:layout>
            <c:manualLayout>
              <c:xMode val="edge"/>
              <c:yMode val="edge"/>
              <c:x val="0.49422331583552054"/>
              <c:y val="0.921296296296296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0066176"/>
        <c:crosses val="autoZero"/>
        <c:auto val="1"/>
        <c:lblAlgn val="ctr"/>
        <c:lblOffset val="100"/>
        <c:noMultiLvlLbl val="0"/>
      </c:catAx>
      <c:valAx>
        <c:axId val="1600661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CPUE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2.2082239720034994E-3"/>
              <c:y val="0.336726450860309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60064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533333333333348"/>
          <c:y val="3.646106736657919E-2"/>
          <c:w val="0.12084733158355206"/>
          <c:h val="0.28477143482064743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618547681543"/>
          <c:y val="5.1400554097404488E-2"/>
          <c:w val="0.78776159230096243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 + figuren paper'!$R$4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rgbClr val="FF0000"/>
              </a:solidFill>
            </a:ln>
          </c:spPr>
          <c:invertIfNegative val="0"/>
          <c:cat>
            <c:numRef>
              <c:f>'tabel + figuren paper'!$Q$22:$Q$36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paper'!$R$22:$R$36</c:f>
              <c:numCache>
                <c:formatCode>General</c:formatCode>
                <c:ptCount val="15"/>
                <c:pt idx="3">
                  <c:v>0</c:v>
                </c:pt>
                <c:pt idx="4">
                  <c:v>13</c:v>
                </c:pt>
                <c:pt idx="5">
                  <c:v>90</c:v>
                </c:pt>
                <c:pt idx="6">
                  <c:v>7</c:v>
                </c:pt>
                <c:pt idx="7">
                  <c:v>3</c:v>
                </c:pt>
                <c:pt idx="8">
                  <c:v>24</c:v>
                </c:pt>
                <c:pt idx="9">
                  <c:v>13</c:v>
                </c:pt>
                <c:pt idx="10">
                  <c:v>10</c:v>
                </c:pt>
                <c:pt idx="11">
                  <c:v>8</c:v>
                </c:pt>
                <c:pt idx="12">
                  <c:v>103</c:v>
                </c:pt>
                <c:pt idx="13">
                  <c:v>125</c:v>
                </c:pt>
                <c:pt idx="1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8-449B-AC39-8BD038016E71}"/>
            </c:ext>
          </c:extLst>
        </c:ser>
        <c:ser>
          <c:idx val="1"/>
          <c:order val="1"/>
          <c:tx>
            <c:strRef>
              <c:f>'tabel + figuren paper'!$S$4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0066FF"/>
            </a:solidFill>
            <a:ln w="25400">
              <a:solidFill>
                <a:srgbClr val="0066FF"/>
              </a:solidFill>
              <a:prstDash val="solid"/>
            </a:ln>
          </c:spPr>
          <c:invertIfNegative val="0"/>
          <c:cat>
            <c:numRef>
              <c:f>'tabel + figuren paper'!$Q$22:$Q$36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paper'!$S$22:$S$36</c:f>
              <c:numCache>
                <c:formatCode>General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 formatCode="0">
                  <c:v>44</c:v>
                </c:pt>
                <c:pt idx="5">
                  <c:v>68</c:v>
                </c:pt>
                <c:pt idx="6">
                  <c:v>33</c:v>
                </c:pt>
                <c:pt idx="7">
                  <c:v>71</c:v>
                </c:pt>
                <c:pt idx="8">
                  <c:v>61</c:v>
                </c:pt>
                <c:pt idx="9" formatCode="0">
                  <c:v>46</c:v>
                </c:pt>
                <c:pt idx="10">
                  <c:v>71</c:v>
                </c:pt>
                <c:pt idx="11">
                  <c:v>76</c:v>
                </c:pt>
                <c:pt idx="12" formatCode="0">
                  <c:v>63</c:v>
                </c:pt>
                <c:pt idx="13" formatCode="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8-449B-AC39-8BD038016E71}"/>
            </c:ext>
          </c:extLst>
        </c:ser>
        <c:ser>
          <c:idx val="2"/>
          <c:order val="2"/>
          <c:tx>
            <c:strRef>
              <c:f>'tabel + figuren paper'!$T$4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</c:spPr>
          <c:invertIfNegative val="0"/>
          <c:cat>
            <c:numRef>
              <c:f>'tabel + figuren paper'!$Q$22:$Q$36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paper'!$T$22:$T$36</c:f>
              <c:numCache>
                <c:formatCode>General</c:formatCode>
                <c:ptCount val="15"/>
                <c:pt idx="2">
                  <c:v>0</c:v>
                </c:pt>
                <c:pt idx="3">
                  <c:v>0</c:v>
                </c:pt>
                <c:pt idx="4" formatCode="0">
                  <c:v>2</c:v>
                </c:pt>
                <c:pt idx="5" formatCode="0">
                  <c:v>26</c:v>
                </c:pt>
                <c:pt idx="6" formatCode="0">
                  <c:v>9</c:v>
                </c:pt>
                <c:pt idx="7" formatCode="0">
                  <c:v>16</c:v>
                </c:pt>
                <c:pt idx="8" formatCode="0">
                  <c:v>78</c:v>
                </c:pt>
                <c:pt idx="9" formatCode="0">
                  <c:v>282</c:v>
                </c:pt>
                <c:pt idx="10" formatCode="0">
                  <c:v>184</c:v>
                </c:pt>
                <c:pt idx="11" formatCode="0">
                  <c:v>74</c:v>
                </c:pt>
                <c:pt idx="12" formatCode="0">
                  <c:v>390</c:v>
                </c:pt>
                <c:pt idx="13" formatCode="0">
                  <c:v>623</c:v>
                </c:pt>
                <c:pt idx="14" formatCode="0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8-449B-AC39-8BD038016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00736"/>
        <c:axId val="160102656"/>
      </c:barChart>
      <c:catAx>
        <c:axId val="16010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week °</a:t>
                </a:r>
              </a:p>
            </c:rich>
          </c:tx>
          <c:layout>
            <c:manualLayout>
              <c:xMode val="edge"/>
              <c:yMode val="edge"/>
              <c:x val="0.49422331583552054"/>
              <c:y val="0.921296296296296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0102656"/>
        <c:crosses val="autoZero"/>
        <c:auto val="1"/>
        <c:lblAlgn val="ctr"/>
        <c:lblOffset val="100"/>
        <c:noMultiLvlLbl val="0"/>
      </c:catAx>
      <c:valAx>
        <c:axId val="1601026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CPUE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2.2082239720034994E-3"/>
              <c:y val="0.308948673082531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60100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103333333333334"/>
          <c:y val="4.5720326625838428E-2"/>
          <c:w val="0.12084733158355206"/>
          <c:h val="0.28477143482064743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21062992125984"/>
          <c:y val="5.1400554097404488E-2"/>
          <c:w val="0.84706889763779525"/>
          <c:h val="0.746732283464566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 + figuren paper'!$AH$3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cat>
            <c:multiLvlStrRef>
              <c:f>'tabel + figuren paper'!$AI$1:$CD$2</c:f>
              <c:multiLvlStrCache>
                <c:ptCount val="48"/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22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11</c:v>
                  </c:pt>
                  <c:pt idx="25">
                    <c:v>12</c:v>
                  </c:pt>
                  <c:pt idx="26">
                    <c:v>13</c:v>
                  </c:pt>
                  <c:pt idx="27">
                    <c:v>14</c:v>
                  </c:pt>
                  <c:pt idx="28">
                    <c:v>15</c:v>
                  </c:pt>
                  <c:pt idx="29">
                    <c:v>16</c:v>
                  </c:pt>
                  <c:pt idx="30">
                    <c:v>17</c:v>
                  </c:pt>
                  <c:pt idx="31">
                    <c:v>18</c:v>
                  </c:pt>
                  <c:pt idx="32">
                    <c:v>19</c:v>
                  </c:pt>
                  <c:pt idx="33">
                    <c:v>20</c:v>
                  </c:pt>
                  <c:pt idx="34">
                    <c:v>21</c:v>
                  </c:pt>
                  <c:pt idx="35">
                    <c:v>22</c:v>
                  </c:pt>
                  <c:pt idx="36">
                    <c:v>11</c:v>
                  </c:pt>
                  <c:pt idx="37">
                    <c:v>12</c:v>
                  </c:pt>
                  <c:pt idx="38">
                    <c:v>13</c:v>
                  </c:pt>
                  <c:pt idx="39">
                    <c:v>14</c:v>
                  </c:pt>
                  <c:pt idx="40">
                    <c:v>15</c:v>
                  </c:pt>
                  <c:pt idx="41">
                    <c:v>16</c:v>
                  </c:pt>
                  <c:pt idx="42">
                    <c:v>17</c:v>
                  </c:pt>
                  <c:pt idx="43">
                    <c:v>18</c:v>
                  </c:pt>
                  <c:pt idx="44">
                    <c:v>19</c:v>
                  </c:pt>
                  <c:pt idx="45">
                    <c:v>20</c:v>
                  </c:pt>
                  <c:pt idx="46">
                    <c:v>21</c:v>
                  </c:pt>
                  <c:pt idx="47">
                    <c:v>22</c:v>
                  </c:pt>
                </c:lvl>
                <c:lvl>
                  <c:pt idx="0">
                    <c:v>estuary</c:v>
                  </c:pt>
                  <c:pt idx="12">
                    <c:v>tidal barrier</c:v>
                  </c:pt>
                  <c:pt idx="24">
                    <c:v>middle canal</c:v>
                  </c:pt>
                  <c:pt idx="36">
                    <c:v>pumping station</c:v>
                  </c:pt>
                </c:lvl>
              </c:multiLvlStrCache>
            </c:multiLvlStrRef>
          </c:cat>
          <c:val>
            <c:numRef>
              <c:f>'tabel + figuren paper'!$AI$3:$CD$3</c:f>
              <c:numCache>
                <c:formatCode>0.00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0.33333333333333331</c:v>
                </c:pt>
                <c:pt idx="5">
                  <c:v>0</c:v>
                </c:pt>
                <c:pt idx="6">
                  <c:v>2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1.3333333333333333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1.5</c:v>
                </c:pt>
                <c:pt idx="18">
                  <c:v>0</c:v>
                </c:pt>
                <c:pt idx="19">
                  <c:v>0</c:v>
                </c:pt>
                <c:pt idx="20">
                  <c:v>0.16666666666666666</c:v>
                </c:pt>
                <c:pt idx="21">
                  <c:v>8.3333333333333339</c:v>
                </c:pt>
                <c:pt idx="22">
                  <c:v>7.833333333333333</c:v>
                </c:pt>
                <c:pt idx="23">
                  <c:v>8.1666666666666661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0.5</c:v>
                </c:pt>
                <c:pt idx="30">
                  <c:v>0.16666666666666666</c:v>
                </c:pt>
                <c:pt idx="31">
                  <c:v>0.5</c:v>
                </c:pt>
                <c:pt idx="32">
                  <c:v>0.16666666666666666</c:v>
                </c:pt>
                <c:pt idx="33">
                  <c:v>5.166666666666667</c:v>
                </c:pt>
                <c:pt idx="34">
                  <c:v>3.3333333333333335</c:v>
                </c:pt>
                <c:pt idx="35">
                  <c:v>4.166666666666667</c:v>
                </c:pt>
                <c:pt idx="36">
                  <c:v>0</c:v>
                </c:pt>
                <c:pt idx="37">
                  <c:v>2.1666666666666665</c:v>
                </c:pt>
                <c:pt idx="38">
                  <c:v>15</c:v>
                </c:pt>
                <c:pt idx="39">
                  <c:v>1.1666666666666667</c:v>
                </c:pt>
                <c:pt idx="40">
                  <c:v>0.5</c:v>
                </c:pt>
                <c:pt idx="41">
                  <c:v>1.8333333333333333</c:v>
                </c:pt>
                <c:pt idx="42">
                  <c:v>1.6666666666666667</c:v>
                </c:pt>
                <c:pt idx="43">
                  <c:v>1.1666666666666667</c:v>
                </c:pt>
                <c:pt idx="44">
                  <c:v>1</c:v>
                </c:pt>
                <c:pt idx="45">
                  <c:v>4.4000000000000004</c:v>
                </c:pt>
                <c:pt idx="46">
                  <c:v>8.3333333333333339</c:v>
                </c:pt>
                <c:pt idx="47">
                  <c:v>2.1666666666666665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1-4CCE-82E6-6B5BB7A5D47B}"/>
            </c:ext>
          </c:extLst>
        </c:ser>
        <c:ser>
          <c:idx val="1"/>
          <c:order val="1"/>
          <c:tx>
            <c:strRef>
              <c:f>'tabel + figuren paper'!$AH$4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0066FF"/>
            </a:solidFill>
            <a:ln>
              <a:solidFill>
                <a:srgbClr val="0066FF"/>
              </a:solidFill>
            </a:ln>
          </c:spPr>
          <c:invertIfNegative val="0"/>
          <c:cat>
            <c:multiLvlStrRef>
              <c:f>'tabel + figuren paper'!$AI$1:$CD$2</c:f>
              <c:multiLvlStrCache>
                <c:ptCount val="48"/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22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11</c:v>
                  </c:pt>
                  <c:pt idx="25">
                    <c:v>12</c:v>
                  </c:pt>
                  <c:pt idx="26">
                    <c:v>13</c:v>
                  </c:pt>
                  <c:pt idx="27">
                    <c:v>14</c:v>
                  </c:pt>
                  <c:pt idx="28">
                    <c:v>15</c:v>
                  </c:pt>
                  <c:pt idx="29">
                    <c:v>16</c:v>
                  </c:pt>
                  <c:pt idx="30">
                    <c:v>17</c:v>
                  </c:pt>
                  <c:pt idx="31">
                    <c:v>18</c:v>
                  </c:pt>
                  <c:pt idx="32">
                    <c:v>19</c:v>
                  </c:pt>
                  <c:pt idx="33">
                    <c:v>20</c:v>
                  </c:pt>
                  <c:pt idx="34">
                    <c:v>21</c:v>
                  </c:pt>
                  <c:pt idx="35">
                    <c:v>22</c:v>
                  </c:pt>
                  <c:pt idx="36">
                    <c:v>11</c:v>
                  </c:pt>
                  <c:pt idx="37">
                    <c:v>12</c:v>
                  </c:pt>
                  <c:pt idx="38">
                    <c:v>13</c:v>
                  </c:pt>
                  <c:pt idx="39">
                    <c:v>14</c:v>
                  </c:pt>
                  <c:pt idx="40">
                    <c:v>15</c:v>
                  </c:pt>
                  <c:pt idx="41">
                    <c:v>16</c:v>
                  </c:pt>
                  <c:pt idx="42">
                    <c:v>17</c:v>
                  </c:pt>
                  <c:pt idx="43">
                    <c:v>18</c:v>
                  </c:pt>
                  <c:pt idx="44">
                    <c:v>19</c:v>
                  </c:pt>
                  <c:pt idx="45">
                    <c:v>20</c:v>
                  </c:pt>
                  <c:pt idx="46">
                    <c:v>21</c:v>
                  </c:pt>
                  <c:pt idx="47">
                    <c:v>22</c:v>
                  </c:pt>
                </c:lvl>
                <c:lvl>
                  <c:pt idx="0">
                    <c:v>estuary</c:v>
                  </c:pt>
                  <c:pt idx="12">
                    <c:v>tidal barrier</c:v>
                  </c:pt>
                  <c:pt idx="24">
                    <c:v>middle canal</c:v>
                  </c:pt>
                  <c:pt idx="36">
                    <c:v>pumping station</c:v>
                  </c:pt>
                </c:lvl>
              </c:multiLvlStrCache>
            </c:multiLvlStrRef>
          </c:cat>
          <c:val>
            <c:numRef>
              <c:f>'tabel + figuren paper'!$AI$4:$CD$4</c:f>
              <c:numCache>
                <c:formatCode>0.00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2.3333333333333335</c:v>
                </c:pt>
                <c:pt idx="4">
                  <c:v>0</c:v>
                </c:pt>
                <c:pt idx="5">
                  <c:v>1.3333333333333333</c:v>
                </c:pt>
                <c:pt idx="6">
                  <c:v>3</c:v>
                </c:pt>
                <c:pt idx="7">
                  <c:v>2.3333333333333335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0.83333333333333337</c:v>
                </c:pt>
                <c:pt idx="16">
                  <c:v>0.33333333333333331</c:v>
                </c:pt>
                <c:pt idx="17">
                  <c:v>2.1666666666666665</c:v>
                </c:pt>
                <c:pt idx="18">
                  <c:v>1.1666666666666667</c:v>
                </c:pt>
                <c:pt idx="19">
                  <c:v>1.6666666666666667</c:v>
                </c:pt>
                <c:pt idx="20">
                  <c:v>2</c:v>
                </c:pt>
                <c:pt idx="21">
                  <c:v>4.666666666666667</c:v>
                </c:pt>
                <c:pt idx="22">
                  <c:v>5</c:v>
                </c:pt>
                <c:pt idx="23">
                  <c:v>12.166666666666666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0.5</c:v>
                </c:pt>
                <c:pt idx="29">
                  <c:v>2.3333333333333335</c:v>
                </c:pt>
                <c:pt idx="30">
                  <c:v>4.666666666666667</c:v>
                </c:pt>
                <c:pt idx="31">
                  <c:v>3.1666666666666665</c:v>
                </c:pt>
                <c:pt idx="32">
                  <c:v>4.5</c:v>
                </c:pt>
                <c:pt idx="33">
                  <c:v>2.3333333333333335</c:v>
                </c:pt>
                <c:pt idx="34">
                  <c:v>3.3333333333333335</c:v>
                </c:pt>
                <c:pt idx="35">
                  <c:v>7.666666666666667</c:v>
                </c:pt>
                <c:pt idx="36">
                  <c:v>0</c:v>
                </c:pt>
                <c:pt idx="37">
                  <c:v>2</c:v>
                </c:pt>
                <c:pt idx="38">
                  <c:v>6.333333333333333</c:v>
                </c:pt>
                <c:pt idx="39">
                  <c:v>9.6666666666666661</c:v>
                </c:pt>
                <c:pt idx="40">
                  <c:v>4.666666666666667</c:v>
                </c:pt>
                <c:pt idx="41">
                  <c:v>7</c:v>
                </c:pt>
                <c:pt idx="42">
                  <c:v>4.333333333333333</c:v>
                </c:pt>
                <c:pt idx="43">
                  <c:v>3.1666666666666665</c:v>
                </c:pt>
                <c:pt idx="44">
                  <c:v>4.833333333333333</c:v>
                </c:pt>
                <c:pt idx="45">
                  <c:v>5.666666666666667</c:v>
                </c:pt>
                <c:pt idx="46">
                  <c:v>2.1666666666666665</c:v>
                </c:pt>
                <c:pt idx="47">
                  <c:v>3.1666666666666665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1-4CCE-82E6-6B5BB7A5D47B}"/>
            </c:ext>
          </c:extLst>
        </c:ser>
        <c:ser>
          <c:idx val="2"/>
          <c:order val="2"/>
          <c:tx>
            <c:strRef>
              <c:f>'tabel + figuren paper'!$AH$5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rgbClr val="92D050"/>
              </a:solidFill>
            </a:ln>
          </c:spPr>
          <c:invertIfNegative val="0"/>
          <c:cat>
            <c:multiLvlStrRef>
              <c:f>'tabel + figuren paper'!$AI$1:$CD$2</c:f>
              <c:multiLvlStrCache>
                <c:ptCount val="48"/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17</c:v>
                  </c:pt>
                  <c:pt idx="7">
                    <c:v>18</c:v>
                  </c:pt>
                  <c:pt idx="8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22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11</c:v>
                  </c:pt>
                  <c:pt idx="25">
                    <c:v>12</c:v>
                  </c:pt>
                  <c:pt idx="26">
                    <c:v>13</c:v>
                  </c:pt>
                  <c:pt idx="27">
                    <c:v>14</c:v>
                  </c:pt>
                  <c:pt idx="28">
                    <c:v>15</c:v>
                  </c:pt>
                  <c:pt idx="29">
                    <c:v>16</c:v>
                  </c:pt>
                  <c:pt idx="30">
                    <c:v>17</c:v>
                  </c:pt>
                  <c:pt idx="31">
                    <c:v>18</c:v>
                  </c:pt>
                  <c:pt idx="32">
                    <c:v>19</c:v>
                  </c:pt>
                  <c:pt idx="33">
                    <c:v>20</c:v>
                  </c:pt>
                  <c:pt idx="34">
                    <c:v>21</c:v>
                  </c:pt>
                  <c:pt idx="35">
                    <c:v>22</c:v>
                  </c:pt>
                  <c:pt idx="36">
                    <c:v>11</c:v>
                  </c:pt>
                  <c:pt idx="37">
                    <c:v>12</c:v>
                  </c:pt>
                  <c:pt idx="38">
                    <c:v>13</c:v>
                  </c:pt>
                  <c:pt idx="39">
                    <c:v>14</c:v>
                  </c:pt>
                  <c:pt idx="40">
                    <c:v>15</c:v>
                  </c:pt>
                  <c:pt idx="41">
                    <c:v>16</c:v>
                  </c:pt>
                  <c:pt idx="42">
                    <c:v>17</c:v>
                  </c:pt>
                  <c:pt idx="43">
                    <c:v>18</c:v>
                  </c:pt>
                  <c:pt idx="44">
                    <c:v>19</c:v>
                  </c:pt>
                  <c:pt idx="45">
                    <c:v>20</c:v>
                  </c:pt>
                  <c:pt idx="46">
                    <c:v>21</c:v>
                  </c:pt>
                  <c:pt idx="47">
                    <c:v>22</c:v>
                  </c:pt>
                </c:lvl>
                <c:lvl>
                  <c:pt idx="0">
                    <c:v>estuary</c:v>
                  </c:pt>
                  <c:pt idx="12">
                    <c:v>tidal barrier</c:v>
                  </c:pt>
                  <c:pt idx="24">
                    <c:v>middle canal</c:v>
                  </c:pt>
                  <c:pt idx="36">
                    <c:v>pumping station</c:v>
                  </c:pt>
                </c:lvl>
              </c:multiLvlStrCache>
            </c:multiLvlStrRef>
          </c:cat>
          <c:val>
            <c:numRef>
              <c:f>'tabel + figuren paper'!$AI$5:$CD$5</c:f>
              <c:numCache>
                <c:formatCode>0.00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1.3333333333333333</c:v>
                </c:pt>
                <c:pt idx="3">
                  <c:v>1</c:v>
                </c:pt>
                <c:pt idx="4">
                  <c:v>1.3333333333333333</c:v>
                </c:pt>
                <c:pt idx="5">
                  <c:v>0.33333333333333331</c:v>
                </c:pt>
                <c:pt idx="6">
                  <c:v>1.3333333333333333</c:v>
                </c:pt>
                <c:pt idx="7">
                  <c:v>1</c:v>
                </c:pt>
                <c:pt idx="8">
                  <c:v>1.6666666666666667</c:v>
                </c:pt>
                <c:pt idx="9">
                  <c:v>0.66666666666666663</c:v>
                </c:pt>
                <c:pt idx="10">
                  <c:v>0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0.16666666666666666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1.1666666666666667</c:v>
                </c:pt>
                <c:pt idx="18">
                  <c:v>5.166666666666667</c:v>
                </c:pt>
                <c:pt idx="19">
                  <c:v>8</c:v>
                </c:pt>
                <c:pt idx="20">
                  <c:v>2.6666666666666665</c:v>
                </c:pt>
                <c:pt idx="21">
                  <c:v>24.166666666666668</c:v>
                </c:pt>
                <c:pt idx="22">
                  <c:v>45.833333333333336</c:v>
                </c:pt>
                <c:pt idx="23">
                  <c:v>14</c:v>
                </c:pt>
                <c:pt idx="24">
                  <c:v>0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0.33333333333333331</c:v>
                </c:pt>
                <c:pt idx="29">
                  <c:v>1.5</c:v>
                </c:pt>
                <c:pt idx="30">
                  <c:v>4.333333333333333</c:v>
                </c:pt>
                <c:pt idx="31">
                  <c:v>5.666666666666667</c:v>
                </c:pt>
                <c:pt idx="32">
                  <c:v>2</c:v>
                </c:pt>
                <c:pt idx="33">
                  <c:v>20.166666666666668</c:v>
                </c:pt>
                <c:pt idx="34">
                  <c:v>31.333333333333332</c:v>
                </c:pt>
                <c:pt idx="35">
                  <c:v>9.3333333333333339</c:v>
                </c:pt>
                <c:pt idx="36">
                  <c:v>0</c:v>
                </c:pt>
                <c:pt idx="37">
                  <c:v>0.16666666666666666</c:v>
                </c:pt>
                <c:pt idx="38">
                  <c:v>4.166666666666667</c:v>
                </c:pt>
                <c:pt idx="39">
                  <c:v>1.1666666666666667</c:v>
                </c:pt>
                <c:pt idx="40">
                  <c:v>1.8333333333333333</c:v>
                </c:pt>
                <c:pt idx="41">
                  <c:v>10.333333333333334</c:v>
                </c:pt>
                <c:pt idx="42">
                  <c:v>37.5</c:v>
                </c:pt>
                <c:pt idx="43">
                  <c:v>17</c:v>
                </c:pt>
                <c:pt idx="44">
                  <c:v>7.166666666666667</c:v>
                </c:pt>
                <c:pt idx="45">
                  <c:v>20.666666666666668</c:v>
                </c:pt>
                <c:pt idx="46">
                  <c:v>32</c:v>
                </c:pt>
                <c:pt idx="47">
                  <c:v>10.166666666666666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A1-4CCE-82E6-6B5BB7A5D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60187520"/>
        <c:axId val="160189056"/>
      </c:barChart>
      <c:catAx>
        <c:axId val="160187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/>
          <a:lstStyle/>
          <a:p>
            <a:pPr>
              <a:defRPr sz="1000"/>
            </a:pPr>
            <a:endParaRPr lang="nl-BE"/>
          </a:p>
        </c:txPr>
        <c:crossAx val="160189056"/>
        <c:crosses val="autoZero"/>
        <c:auto val="1"/>
        <c:lblAlgn val="ctr"/>
        <c:lblOffset val="100"/>
        <c:noMultiLvlLbl val="0"/>
      </c:catAx>
      <c:valAx>
        <c:axId val="160189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CPUE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1.437905368211952E-3"/>
              <c:y val="0.371155584718576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60187520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4737413142506123"/>
          <c:y val="4.5720326625838428E-2"/>
          <c:w val="7.5510614364693779E-2"/>
          <c:h val="0.2511515748031495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201618547681543"/>
          <c:y val="5.1400554097404488E-2"/>
          <c:w val="0.78776159230096243"/>
          <c:h val="0.767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'tabel + figuren paper'!$R$4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FF0000"/>
            </a:solidFill>
            <a:ln w="25400">
              <a:solidFill>
                <a:srgbClr val="FF0000"/>
              </a:solidFill>
            </a:ln>
          </c:spPr>
          <c:invertIfNegative val="0"/>
          <c:cat>
            <c:numRef>
              <c:f>'tabel + figuren paper'!$Q$39:$Q$53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paper'!$R$39:$R$53</c:f>
              <c:numCache>
                <c:formatCode>General</c:formatCode>
                <c:ptCount val="15"/>
                <c:pt idx="3">
                  <c:v>30</c:v>
                </c:pt>
                <c:pt idx="4">
                  <c:v>17</c:v>
                </c:pt>
                <c:pt idx="5">
                  <c:v>52</c:v>
                </c:pt>
                <c:pt idx="6">
                  <c:v>16</c:v>
                </c:pt>
                <c:pt idx="7">
                  <c:v>2</c:v>
                </c:pt>
                <c:pt idx="8">
                  <c:v>13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1-449A-8430-F278029A686C}"/>
            </c:ext>
          </c:extLst>
        </c:ser>
        <c:ser>
          <c:idx val="1"/>
          <c:order val="1"/>
          <c:tx>
            <c:strRef>
              <c:f>'tabel + figuren paper'!$S$4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0066FF"/>
            </a:solidFill>
            <a:ln w="25400">
              <a:solidFill>
                <a:srgbClr val="0066FF"/>
              </a:solidFill>
              <a:prstDash val="solid"/>
            </a:ln>
          </c:spPr>
          <c:invertIfNegative val="0"/>
          <c:cat>
            <c:numRef>
              <c:f>'tabel + figuren paper'!$Q$39:$Q$53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paper'!$S$39:$S$53</c:f>
              <c:numCache>
                <c:formatCode>General</c:formatCode>
                <c:ptCount val="15"/>
                <c:pt idx="1">
                  <c:v>0</c:v>
                </c:pt>
                <c:pt idx="2">
                  <c:v>36</c:v>
                </c:pt>
                <c:pt idx="3">
                  <c:v>134</c:v>
                </c:pt>
                <c:pt idx="4">
                  <c:v>63</c:v>
                </c:pt>
                <c:pt idx="5">
                  <c:v>36</c:v>
                </c:pt>
                <c:pt idx="6">
                  <c:v>20</c:v>
                </c:pt>
                <c:pt idx="7">
                  <c:v>8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1-449A-8430-F278029A686C}"/>
            </c:ext>
          </c:extLst>
        </c:ser>
        <c:ser>
          <c:idx val="2"/>
          <c:order val="2"/>
          <c:tx>
            <c:strRef>
              <c:f>'tabel + figuren paper'!$T$4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</c:spPr>
          <c:invertIfNegative val="0"/>
          <c:cat>
            <c:numRef>
              <c:f>'tabel + figuren paper'!$Q$39:$Q$53</c:f>
              <c:numCache>
                <c:formatCode>0</c:formatCode>
                <c:ptCount val="15"/>
                <c:pt idx="0" formatCode="General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cat>
          <c:val>
            <c:numRef>
              <c:f>'tabel + figuren paper'!$T$39:$T$53</c:f>
              <c:numCache>
                <c:formatCode>General</c:formatCode>
                <c:ptCount val="15"/>
                <c:pt idx="4" formatCode="0">
                  <c:v>17</c:v>
                </c:pt>
                <c:pt idx="5" formatCode="0">
                  <c:v>307</c:v>
                </c:pt>
                <c:pt idx="6" formatCode="0">
                  <c:v>206</c:v>
                </c:pt>
                <c:pt idx="7" formatCode="0">
                  <c:v>98</c:v>
                </c:pt>
                <c:pt idx="8" formatCode="0">
                  <c:v>176</c:v>
                </c:pt>
                <c:pt idx="9" formatCode="0">
                  <c:v>123</c:v>
                </c:pt>
                <c:pt idx="10" formatCode="0">
                  <c:v>60</c:v>
                </c:pt>
                <c:pt idx="12" formatCode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1-449A-8430-F278029A6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44096"/>
        <c:axId val="160246016"/>
      </c:barChart>
      <c:catAx>
        <c:axId val="16024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week °</a:t>
                </a:r>
              </a:p>
            </c:rich>
          </c:tx>
          <c:layout>
            <c:manualLayout>
              <c:xMode val="edge"/>
              <c:yMode val="edge"/>
              <c:x val="0.49422331583552054"/>
              <c:y val="0.921296296296296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0246016"/>
        <c:crosses val="autoZero"/>
        <c:auto val="1"/>
        <c:lblAlgn val="ctr"/>
        <c:lblOffset val="100"/>
        <c:noMultiLvlLbl val="0"/>
      </c:catAx>
      <c:valAx>
        <c:axId val="1602460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CPUE</a:t>
                </a:r>
                <a:endParaRPr lang="en-US" sz="1400" baseline="30000"/>
              </a:p>
            </c:rich>
          </c:tx>
          <c:layout>
            <c:manualLayout>
              <c:xMode val="edge"/>
              <c:yMode val="edge"/>
              <c:x val="2.2082239720034994E-3"/>
              <c:y val="0.308948673082531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60244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103333333333334"/>
          <c:y val="4.5720326625838428E-2"/>
          <c:w val="0.12084733158355206"/>
          <c:h val="0.28477143482064743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87729658792652"/>
          <c:y val="5.1400554097404488E-2"/>
          <c:w val="0.84204680664916887"/>
          <c:h val="0.74673228346456688"/>
        </c:manualLayout>
      </c:layout>
      <c:lineChart>
        <c:grouping val="standard"/>
        <c:varyColors val="0"/>
        <c:ser>
          <c:idx val="0"/>
          <c:order val="0"/>
          <c:tx>
            <c:strRef>
              <c:f>'tabel + figuren paper'!$R$56:$R$57</c:f>
              <c:strCache>
                <c:ptCount val="2"/>
                <c:pt idx="0">
                  <c:v>EL</c:v>
                </c:pt>
              </c:strCache>
            </c:strRef>
          </c:tx>
          <c:spPr>
            <a:ln w="25400">
              <a:solidFill>
                <a:srgbClr val="0066FF"/>
              </a:solidFill>
            </a:ln>
          </c:spPr>
          <c:marker>
            <c:symbol val="circle"/>
            <c:size val="3"/>
            <c:spPr>
              <a:solidFill>
                <a:schemeClr val="bg1"/>
              </a:solidFill>
              <a:ln w="15875">
                <a:solidFill>
                  <a:srgbClr val="0066FF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paper'!$R$58:$R$99</c:f>
              <c:numCache>
                <c:formatCode>0.0</c:formatCode>
                <c:ptCount val="42"/>
                <c:pt idx="1">
                  <c:v>72.821428571428569</c:v>
                </c:pt>
                <c:pt idx="2">
                  <c:v>71.820845921450157</c:v>
                </c:pt>
                <c:pt idx="3">
                  <c:v>70.549019607843135</c:v>
                </c:pt>
                <c:pt idx="4">
                  <c:v>71.275794862741634</c:v>
                </c:pt>
                <c:pt idx="5">
                  <c:v>70.125616174582802</c:v>
                </c:pt>
                <c:pt idx="6">
                  <c:v>70.062304230423038</c:v>
                </c:pt>
                <c:pt idx="7">
                  <c:v>70.263181865338723</c:v>
                </c:pt>
                <c:pt idx="8">
                  <c:v>70.561081081081085</c:v>
                </c:pt>
                <c:pt idx="9">
                  <c:v>70.448275862068968</c:v>
                </c:pt>
                <c:pt idx="10">
                  <c:v>69.930688591983568</c:v>
                </c:pt>
                <c:pt idx="11">
                  <c:v>69.540463458110509</c:v>
                </c:pt>
                <c:pt idx="12">
                  <c:v>69.067961165048544</c:v>
                </c:pt>
                <c:pt idx="15">
                  <c:v>72.970588235294116</c:v>
                </c:pt>
                <c:pt idx="16">
                  <c:v>70.296642548805494</c:v>
                </c:pt>
                <c:pt idx="17">
                  <c:v>69.459976395609573</c:v>
                </c:pt>
                <c:pt idx="18">
                  <c:v>69.304440063091491</c:v>
                </c:pt>
                <c:pt idx="19">
                  <c:v>69.282690572989452</c:v>
                </c:pt>
                <c:pt idx="20">
                  <c:v>69.264637865311315</c:v>
                </c:pt>
                <c:pt idx="21">
                  <c:v>68.330746734735058</c:v>
                </c:pt>
                <c:pt idx="22">
                  <c:v>67.616925300263645</c:v>
                </c:pt>
                <c:pt idx="23">
                  <c:v>68.944073425114723</c:v>
                </c:pt>
                <c:pt idx="24">
                  <c:v>69.066486486486482</c:v>
                </c:pt>
                <c:pt idx="25">
                  <c:v>68.197214186220918</c:v>
                </c:pt>
                <c:pt idx="26">
                  <c:v>68.204545454545467</c:v>
                </c:pt>
                <c:pt idx="32">
                  <c:v>72.800308478239515</c:v>
                </c:pt>
                <c:pt idx="33">
                  <c:v>71.026565682232786</c:v>
                </c:pt>
                <c:pt idx="34">
                  <c:v>69.790750507099389</c:v>
                </c:pt>
                <c:pt idx="35">
                  <c:v>69.565986984815609</c:v>
                </c:pt>
                <c:pt idx="36">
                  <c:v>69.397003212084385</c:v>
                </c:pt>
                <c:pt idx="37">
                  <c:v>70.062111798058751</c:v>
                </c:pt>
                <c:pt idx="38">
                  <c:v>70.74316784869977</c:v>
                </c:pt>
                <c:pt idx="39">
                  <c:v>70.441697229286561</c:v>
                </c:pt>
                <c:pt idx="40">
                  <c:v>70.613507498790511</c:v>
                </c:pt>
                <c:pt idx="41">
                  <c:v>70.039746835443026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5-4AED-B026-06CE36E01CB1}"/>
            </c:ext>
          </c:extLst>
        </c:ser>
        <c:ser>
          <c:idx val="1"/>
          <c:order val="1"/>
          <c:tx>
            <c:strRef>
              <c:f>'tabel + figuren paper'!$S$56:$S$57</c:f>
              <c:strCache>
                <c:ptCount val="2"/>
                <c:pt idx="0">
                  <c:v>AS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paper'!$S$58:$S$99</c:f>
              <c:numCache>
                <c:formatCode>General</c:formatCode>
                <c:ptCount val="42"/>
                <c:pt idx="3" formatCode="0.0">
                  <c:v>71.109090909090909</c:v>
                </c:pt>
                <c:pt idx="4" formatCode="0.0">
                  <c:v>70.714285714285708</c:v>
                </c:pt>
                <c:pt idx="6" formatCode="0.0">
                  <c:v>69.666666666666671</c:v>
                </c:pt>
                <c:pt idx="7" formatCode="0.0">
                  <c:v>71.461538461538467</c:v>
                </c:pt>
                <c:pt idx="8" formatCode="0.0">
                  <c:v>68.5</c:v>
                </c:pt>
                <c:pt idx="9" formatCode="0.0">
                  <c:v>69.375</c:v>
                </c:pt>
                <c:pt idx="10" formatCode="0.0">
                  <c:v>71.097087378640779</c:v>
                </c:pt>
                <c:pt idx="11" formatCode="0.0">
                  <c:v>69.288135593220332</c:v>
                </c:pt>
                <c:pt idx="12" formatCode="0.0">
                  <c:v>70.8735632183908</c:v>
                </c:pt>
                <c:pt idx="16" formatCode="0.0">
                  <c:v>69.666666666666671</c:v>
                </c:pt>
                <c:pt idx="17" formatCode="0.0">
                  <c:v>68.38636363636364</c:v>
                </c:pt>
                <c:pt idx="18" formatCode="0.0">
                  <c:v>68.411764705882348</c:v>
                </c:pt>
                <c:pt idx="19" formatCode="0.0">
                  <c:v>67.757575757575751</c:v>
                </c:pt>
                <c:pt idx="20" formatCode="0.0">
                  <c:v>67.718309859154928</c:v>
                </c:pt>
                <c:pt idx="21" formatCode="0.0">
                  <c:v>68.049180327868854</c:v>
                </c:pt>
                <c:pt idx="22" formatCode="0.0">
                  <c:v>68.36363636363636</c:v>
                </c:pt>
                <c:pt idx="23" formatCode="0.0">
                  <c:v>68.098591549295776</c:v>
                </c:pt>
                <c:pt idx="24" formatCode="0.0">
                  <c:v>67.94736842105263</c:v>
                </c:pt>
                <c:pt idx="25" formatCode="0.0">
                  <c:v>70.365079365079367</c:v>
                </c:pt>
                <c:pt idx="26" formatCode="0.0">
                  <c:v>72.637583892617457</c:v>
                </c:pt>
                <c:pt idx="32" formatCode="0.0">
                  <c:v>70.28</c:v>
                </c:pt>
                <c:pt idx="33" formatCode="0.0">
                  <c:v>71.555555555555557</c:v>
                </c:pt>
                <c:pt idx="34" formatCode="0.0">
                  <c:v>70.0625</c:v>
                </c:pt>
                <c:pt idx="35" formatCode="0.0">
                  <c:v>69.389610389610397</c:v>
                </c:pt>
                <c:pt idx="36" formatCode="0.0">
                  <c:v>69.297468354430379</c:v>
                </c:pt>
                <c:pt idx="37" formatCode="0.0">
                  <c:v>68.639534883720927</c:v>
                </c:pt>
                <c:pt idx="38" formatCode="0.0">
                  <c:v>69.041095890410958</c:v>
                </c:pt>
                <c:pt idx="39" formatCode="0.0">
                  <c:v>70.058419243986251</c:v>
                </c:pt>
                <c:pt idx="40" formatCode="0.0">
                  <c:v>70.424342105263165</c:v>
                </c:pt>
                <c:pt idx="41" formatCode="0.0">
                  <c:v>70.743718592964825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15-4AED-B026-06CE36E01CB1}"/>
            </c:ext>
          </c:extLst>
        </c:ser>
        <c:ser>
          <c:idx val="2"/>
          <c:order val="2"/>
          <c:tx>
            <c:strRef>
              <c:f>'tabel + figuren paper'!$T$56:$T$57</c:f>
              <c:strCache>
                <c:ptCount val="2"/>
                <c:pt idx="0">
                  <c:v>LN</c:v>
                </c:pt>
              </c:strCache>
            </c:strRef>
          </c:tx>
          <c:spPr>
            <a:ln w="25400">
              <a:solidFill>
                <a:srgbClr val="92D050"/>
              </a:solidFill>
            </a:ln>
          </c:spPr>
          <c:marker>
            <c:symbol val="triangle"/>
            <c:size val="3"/>
            <c:spPr>
              <a:solidFill>
                <a:schemeClr val="bg1"/>
              </a:solidFill>
              <a:ln>
                <a:solidFill>
                  <a:srgbClr val="92D050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paper'!$T$58:$T$99</c:f>
              <c:numCache>
                <c:formatCode>0.0</c:formatCode>
                <c:ptCount val="42"/>
                <c:pt idx="1">
                  <c:v>73.7</c:v>
                </c:pt>
                <c:pt idx="2">
                  <c:v>71.705882352941174</c:v>
                </c:pt>
                <c:pt idx="3">
                  <c:v>72.634615384615387</c:v>
                </c:pt>
                <c:pt idx="4">
                  <c:v>72.8125</c:v>
                </c:pt>
                <c:pt idx="6">
                  <c:v>71.307692307692307</c:v>
                </c:pt>
                <c:pt idx="15">
                  <c:v>70.083333333333329</c:v>
                </c:pt>
                <c:pt idx="16">
                  <c:v>70.400000000000006</c:v>
                </c:pt>
                <c:pt idx="17">
                  <c:v>69.509803921568633</c:v>
                </c:pt>
                <c:pt idx="18">
                  <c:v>69.666666666666671</c:v>
                </c:pt>
                <c:pt idx="19">
                  <c:v>70.400000000000006</c:v>
                </c:pt>
                <c:pt idx="20">
                  <c:v>66.75</c:v>
                </c:pt>
                <c:pt idx="31">
                  <c:v>70.82352941176471</c:v>
                </c:pt>
                <c:pt idx="32">
                  <c:v>71</c:v>
                </c:pt>
                <c:pt idx="33">
                  <c:v>70.716981132075475</c:v>
                </c:pt>
                <c:pt idx="34">
                  <c:v>71.115384615384613</c:v>
                </c:pt>
                <c:pt idx="35">
                  <c:v>68.745098039215691</c:v>
                </c:pt>
                <c:pt idx="36">
                  <c:v>69.980392156862749</c:v>
                </c:pt>
                <c:pt idx="37">
                  <c:v>69.275862068965523</c:v>
                </c:pt>
                <c:pt idx="39">
                  <c:v>69.263157894736835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15-4AED-B026-06CE36E0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78400"/>
        <c:axId val="161880704"/>
      </c:lineChart>
      <c:catAx>
        <c:axId val="161878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/>
          <a:lstStyle/>
          <a:p>
            <a:pPr>
              <a:defRPr sz="800"/>
            </a:pPr>
            <a:endParaRPr lang="nl-BE"/>
          </a:p>
        </c:txPr>
        <c:crossAx val="161880704"/>
        <c:crosses val="autoZero"/>
        <c:auto val="1"/>
        <c:lblAlgn val="ctr"/>
        <c:lblOffset val="100"/>
        <c:noMultiLvlLbl val="0"/>
      </c:catAx>
      <c:valAx>
        <c:axId val="161880704"/>
        <c:scaling>
          <c:orientation val="minMax"/>
          <c:min val="6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mean length (mm)</a:t>
                </a:r>
              </a:p>
            </c:rich>
          </c:tx>
          <c:layout>
            <c:manualLayout>
              <c:xMode val="edge"/>
              <c:yMode val="edge"/>
              <c:x val="1.0973988058029934E-2"/>
              <c:y val="0.20168362433814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61878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570791732094043"/>
          <c:y val="0.60450104492076973"/>
          <c:w val="0.11294466316710411"/>
          <c:h val="0.16781824146981628"/>
        </c:manualLayout>
      </c:layout>
      <c:overlay val="0"/>
      <c:txPr>
        <a:bodyPr/>
        <a:lstStyle/>
        <a:p>
          <a:pPr>
            <a:defRPr sz="1200"/>
          </a:pPr>
          <a:endParaRPr lang="nl-B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87729658792652"/>
          <c:y val="5.1400554097404488E-2"/>
          <c:w val="0.84204680664916887"/>
          <c:h val="0.74673228346456688"/>
        </c:manualLayout>
      </c:layout>
      <c:lineChart>
        <c:grouping val="standard"/>
        <c:varyColors val="0"/>
        <c:ser>
          <c:idx val="0"/>
          <c:order val="0"/>
          <c:tx>
            <c:strRef>
              <c:f>'tabel + figuren paper'!$V$56:$V$57</c:f>
              <c:strCache>
                <c:ptCount val="2"/>
                <c:pt idx="0">
                  <c:v>EL</c:v>
                </c:pt>
              </c:strCache>
            </c:strRef>
          </c:tx>
          <c:spPr>
            <a:ln w="25400">
              <a:solidFill>
                <a:srgbClr val="0066FF"/>
              </a:solidFill>
            </a:ln>
          </c:spPr>
          <c:marker>
            <c:symbol val="circle"/>
            <c:size val="3"/>
            <c:spPr>
              <a:solidFill>
                <a:schemeClr val="bg1"/>
              </a:solidFill>
              <a:ln w="15875">
                <a:solidFill>
                  <a:srgbClr val="0066FF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paper'!$V$58:$V$99</c:f>
              <c:numCache>
                <c:formatCode>0</c:formatCode>
                <c:ptCount val="42"/>
                <c:pt idx="1">
                  <c:v>330.80357142857144</c:v>
                </c:pt>
                <c:pt idx="2">
                  <c:v>314.43717522658613</c:v>
                </c:pt>
                <c:pt idx="3">
                  <c:v>289.29411764705884</c:v>
                </c:pt>
                <c:pt idx="4">
                  <c:v>315.59305499161439</c:v>
                </c:pt>
                <c:pt idx="5">
                  <c:v>286.53281771501923</c:v>
                </c:pt>
                <c:pt idx="6">
                  <c:v>285.60736273627361</c:v>
                </c:pt>
                <c:pt idx="7">
                  <c:v>289.97314244216204</c:v>
                </c:pt>
                <c:pt idx="8">
                  <c:v>303.80506756756756</c:v>
                </c:pt>
                <c:pt idx="9">
                  <c:v>314.79131034482759</c:v>
                </c:pt>
                <c:pt idx="10">
                  <c:v>276.48914696813978</c:v>
                </c:pt>
                <c:pt idx="11">
                  <c:v>300.77782531194293</c:v>
                </c:pt>
                <c:pt idx="12">
                  <c:v>295.92233009708735</c:v>
                </c:pt>
                <c:pt idx="15">
                  <c:v>326.8235294117647</c:v>
                </c:pt>
                <c:pt idx="16">
                  <c:v>294.70866140768032</c:v>
                </c:pt>
                <c:pt idx="17">
                  <c:v>271.03614304260589</c:v>
                </c:pt>
                <c:pt idx="18">
                  <c:v>295.91762530669467</c:v>
                </c:pt>
                <c:pt idx="19">
                  <c:v>287.3409852623555</c:v>
                </c:pt>
                <c:pt idx="20">
                  <c:v>288.39327827191869</c:v>
                </c:pt>
                <c:pt idx="21">
                  <c:v>250.84617738129697</c:v>
                </c:pt>
                <c:pt idx="22">
                  <c:v>286.24783634410699</c:v>
                </c:pt>
                <c:pt idx="23">
                  <c:v>290.56812015018778</c:v>
                </c:pt>
                <c:pt idx="24">
                  <c:v>312.28036036036031</c:v>
                </c:pt>
                <c:pt idx="25">
                  <c:v>275.40858459230691</c:v>
                </c:pt>
                <c:pt idx="26">
                  <c:v>246.68181818181819</c:v>
                </c:pt>
                <c:pt idx="32">
                  <c:v>329.10138716966304</c:v>
                </c:pt>
                <c:pt idx="33">
                  <c:v>295.52759404712691</c:v>
                </c:pt>
                <c:pt idx="34">
                  <c:v>287.17087221095341</c:v>
                </c:pt>
                <c:pt idx="35">
                  <c:v>276.88416485900217</c:v>
                </c:pt>
                <c:pt idx="36">
                  <c:v>258.01749804670544</c:v>
                </c:pt>
                <c:pt idx="37">
                  <c:v>296.90232514335139</c:v>
                </c:pt>
                <c:pt idx="38">
                  <c:v>284.51276595744679</c:v>
                </c:pt>
                <c:pt idx="39">
                  <c:v>271.98662294204257</c:v>
                </c:pt>
                <c:pt idx="40">
                  <c:v>273.9929172714078</c:v>
                </c:pt>
                <c:pt idx="41">
                  <c:v>244.77493670886076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9-4FF4-B127-AD49FF75A6FB}"/>
            </c:ext>
          </c:extLst>
        </c:ser>
        <c:ser>
          <c:idx val="1"/>
          <c:order val="1"/>
          <c:tx>
            <c:strRef>
              <c:f>'tabel + figuren paper'!$W$56:$W$57</c:f>
              <c:strCache>
                <c:ptCount val="2"/>
                <c:pt idx="0">
                  <c:v>AS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paper'!$W$58:$W$99</c:f>
              <c:numCache>
                <c:formatCode>General</c:formatCode>
                <c:ptCount val="42"/>
                <c:pt idx="3" formatCode="0">
                  <c:v>301.03636363636366</c:v>
                </c:pt>
                <c:pt idx="4" formatCode="0">
                  <c:v>294.71428571428572</c:v>
                </c:pt>
                <c:pt idx="6" formatCode="0">
                  <c:v>287.83333333333331</c:v>
                </c:pt>
                <c:pt idx="7" formatCode="0">
                  <c:v>306.53846153846155</c:v>
                </c:pt>
                <c:pt idx="8" formatCode="0">
                  <c:v>287.3</c:v>
                </c:pt>
                <c:pt idx="9" formatCode="0">
                  <c:v>317</c:v>
                </c:pt>
                <c:pt idx="10" formatCode="0">
                  <c:v>333.11650485436894</c:v>
                </c:pt>
                <c:pt idx="11" formatCode="0">
                  <c:v>328.31932773109241</c:v>
                </c:pt>
                <c:pt idx="12" formatCode="0">
                  <c:v>359.70114942528738</c:v>
                </c:pt>
                <c:pt idx="16" formatCode="0">
                  <c:v>313</c:v>
                </c:pt>
                <c:pt idx="17" formatCode="0">
                  <c:v>275.11363636363637</c:v>
                </c:pt>
                <c:pt idx="18" formatCode="0">
                  <c:v>278.10294117647061</c:v>
                </c:pt>
                <c:pt idx="19" formatCode="0">
                  <c:v>267.39393939393938</c:v>
                </c:pt>
                <c:pt idx="20" formatCode="0">
                  <c:v>282.05633802816902</c:v>
                </c:pt>
                <c:pt idx="21" formatCode="0">
                  <c:v>267.5409836065574</c:v>
                </c:pt>
                <c:pt idx="22" formatCode="0">
                  <c:v>314.63636363636363</c:v>
                </c:pt>
                <c:pt idx="23" formatCode="0">
                  <c:v>306.56338028169012</c:v>
                </c:pt>
                <c:pt idx="24" formatCode="0">
                  <c:v>326.11842105263156</c:v>
                </c:pt>
                <c:pt idx="25">
                  <c:v>399</c:v>
                </c:pt>
                <c:pt idx="26" formatCode="0">
                  <c:v>434.56375838926175</c:v>
                </c:pt>
                <c:pt idx="32" formatCode="0">
                  <c:v>311.2</c:v>
                </c:pt>
                <c:pt idx="33" formatCode="0">
                  <c:v>286.44444444444446</c:v>
                </c:pt>
                <c:pt idx="34" formatCode="0">
                  <c:v>304.5</c:v>
                </c:pt>
                <c:pt idx="35" formatCode="0">
                  <c:v>285.54545454545456</c:v>
                </c:pt>
                <c:pt idx="36" formatCode="0">
                  <c:v>264.01265822784808</c:v>
                </c:pt>
                <c:pt idx="37" formatCode="0">
                  <c:v>278.65697674418607</c:v>
                </c:pt>
                <c:pt idx="38" formatCode="0">
                  <c:v>279.06849315068496</c:v>
                </c:pt>
                <c:pt idx="39" formatCode="0">
                  <c:v>293.26804123711338</c:v>
                </c:pt>
                <c:pt idx="40" formatCode="0">
                  <c:v>308.76973684210526</c:v>
                </c:pt>
                <c:pt idx="41" formatCode="0">
                  <c:v>327.42713567839195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9-4FF4-B127-AD49FF75A6FB}"/>
            </c:ext>
          </c:extLst>
        </c:ser>
        <c:ser>
          <c:idx val="2"/>
          <c:order val="2"/>
          <c:tx>
            <c:strRef>
              <c:f>'tabel + figuren paper'!$X$56:$X$57</c:f>
              <c:strCache>
                <c:ptCount val="2"/>
                <c:pt idx="0">
                  <c:v>LN</c:v>
                </c:pt>
              </c:strCache>
            </c:strRef>
          </c:tx>
          <c:spPr>
            <a:ln w="25400">
              <a:solidFill>
                <a:srgbClr val="92D050"/>
              </a:solidFill>
            </a:ln>
          </c:spPr>
          <c:marker>
            <c:symbol val="triangle"/>
            <c:size val="3"/>
            <c:spPr>
              <a:solidFill>
                <a:schemeClr val="bg1"/>
              </a:solidFill>
              <a:ln>
                <a:solidFill>
                  <a:srgbClr val="92D050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paper'!$X$58:$X$99</c:f>
              <c:numCache>
                <c:formatCode>0</c:formatCode>
                <c:ptCount val="42"/>
                <c:pt idx="1">
                  <c:v>348.93103448275861</c:v>
                </c:pt>
                <c:pt idx="2">
                  <c:v>311.88235294117646</c:v>
                </c:pt>
                <c:pt idx="3">
                  <c:v>339.03846153846155</c:v>
                </c:pt>
                <c:pt idx="4">
                  <c:v>335.625</c:v>
                </c:pt>
                <c:pt idx="6">
                  <c:v>281.30769230769232</c:v>
                </c:pt>
                <c:pt idx="15">
                  <c:v>290.66666666666669</c:v>
                </c:pt>
                <c:pt idx="16">
                  <c:v>304.44</c:v>
                </c:pt>
                <c:pt idx="17">
                  <c:v>279.03921568627453</c:v>
                </c:pt>
                <c:pt idx="18">
                  <c:v>287.83333333333331</c:v>
                </c:pt>
                <c:pt idx="19">
                  <c:v>288.3</c:v>
                </c:pt>
                <c:pt idx="20">
                  <c:v>293.875</c:v>
                </c:pt>
                <c:pt idx="31">
                  <c:v>346.70588235294116</c:v>
                </c:pt>
                <c:pt idx="32">
                  <c:v>312.69230769230768</c:v>
                </c:pt>
                <c:pt idx="33">
                  <c:v>305.24528301886795</c:v>
                </c:pt>
                <c:pt idx="34">
                  <c:v>294.17307692307691</c:v>
                </c:pt>
                <c:pt idx="35">
                  <c:v>271.31372549019608</c:v>
                </c:pt>
                <c:pt idx="36">
                  <c:v>266.94117647058823</c:v>
                </c:pt>
                <c:pt idx="37">
                  <c:v>278.5344827586207</c:v>
                </c:pt>
                <c:pt idx="39">
                  <c:v>257.73684210526318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A9-4FF4-B127-AD49FF75A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11552"/>
        <c:axId val="161913856"/>
      </c:lineChart>
      <c:catAx>
        <c:axId val="161911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/>
          <a:lstStyle/>
          <a:p>
            <a:pPr>
              <a:defRPr sz="800"/>
            </a:pPr>
            <a:endParaRPr lang="nl-BE"/>
          </a:p>
        </c:txPr>
        <c:crossAx val="161913856"/>
        <c:crosses val="autoZero"/>
        <c:auto val="1"/>
        <c:lblAlgn val="ctr"/>
        <c:lblOffset val="100"/>
        <c:noMultiLvlLbl val="0"/>
      </c:catAx>
      <c:valAx>
        <c:axId val="161913856"/>
        <c:scaling>
          <c:orientation val="minMax"/>
          <c:max val="450"/>
          <c:min val="2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mean weight (mg)</a:t>
                </a:r>
              </a:p>
            </c:rich>
          </c:tx>
          <c:layout>
            <c:manualLayout>
              <c:xMode val="edge"/>
              <c:yMode val="edge"/>
              <c:x val="1.0973988058029934E-2"/>
              <c:y val="0.2016836243381498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619115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87729658792652"/>
          <c:y val="5.1400554097404488E-2"/>
          <c:w val="0.84204680664916887"/>
          <c:h val="0.74673228346456688"/>
        </c:manualLayout>
      </c:layout>
      <c:lineChart>
        <c:grouping val="standard"/>
        <c:varyColors val="0"/>
        <c:ser>
          <c:idx val="0"/>
          <c:order val="0"/>
          <c:tx>
            <c:strRef>
              <c:f>'tabel + figuren paper'!$Z$56:$Z$57</c:f>
              <c:strCache>
                <c:ptCount val="2"/>
                <c:pt idx="0">
                  <c:v>EL</c:v>
                </c:pt>
              </c:strCache>
            </c:strRef>
          </c:tx>
          <c:spPr>
            <a:ln w="25400">
              <a:solidFill>
                <a:srgbClr val="0066FF"/>
              </a:solidFill>
            </a:ln>
          </c:spPr>
          <c:marker>
            <c:symbol val="circle"/>
            <c:size val="3"/>
            <c:spPr>
              <a:solidFill>
                <a:schemeClr val="bg1"/>
              </a:solidFill>
              <a:ln w="15875">
                <a:solidFill>
                  <a:srgbClr val="0066FF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paper'!$Z$58:$Z$99</c:f>
              <c:numCache>
                <c:formatCode>0.00</c:formatCode>
                <c:ptCount val="42"/>
                <c:pt idx="1">
                  <c:v>0.85020224227089025</c:v>
                </c:pt>
                <c:pt idx="2">
                  <c:v>0.98559943841346076</c:v>
                </c:pt>
                <c:pt idx="3">
                  <c:v>0.815828059419346</c:v>
                </c:pt>
                <c:pt idx="4">
                  <c:v>1.0169256616894047</c:v>
                </c:pt>
                <c:pt idx="5">
                  <c:v>0.96070337144874851</c:v>
                </c:pt>
                <c:pt idx="6">
                  <c:v>0.97621858818760199</c:v>
                </c:pt>
                <c:pt idx="7">
                  <c:v>0.97060853441755268</c:v>
                </c:pt>
                <c:pt idx="8">
                  <c:v>1.0087820359105271</c:v>
                </c:pt>
                <c:pt idx="9">
                  <c:v>1.0597109904889148</c:v>
                </c:pt>
                <c:pt idx="10">
                  <c:v>0.95103878954606813</c:v>
                </c:pt>
                <c:pt idx="11">
                  <c:v>1.0455249339092101</c:v>
                </c:pt>
                <c:pt idx="12">
                  <c:v>1.0488517304218474</c:v>
                </c:pt>
                <c:pt idx="15">
                  <c:v>0.98559705126646335</c:v>
                </c:pt>
                <c:pt idx="16">
                  <c:v>0.99242598117702285</c:v>
                </c:pt>
                <c:pt idx="17">
                  <c:v>0.94312874462799523</c:v>
                </c:pt>
                <c:pt idx="18">
                  <c:v>1.0394852939837271</c:v>
                </c:pt>
                <c:pt idx="19">
                  <c:v>1.0070927037426454</c:v>
                </c:pt>
                <c:pt idx="20">
                  <c:v>1.0131459806168801</c:v>
                </c:pt>
                <c:pt idx="21">
                  <c:v>0.91682834794582269</c:v>
                </c:pt>
                <c:pt idx="22">
                  <c:v>1.0817369154038192</c:v>
                </c:pt>
                <c:pt idx="23">
                  <c:v>1.0346364379089168</c:v>
                </c:pt>
                <c:pt idx="24">
                  <c:v>1.1070656388503335</c:v>
                </c:pt>
                <c:pt idx="25">
                  <c:v>1.0142815610460743</c:v>
                </c:pt>
                <c:pt idx="26">
                  <c:v>0.90745668917885747</c:v>
                </c:pt>
                <c:pt idx="32">
                  <c:v>0.97552442010218621</c:v>
                </c:pt>
                <c:pt idx="33">
                  <c:v>0.96150444496822152</c:v>
                </c:pt>
                <c:pt idx="34">
                  <c:v>0.98912712837683714</c:v>
                </c:pt>
                <c:pt idx="35">
                  <c:v>0.96098029726862721</c:v>
                </c:pt>
                <c:pt idx="36">
                  <c:v>0.89682331114347613</c:v>
                </c:pt>
                <c:pt idx="37">
                  <c:v>1.0051779443434206</c:v>
                </c:pt>
                <c:pt idx="38">
                  <c:v>0.93706946743378505</c:v>
                </c:pt>
                <c:pt idx="39">
                  <c:v>0.91354366094485118</c:v>
                </c:pt>
                <c:pt idx="40">
                  <c:v>0.91396853008919188</c:v>
                </c:pt>
                <c:pt idx="41">
                  <c:v>0.8301800844740217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8-4DFB-9E97-43DF2238D2F2}"/>
            </c:ext>
          </c:extLst>
        </c:ser>
        <c:ser>
          <c:idx val="1"/>
          <c:order val="1"/>
          <c:tx>
            <c:strRef>
              <c:f>'tabel + figuren paper'!$AA$56:$AA$57</c:f>
              <c:strCache>
                <c:ptCount val="2"/>
                <c:pt idx="0">
                  <c:v>AS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paper'!$AA$58:$AA$99</c:f>
              <c:numCache>
                <c:formatCode>General</c:formatCode>
                <c:ptCount val="42"/>
                <c:pt idx="3" formatCode="0.00">
                  <c:v>0.97107724618239166</c:v>
                </c:pt>
                <c:pt idx="4" formatCode="0.00">
                  <c:v>0.96327728973589954</c:v>
                </c:pt>
                <c:pt idx="5" formatCode="0.00">
                  <c:v>1.0241288005218374</c:v>
                </c:pt>
                <c:pt idx="6" formatCode="0.00">
                  <c:v>0.97766597075578543</c:v>
                </c:pt>
                <c:pt idx="7" formatCode="0.00">
                  <c:v>0.98858582369340842</c:v>
                </c:pt>
                <c:pt idx="8" formatCode="0.00">
                  <c:v>1.0283818581934538</c:v>
                </c:pt>
                <c:pt idx="9" formatCode="0.00">
                  <c:v>1.1121801350172258</c:v>
                </c:pt>
                <c:pt idx="10" formatCode="0.00">
                  <c:v>1.0780113283208652</c:v>
                </c:pt>
                <c:pt idx="11" formatCode="0.00">
                  <c:v>1.1669121332351196</c:v>
                </c:pt>
                <c:pt idx="12" formatCode="0.00">
                  <c:v>1.1749109160485109</c:v>
                </c:pt>
                <c:pt idx="16" formatCode="0.00">
                  <c:v>1.0784484428874663</c:v>
                </c:pt>
                <c:pt idx="17" formatCode="0.00">
                  <c:v>0.99844150276528831</c:v>
                </c:pt>
                <c:pt idx="18" formatCode="0.00">
                  <c:v>1.018097162590804</c:v>
                </c:pt>
                <c:pt idx="19" formatCode="0.00">
                  <c:v>1.0207789250218771</c:v>
                </c:pt>
                <c:pt idx="20" formatCode="0.00">
                  <c:v>1.057563925692018</c:v>
                </c:pt>
                <c:pt idx="21" formatCode="0.00">
                  <c:v>0.98947546314173185</c:v>
                </c:pt>
                <c:pt idx="22" formatCode="0.00">
                  <c:v>1.1562927754624392</c:v>
                </c:pt>
                <c:pt idx="23" formatCode="0.00">
                  <c:v>1.1334635363536005</c:v>
                </c:pt>
                <c:pt idx="24" formatCode="0.00">
                  <c:v>1.2129350681044888</c:v>
                </c:pt>
                <c:pt idx="25" formatCode="0.00">
                  <c:v>1.3377644618416351</c:v>
                </c:pt>
                <c:pt idx="26" formatCode="0.00">
                  <c:v>1.2983647756553132</c:v>
                </c:pt>
                <c:pt idx="31" formatCode="0.00">
                  <c:v>1.1087466548204905</c:v>
                </c:pt>
                <c:pt idx="32" formatCode="0.00">
                  <c:v>1.0444958797810828</c:v>
                </c:pt>
                <c:pt idx="33" formatCode="0.00">
                  <c:v>0.91041454505794028</c:v>
                </c:pt>
                <c:pt idx="34" formatCode="0.00">
                  <c:v>1.0301215667816326</c:v>
                </c:pt>
                <c:pt idx="35" formatCode="0.00">
                  <c:v>0.99465351402605007</c:v>
                </c:pt>
                <c:pt idx="36" formatCode="0.00">
                  <c:v>0.91652711425043365</c:v>
                </c:pt>
                <c:pt idx="37" formatCode="0.00">
                  <c:v>1.0032696168551445</c:v>
                </c:pt>
                <c:pt idx="38" formatCode="0.00">
                  <c:v>0.98625443288095915</c:v>
                </c:pt>
                <c:pt idx="39" formatCode="0.00">
                  <c:v>0.99586056299919046</c:v>
                </c:pt>
                <c:pt idx="40" formatCode="0.00">
                  <c:v>1.0296493232787736</c:v>
                </c:pt>
                <c:pt idx="41" formatCode="0.00">
                  <c:v>1.0747347153777391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8-4DFB-9E97-43DF2238D2F2}"/>
            </c:ext>
          </c:extLst>
        </c:ser>
        <c:ser>
          <c:idx val="2"/>
          <c:order val="2"/>
          <c:tx>
            <c:strRef>
              <c:f>'tabel + figuren paper'!$AB$56:$AB$57</c:f>
              <c:strCache>
                <c:ptCount val="2"/>
                <c:pt idx="0">
                  <c:v>LN</c:v>
                </c:pt>
              </c:strCache>
            </c:strRef>
          </c:tx>
          <c:spPr>
            <a:ln w="25400">
              <a:solidFill>
                <a:srgbClr val="92D050"/>
              </a:solidFill>
            </a:ln>
          </c:spPr>
          <c:marker>
            <c:symbol val="triangle"/>
            <c:size val="3"/>
            <c:spPr>
              <a:solidFill>
                <a:schemeClr val="bg1"/>
              </a:solidFill>
              <a:ln>
                <a:solidFill>
                  <a:srgbClr val="92D050"/>
                </a:solidFill>
              </a:ln>
            </c:spPr>
          </c:marker>
          <c:cat>
            <c:multiLvlStrRef>
              <c:f>'tabel + figuren paper'!$P$58:$Q$99</c:f>
              <c:multiLvlStrCache>
                <c:ptCount val="42"/>
                <c:lvl>
                  <c:pt idx="0">
                    <c:v>10</c:v>
                  </c:pt>
                  <c:pt idx="1">
                    <c:v>11</c:v>
                  </c:pt>
                  <c:pt idx="2">
                    <c:v>12</c:v>
                  </c:pt>
                  <c:pt idx="3">
                    <c:v>13</c:v>
                  </c:pt>
                  <c:pt idx="4">
                    <c:v>14</c:v>
                  </c:pt>
                  <c:pt idx="5">
                    <c:v>15</c:v>
                  </c:pt>
                  <c:pt idx="6">
                    <c:v>16</c:v>
                  </c:pt>
                  <c:pt idx="7">
                    <c:v>17</c:v>
                  </c:pt>
                  <c:pt idx="8">
                    <c:v>18</c:v>
                  </c:pt>
                  <c:pt idx="9">
                    <c:v>19</c:v>
                  </c:pt>
                  <c:pt idx="10">
                    <c:v>20</c:v>
                  </c:pt>
                  <c:pt idx="11">
                    <c:v>21</c:v>
                  </c:pt>
                  <c:pt idx="12">
                    <c:v>22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</c:lvl>
                <c:lvl>
                  <c:pt idx="0">
                    <c:v>2016</c:v>
                  </c:pt>
                  <c:pt idx="15">
                    <c:v>2017</c:v>
                  </c:pt>
                  <c:pt idx="29">
                    <c:v>2018</c:v>
                  </c:pt>
                </c:lvl>
              </c:multiLvlStrCache>
            </c:multiLvlStrRef>
          </c:cat>
          <c:val>
            <c:numRef>
              <c:f>'tabel + figuren paper'!$AB$58:$AB$99</c:f>
              <c:numCache>
                <c:formatCode>0.00</c:formatCode>
                <c:ptCount val="42"/>
                <c:pt idx="1">
                  <c:v>1.0165201485003152</c:v>
                </c:pt>
                <c:pt idx="2">
                  <c:v>0.98412309818301036</c:v>
                </c:pt>
                <c:pt idx="3">
                  <c:v>1.0352939231937621</c:v>
                </c:pt>
                <c:pt idx="4">
                  <c:v>1.0096744294139668</c:v>
                </c:pt>
                <c:pt idx="6">
                  <c:v>0.906564055600241</c:v>
                </c:pt>
                <c:pt idx="15">
                  <c:v>0.9863528274482215</c:v>
                </c:pt>
                <c:pt idx="16">
                  <c:v>1.0224832461299236</c:v>
                </c:pt>
                <c:pt idx="17">
                  <c:v>0.96972271995340631</c:v>
                </c:pt>
                <c:pt idx="18">
                  <c:v>0.99582076365575112</c:v>
                </c:pt>
                <c:pt idx="19">
                  <c:v>0.96592790136500262</c:v>
                </c:pt>
                <c:pt idx="20">
                  <c:v>1.1604370268477049</c:v>
                </c:pt>
                <c:pt idx="21">
                  <c:v>0.9677130163451293</c:v>
                </c:pt>
                <c:pt idx="31">
                  <c:v>1.1394403266582962</c:v>
                </c:pt>
                <c:pt idx="32">
                  <c:v>1.0179061094366519</c:v>
                </c:pt>
                <c:pt idx="33">
                  <c:v>1.0074991052310371</c:v>
                </c:pt>
                <c:pt idx="34">
                  <c:v>0.95570162043249185</c:v>
                </c:pt>
                <c:pt idx="35">
                  <c:v>0.97095957393785437</c:v>
                </c:pt>
                <c:pt idx="36">
                  <c:v>0.90713962231381917</c:v>
                </c:pt>
                <c:pt idx="37">
                  <c:v>0.98170014169358155</c:v>
                </c:pt>
                <c:pt idx="39">
                  <c:v>0.91378742836792448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8-4DFB-9E97-43DF2238D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18752"/>
        <c:axId val="162221056"/>
      </c:lineChart>
      <c:catAx>
        <c:axId val="162218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/>
          <a:lstStyle/>
          <a:p>
            <a:pPr>
              <a:defRPr sz="800"/>
            </a:pPr>
            <a:endParaRPr lang="nl-BE"/>
          </a:p>
        </c:txPr>
        <c:crossAx val="162221056"/>
        <c:crosses val="autoZero"/>
        <c:auto val="1"/>
        <c:lblAlgn val="ctr"/>
        <c:lblOffset val="100"/>
        <c:noMultiLvlLbl val="0"/>
      </c:catAx>
      <c:valAx>
        <c:axId val="162221056"/>
        <c:scaling>
          <c:orientation val="minMax"/>
          <c:max val="1.4"/>
          <c:min val="0.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condition (Kn)</a:t>
                </a:r>
              </a:p>
            </c:rich>
          </c:tx>
          <c:layout>
            <c:manualLayout>
              <c:xMode val="edge"/>
              <c:yMode val="edge"/>
              <c:x val="1.0973988058029934E-2"/>
              <c:y val="0.20168362433814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nl-BE"/>
          </a:p>
        </c:txPr>
        <c:crossAx val="1622187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'voedselopname 2018'!$K$6</c:f>
              <c:strCache>
                <c:ptCount val="1"/>
                <c:pt idx="0">
                  <c:v>F0</c:v>
                </c:pt>
              </c:strCache>
            </c:strRef>
          </c:tx>
          <c:invertIfNegative val="0"/>
          <c:cat>
            <c:numRef>
              <c:f>'voedselopname 2018'!$J$7:$J$15</c:f>
              <c:numCache>
                <c:formatCode>d\-mmm</c:formatCode>
                <c:ptCount val="9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43207</c:v>
                </c:pt>
                <c:pt idx="5">
                  <c:v>43214</c:v>
                </c:pt>
                <c:pt idx="6">
                  <c:v>43222</c:v>
                </c:pt>
                <c:pt idx="7">
                  <c:v>43234</c:v>
                </c:pt>
                <c:pt idx="8">
                  <c:v>43248</c:v>
                </c:pt>
              </c:numCache>
            </c:numRef>
          </c:cat>
          <c:val>
            <c:numRef>
              <c:f>'voedselopname 2018'!$K$7:$K$15</c:f>
              <c:numCache>
                <c:formatCode>0</c:formatCode>
                <c:ptCount val="9"/>
                <c:pt idx="0">
                  <c:v>64.705882352941174</c:v>
                </c:pt>
                <c:pt idx="1">
                  <c:v>62.745098039215684</c:v>
                </c:pt>
                <c:pt idx="2">
                  <c:v>35.849056603773583</c:v>
                </c:pt>
                <c:pt idx="3">
                  <c:v>50</c:v>
                </c:pt>
                <c:pt idx="4">
                  <c:v>27.450980392156865</c:v>
                </c:pt>
                <c:pt idx="5">
                  <c:v>5.8823529411764701</c:v>
                </c:pt>
                <c:pt idx="6">
                  <c:v>41.379310344827587</c:v>
                </c:pt>
                <c:pt idx="7">
                  <c:v>2.6315789473684208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2-465C-99AE-2816009590E6}"/>
            </c:ext>
          </c:extLst>
        </c:ser>
        <c:ser>
          <c:idx val="1"/>
          <c:order val="1"/>
          <c:tx>
            <c:strRef>
              <c:f>'voedselopname 2018'!$L$6</c:f>
              <c:strCache>
                <c:ptCount val="1"/>
                <c:pt idx="0">
                  <c:v>F--</c:v>
                </c:pt>
              </c:strCache>
            </c:strRef>
          </c:tx>
          <c:invertIfNegative val="0"/>
          <c:cat>
            <c:numRef>
              <c:f>'voedselopname 2018'!$J$7:$J$15</c:f>
              <c:numCache>
                <c:formatCode>d\-mmm</c:formatCode>
                <c:ptCount val="9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43207</c:v>
                </c:pt>
                <c:pt idx="5">
                  <c:v>43214</c:v>
                </c:pt>
                <c:pt idx="6">
                  <c:v>43222</c:v>
                </c:pt>
                <c:pt idx="7">
                  <c:v>43234</c:v>
                </c:pt>
                <c:pt idx="8">
                  <c:v>43248</c:v>
                </c:pt>
              </c:numCache>
            </c:numRef>
          </c:cat>
          <c:val>
            <c:numRef>
              <c:f>'voedselopname 2018'!$L$7:$L$15</c:f>
              <c:numCache>
                <c:formatCode>0</c:formatCode>
                <c:ptCount val="9"/>
                <c:pt idx="0">
                  <c:v>29.411764705882355</c:v>
                </c:pt>
                <c:pt idx="1">
                  <c:v>35.294117647058826</c:v>
                </c:pt>
                <c:pt idx="2">
                  <c:v>41.509433962264154</c:v>
                </c:pt>
                <c:pt idx="3">
                  <c:v>44.230769230769226</c:v>
                </c:pt>
                <c:pt idx="4">
                  <c:v>62.745098039215684</c:v>
                </c:pt>
                <c:pt idx="5">
                  <c:v>47.058823529411761</c:v>
                </c:pt>
                <c:pt idx="6">
                  <c:v>24.137931034482758</c:v>
                </c:pt>
                <c:pt idx="7">
                  <c:v>36.84210526315789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2-465C-99AE-2816009590E6}"/>
            </c:ext>
          </c:extLst>
        </c:ser>
        <c:ser>
          <c:idx val="2"/>
          <c:order val="2"/>
          <c:tx>
            <c:strRef>
              <c:f>'voedselopname 2018'!$M$6</c:f>
              <c:strCache>
                <c:ptCount val="1"/>
                <c:pt idx="0">
                  <c:v>F-</c:v>
                </c:pt>
              </c:strCache>
            </c:strRef>
          </c:tx>
          <c:invertIfNegative val="0"/>
          <c:cat>
            <c:numRef>
              <c:f>'voedselopname 2018'!$J$7:$J$15</c:f>
              <c:numCache>
                <c:formatCode>d\-mmm</c:formatCode>
                <c:ptCount val="9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43207</c:v>
                </c:pt>
                <c:pt idx="5">
                  <c:v>43214</c:v>
                </c:pt>
                <c:pt idx="6">
                  <c:v>43222</c:v>
                </c:pt>
                <c:pt idx="7">
                  <c:v>43234</c:v>
                </c:pt>
                <c:pt idx="8">
                  <c:v>43248</c:v>
                </c:pt>
              </c:numCache>
            </c:numRef>
          </c:cat>
          <c:val>
            <c:numRef>
              <c:f>'voedselopname 2018'!$M$7:$M$15</c:f>
              <c:numCache>
                <c:formatCode>0</c:formatCode>
                <c:ptCount val="9"/>
                <c:pt idx="0">
                  <c:v>5.8823529411764701</c:v>
                </c:pt>
                <c:pt idx="1">
                  <c:v>1.9607843137254901</c:v>
                </c:pt>
                <c:pt idx="2">
                  <c:v>18.867924528301888</c:v>
                </c:pt>
                <c:pt idx="3">
                  <c:v>3.8461538461538463</c:v>
                </c:pt>
                <c:pt idx="4">
                  <c:v>7.8431372549019605</c:v>
                </c:pt>
                <c:pt idx="5">
                  <c:v>25.490196078431371</c:v>
                </c:pt>
                <c:pt idx="6">
                  <c:v>12.068965517241379</c:v>
                </c:pt>
                <c:pt idx="7">
                  <c:v>23.684210526315788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2-465C-99AE-2816009590E6}"/>
            </c:ext>
          </c:extLst>
        </c:ser>
        <c:ser>
          <c:idx val="3"/>
          <c:order val="3"/>
          <c:tx>
            <c:strRef>
              <c:f>'voedselopname 2018'!$N$6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numRef>
              <c:f>'voedselopname 2018'!$J$7:$J$15</c:f>
              <c:numCache>
                <c:formatCode>d\-mmm</c:formatCode>
                <c:ptCount val="9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43207</c:v>
                </c:pt>
                <c:pt idx="5">
                  <c:v>43214</c:v>
                </c:pt>
                <c:pt idx="6">
                  <c:v>43222</c:v>
                </c:pt>
                <c:pt idx="7">
                  <c:v>43234</c:v>
                </c:pt>
                <c:pt idx="8">
                  <c:v>43248</c:v>
                </c:pt>
              </c:numCache>
            </c:numRef>
          </c:cat>
          <c:val>
            <c:numRef>
              <c:f>'voedselopname 2018'!$N$7:$N$15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1.8867924528301887</c:v>
                </c:pt>
                <c:pt idx="3">
                  <c:v>1.9230769230769231</c:v>
                </c:pt>
                <c:pt idx="4">
                  <c:v>1.9607843137254901</c:v>
                </c:pt>
                <c:pt idx="5">
                  <c:v>13.725490196078432</c:v>
                </c:pt>
                <c:pt idx="6">
                  <c:v>8.6206896551724146</c:v>
                </c:pt>
                <c:pt idx="7">
                  <c:v>7.8947368421052628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F2-465C-99AE-2816009590E6}"/>
            </c:ext>
          </c:extLst>
        </c:ser>
        <c:ser>
          <c:idx val="4"/>
          <c:order val="4"/>
          <c:tx>
            <c:strRef>
              <c:f>'voedselopname 2018'!$O$6</c:f>
              <c:strCache>
                <c:ptCount val="1"/>
                <c:pt idx="0">
                  <c:v>F+</c:v>
                </c:pt>
              </c:strCache>
            </c:strRef>
          </c:tx>
          <c:invertIfNegative val="0"/>
          <c:cat>
            <c:numRef>
              <c:f>'voedselopname 2018'!$J$7:$J$15</c:f>
              <c:numCache>
                <c:formatCode>d\-mmm</c:formatCode>
                <c:ptCount val="9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43207</c:v>
                </c:pt>
                <c:pt idx="5">
                  <c:v>43214</c:v>
                </c:pt>
                <c:pt idx="6">
                  <c:v>43222</c:v>
                </c:pt>
                <c:pt idx="7">
                  <c:v>43234</c:v>
                </c:pt>
                <c:pt idx="8">
                  <c:v>43248</c:v>
                </c:pt>
              </c:numCache>
            </c:numRef>
          </c:cat>
          <c:val>
            <c:numRef>
              <c:f>'voedselopname 2018'!$O$7:$O$15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1.8867924528301887</c:v>
                </c:pt>
                <c:pt idx="3">
                  <c:v>0</c:v>
                </c:pt>
                <c:pt idx="4">
                  <c:v>0</c:v>
                </c:pt>
                <c:pt idx="5">
                  <c:v>7.8431372549019605</c:v>
                </c:pt>
                <c:pt idx="6">
                  <c:v>13.793103448275861</c:v>
                </c:pt>
                <c:pt idx="7">
                  <c:v>28.947368421052634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F2-465C-99AE-281600959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9525120"/>
        <c:axId val="159535104"/>
      </c:barChart>
      <c:dateAx>
        <c:axId val="1595251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59535104"/>
        <c:crosses val="autoZero"/>
        <c:auto val="1"/>
        <c:lblOffset val="100"/>
        <c:baseTimeUnit val="days"/>
      </c:dateAx>
      <c:valAx>
        <c:axId val="159535104"/>
        <c:scaling>
          <c:orientation val="minMax"/>
          <c:max val="100"/>
        </c:scaling>
        <c:delete val="0"/>
        <c:axPos val="l"/>
        <c:numFmt formatCode="0" sourceLinked="1"/>
        <c:majorTickMark val="out"/>
        <c:minorTickMark val="none"/>
        <c:tickLblPos val="nextTo"/>
        <c:crossAx val="15952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'voedselopname 2018'!$K$6</c:f>
              <c:strCache>
                <c:ptCount val="1"/>
                <c:pt idx="0">
                  <c:v>F0</c:v>
                </c:pt>
              </c:strCache>
            </c:strRef>
          </c:tx>
          <c:invertIfNegative val="0"/>
          <c:cat>
            <c:numRef>
              <c:f>'voedselopname 2018'!$J$16:$J$31</c:f>
              <c:numCache>
                <c:formatCode>d\-mmm</c:formatCode>
                <c:ptCount val="16"/>
                <c:pt idx="0">
                  <c:v>43178</c:v>
                </c:pt>
                <c:pt idx="1">
                  <c:v>43186</c:v>
                </c:pt>
                <c:pt idx="2">
                  <c:v>43188</c:v>
                </c:pt>
                <c:pt idx="3">
                  <c:v>43192</c:v>
                </c:pt>
                <c:pt idx="4">
                  <c:v>43193</c:v>
                </c:pt>
                <c:pt idx="5">
                  <c:v>43196</c:v>
                </c:pt>
                <c:pt idx="6">
                  <c:v>43199</c:v>
                </c:pt>
                <c:pt idx="7">
                  <c:v>43200</c:v>
                </c:pt>
                <c:pt idx="8">
                  <c:v>43206</c:v>
                </c:pt>
                <c:pt idx="9">
                  <c:v>43213</c:v>
                </c:pt>
                <c:pt idx="10">
                  <c:v>43214</c:v>
                </c:pt>
                <c:pt idx="11">
                  <c:v>43222</c:v>
                </c:pt>
                <c:pt idx="12">
                  <c:v>43227</c:v>
                </c:pt>
                <c:pt idx="13">
                  <c:v>43234</c:v>
                </c:pt>
                <c:pt idx="14">
                  <c:v>43242</c:v>
                </c:pt>
                <c:pt idx="15">
                  <c:v>43248</c:v>
                </c:pt>
              </c:numCache>
            </c:numRef>
          </c:cat>
          <c:val>
            <c:numRef>
              <c:f>'voedselopname 2018'!$K$16:$K$31</c:f>
              <c:numCache>
                <c:formatCode>0</c:formatCode>
                <c:ptCount val="16"/>
                <c:pt idx="1">
                  <c:v>20</c:v>
                </c:pt>
                <c:pt idx="2">
                  <c:v>52.884615384615387</c:v>
                </c:pt>
                <c:pt idx="3">
                  <c:v>74.166666666666671</c:v>
                </c:pt>
                <c:pt idx="4">
                  <c:v>15.492957746478872</c:v>
                </c:pt>
                <c:pt idx="5">
                  <c:v>60</c:v>
                </c:pt>
                <c:pt idx="6">
                  <c:v>53.46534653465347</c:v>
                </c:pt>
                <c:pt idx="7">
                  <c:v>52.525252525252533</c:v>
                </c:pt>
                <c:pt idx="8">
                  <c:v>37</c:v>
                </c:pt>
                <c:pt idx="9">
                  <c:v>19.19191919191919</c:v>
                </c:pt>
                <c:pt idx="10">
                  <c:v>8</c:v>
                </c:pt>
                <c:pt idx="11">
                  <c:v>18.446601941747574</c:v>
                </c:pt>
                <c:pt idx="12">
                  <c:v>34.95145631067961</c:v>
                </c:pt>
                <c:pt idx="13">
                  <c:v>18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0-4E6D-AE72-BF574C66C1BC}"/>
            </c:ext>
          </c:extLst>
        </c:ser>
        <c:ser>
          <c:idx val="1"/>
          <c:order val="1"/>
          <c:tx>
            <c:strRef>
              <c:f>'voedselopname 2018'!$L$6</c:f>
              <c:strCache>
                <c:ptCount val="1"/>
                <c:pt idx="0">
                  <c:v>F--</c:v>
                </c:pt>
              </c:strCache>
            </c:strRef>
          </c:tx>
          <c:invertIfNegative val="0"/>
          <c:cat>
            <c:numRef>
              <c:f>'voedselopname 2018'!$J$16:$J$31</c:f>
              <c:numCache>
                <c:formatCode>d\-mmm</c:formatCode>
                <c:ptCount val="16"/>
                <c:pt idx="0">
                  <c:v>43178</c:v>
                </c:pt>
                <c:pt idx="1">
                  <c:v>43186</c:v>
                </c:pt>
                <c:pt idx="2">
                  <c:v>43188</c:v>
                </c:pt>
                <c:pt idx="3">
                  <c:v>43192</c:v>
                </c:pt>
                <c:pt idx="4">
                  <c:v>43193</c:v>
                </c:pt>
                <c:pt idx="5">
                  <c:v>43196</c:v>
                </c:pt>
                <c:pt idx="6">
                  <c:v>43199</c:v>
                </c:pt>
                <c:pt idx="7">
                  <c:v>43200</c:v>
                </c:pt>
                <c:pt idx="8">
                  <c:v>43206</c:v>
                </c:pt>
                <c:pt idx="9">
                  <c:v>43213</c:v>
                </c:pt>
                <c:pt idx="10">
                  <c:v>43214</c:v>
                </c:pt>
                <c:pt idx="11">
                  <c:v>43222</c:v>
                </c:pt>
                <c:pt idx="12">
                  <c:v>43227</c:v>
                </c:pt>
                <c:pt idx="13">
                  <c:v>43234</c:v>
                </c:pt>
                <c:pt idx="14">
                  <c:v>43242</c:v>
                </c:pt>
                <c:pt idx="15">
                  <c:v>43248</c:v>
                </c:pt>
              </c:numCache>
            </c:numRef>
          </c:cat>
          <c:val>
            <c:numRef>
              <c:f>'voedselopname 2018'!$L$16:$L$31</c:f>
              <c:numCache>
                <c:formatCode>0</c:formatCode>
                <c:ptCount val="16"/>
                <c:pt idx="1">
                  <c:v>66.666666666666657</c:v>
                </c:pt>
                <c:pt idx="2">
                  <c:v>36.538461538461533</c:v>
                </c:pt>
                <c:pt idx="3">
                  <c:v>23.333333333333332</c:v>
                </c:pt>
                <c:pt idx="4">
                  <c:v>56.338028169014088</c:v>
                </c:pt>
                <c:pt idx="5">
                  <c:v>37</c:v>
                </c:pt>
                <c:pt idx="6">
                  <c:v>38.613861386138616</c:v>
                </c:pt>
                <c:pt idx="7">
                  <c:v>38.383838383838381</c:v>
                </c:pt>
                <c:pt idx="8">
                  <c:v>46</c:v>
                </c:pt>
                <c:pt idx="9">
                  <c:v>47.474747474747474</c:v>
                </c:pt>
                <c:pt idx="10">
                  <c:v>49</c:v>
                </c:pt>
                <c:pt idx="11">
                  <c:v>20.388349514563107</c:v>
                </c:pt>
                <c:pt idx="12">
                  <c:v>27.184466019417474</c:v>
                </c:pt>
                <c:pt idx="13">
                  <c:v>20</c:v>
                </c:pt>
                <c:pt idx="14">
                  <c:v>12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D0-4E6D-AE72-BF574C66C1BC}"/>
            </c:ext>
          </c:extLst>
        </c:ser>
        <c:ser>
          <c:idx val="2"/>
          <c:order val="2"/>
          <c:tx>
            <c:strRef>
              <c:f>'voedselopname 2018'!$M$6</c:f>
              <c:strCache>
                <c:ptCount val="1"/>
                <c:pt idx="0">
                  <c:v>F-</c:v>
                </c:pt>
              </c:strCache>
            </c:strRef>
          </c:tx>
          <c:invertIfNegative val="0"/>
          <c:cat>
            <c:numRef>
              <c:f>'voedselopname 2018'!$J$16:$J$31</c:f>
              <c:numCache>
                <c:formatCode>d\-mmm</c:formatCode>
                <c:ptCount val="16"/>
                <c:pt idx="0">
                  <c:v>43178</c:v>
                </c:pt>
                <c:pt idx="1">
                  <c:v>43186</c:v>
                </c:pt>
                <c:pt idx="2">
                  <c:v>43188</c:v>
                </c:pt>
                <c:pt idx="3">
                  <c:v>43192</c:v>
                </c:pt>
                <c:pt idx="4">
                  <c:v>43193</c:v>
                </c:pt>
                <c:pt idx="5">
                  <c:v>43196</c:v>
                </c:pt>
                <c:pt idx="6">
                  <c:v>43199</c:v>
                </c:pt>
                <c:pt idx="7">
                  <c:v>43200</c:v>
                </c:pt>
                <c:pt idx="8">
                  <c:v>43206</c:v>
                </c:pt>
                <c:pt idx="9">
                  <c:v>43213</c:v>
                </c:pt>
                <c:pt idx="10">
                  <c:v>43214</c:v>
                </c:pt>
                <c:pt idx="11">
                  <c:v>43222</c:v>
                </c:pt>
                <c:pt idx="12">
                  <c:v>43227</c:v>
                </c:pt>
                <c:pt idx="13">
                  <c:v>43234</c:v>
                </c:pt>
                <c:pt idx="14">
                  <c:v>43242</c:v>
                </c:pt>
                <c:pt idx="15">
                  <c:v>43248</c:v>
                </c:pt>
              </c:numCache>
            </c:numRef>
          </c:cat>
          <c:val>
            <c:numRef>
              <c:f>'voedselopname 2018'!$M$16:$M$31</c:f>
              <c:numCache>
                <c:formatCode>0</c:formatCode>
                <c:ptCount val="16"/>
                <c:pt idx="1">
                  <c:v>6.666666666666667</c:v>
                </c:pt>
                <c:pt idx="2">
                  <c:v>10.576923076923077</c:v>
                </c:pt>
                <c:pt idx="3">
                  <c:v>2.5</c:v>
                </c:pt>
                <c:pt idx="4">
                  <c:v>25.352112676056336</c:v>
                </c:pt>
                <c:pt idx="5">
                  <c:v>2</c:v>
                </c:pt>
                <c:pt idx="6">
                  <c:v>7.9207920792079207</c:v>
                </c:pt>
                <c:pt idx="7">
                  <c:v>9.0909090909090917</c:v>
                </c:pt>
                <c:pt idx="8">
                  <c:v>8</c:v>
                </c:pt>
                <c:pt idx="9">
                  <c:v>25.252525252525253</c:v>
                </c:pt>
                <c:pt idx="10">
                  <c:v>32</c:v>
                </c:pt>
                <c:pt idx="11">
                  <c:v>28.155339805825243</c:v>
                </c:pt>
                <c:pt idx="12">
                  <c:v>12.621359223300971</c:v>
                </c:pt>
                <c:pt idx="13">
                  <c:v>13</c:v>
                </c:pt>
                <c:pt idx="14">
                  <c:v>4</c:v>
                </c:pt>
                <c:pt idx="1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D0-4E6D-AE72-BF574C66C1BC}"/>
            </c:ext>
          </c:extLst>
        </c:ser>
        <c:ser>
          <c:idx val="3"/>
          <c:order val="3"/>
          <c:tx>
            <c:strRef>
              <c:f>'voedselopname 2018'!$N$6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numRef>
              <c:f>'voedselopname 2018'!$J$16:$J$31</c:f>
              <c:numCache>
                <c:formatCode>d\-mmm</c:formatCode>
                <c:ptCount val="16"/>
                <c:pt idx="0">
                  <c:v>43178</c:v>
                </c:pt>
                <c:pt idx="1">
                  <c:v>43186</c:v>
                </c:pt>
                <c:pt idx="2">
                  <c:v>43188</c:v>
                </c:pt>
                <c:pt idx="3">
                  <c:v>43192</c:v>
                </c:pt>
                <c:pt idx="4">
                  <c:v>43193</c:v>
                </c:pt>
                <c:pt idx="5">
                  <c:v>43196</c:v>
                </c:pt>
                <c:pt idx="6">
                  <c:v>43199</c:v>
                </c:pt>
                <c:pt idx="7">
                  <c:v>43200</c:v>
                </c:pt>
                <c:pt idx="8">
                  <c:v>43206</c:v>
                </c:pt>
                <c:pt idx="9">
                  <c:v>43213</c:v>
                </c:pt>
                <c:pt idx="10">
                  <c:v>43214</c:v>
                </c:pt>
                <c:pt idx="11">
                  <c:v>43222</c:v>
                </c:pt>
                <c:pt idx="12">
                  <c:v>43227</c:v>
                </c:pt>
                <c:pt idx="13">
                  <c:v>43234</c:v>
                </c:pt>
                <c:pt idx="14">
                  <c:v>43242</c:v>
                </c:pt>
                <c:pt idx="15">
                  <c:v>43248</c:v>
                </c:pt>
              </c:numCache>
            </c:numRef>
          </c:cat>
          <c:val>
            <c:numRef>
              <c:f>'voedselopname 2018'!$N$16:$N$31</c:f>
              <c:numCache>
                <c:formatCode>0</c:formatCode>
                <c:ptCount val="16"/>
                <c:pt idx="1">
                  <c:v>6.666666666666667</c:v>
                </c:pt>
                <c:pt idx="2">
                  <c:v>0</c:v>
                </c:pt>
                <c:pt idx="3">
                  <c:v>0</c:v>
                </c:pt>
                <c:pt idx="4">
                  <c:v>2.8169014084507045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6.0606060606060606</c:v>
                </c:pt>
                <c:pt idx="10">
                  <c:v>6</c:v>
                </c:pt>
                <c:pt idx="11">
                  <c:v>17.475728155339805</c:v>
                </c:pt>
                <c:pt idx="12">
                  <c:v>12.621359223300971</c:v>
                </c:pt>
                <c:pt idx="13">
                  <c:v>16</c:v>
                </c:pt>
                <c:pt idx="14">
                  <c:v>6</c:v>
                </c:pt>
                <c:pt idx="1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D0-4E6D-AE72-BF574C66C1BC}"/>
            </c:ext>
          </c:extLst>
        </c:ser>
        <c:ser>
          <c:idx val="4"/>
          <c:order val="4"/>
          <c:tx>
            <c:strRef>
              <c:f>'voedselopname 2018'!$O$6</c:f>
              <c:strCache>
                <c:ptCount val="1"/>
                <c:pt idx="0">
                  <c:v>F+</c:v>
                </c:pt>
              </c:strCache>
            </c:strRef>
          </c:tx>
          <c:invertIfNegative val="0"/>
          <c:cat>
            <c:numRef>
              <c:f>'voedselopname 2018'!$J$16:$J$31</c:f>
              <c:numCache>
                <c:formatCode>d\-mmm</c:formatCode>
                <c:ptCount val="16"/>
                <c:pt idx="0">
                  <c:v>43178</c:v>
                </c:pt>
                <c:pt idx="1">
                  <c:v>43186</c:v>
                </c:pt>
                <c:pt idx="2">
                  <c:v>43188</c:v>
                </c:pt>
                <c:pt idx="3">
                  <c:v>43192</c:v>
                </c:pt>
                <c:pt idx="4">
                  <c:v>43193</c:v>
                </c:pt>
                <c:pt idx="5">
                  <c:v>43196</c:v>
                </c:pt>
                <c:pt idx="6">
                  <c:v>43199</c:v>
                </c:pt>
                <c:pt idx="7">
                  <c:v>43200</c:v>
                </c:pt>
                <c:pt idx="8">
                  <c:v>43206</c:v>
                </c:pt>
                <c:pt idx="9">
                  <c:v>43213</c:v>
                </c:pt>
                <c:pt idx="10">
                  <c:v>43214</c:v>
                </c:pt>
                <c:pt idx="11">
                  <c:v>43222</c:v>
                </c:pt>
                <c:pt idx="12">
                  <c:v>43227</c:v>
                </c:pt>
                <c:pt idx="13">
                  <c:v>43234</c:v>
                </c:pt>
                <c:pt idx="14">
                  <c:v>43242</c:v>
                </c:pt>
                <c:pt idx="15">
                  <c:v>43248</c:v>
                </c:pt>
              </c:numCache>
            </c:numRef>
          </c:cat>
          <c:val>
            <c:numRef>
              <c:f>'voedselopname 2018'!$O$16:$O$31</c:f>
              <c:numCache>
                <c:formatCode>0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2.0202020202020203</c:v>
                </c:pt>
                <c:pt idx="10">
                  <c:v>5</c:v>
                </c:pt>
                <c:pt idx="11">
                  <c:v>15.53398058252427</c:v>
                </c:pt>
                <c:pt idx="12">
                  <c:v>12.621359223300971</c:v>
                </c:pt>
                <c:pt idx="13">
                  <c:v>33</c:v>
                </c:pt>
                <c:pt idx="14">
                  <c:v>76</c:v>
                </c:pt>
                <c:pt idx="1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D0-4E6D-AE72-BF574C66C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59566464"/>
        <c:axId val="159572352"/>
      </c:barChart>
      <c:dateAx>
        <c:axId val="1595664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59572352"/>
        <c:crosses val="autoZero"/>
        <c:auto val="1"/>
        <c:lblOffset val="100"/>
        <c:baseTimeUnit val="days"/>
      </c:dateAx>
      <c:valAx>
        <c:axId val="159572352"/>
        <c:scaling>
          <c:orientation val="minMax"/>
          <c:max val="100"/>
        </c:scaling>
        <c:delete val="0"/>
        <c:axPos val="l"/>
        <c:numFmt formatCode="0" sourceLinked="1"/>
        <c:majorTickMark val="out"/>
        <c:minorTickMark val="none"/>
        <c:tickLblPos val="nextTo"/>
        <c:crossAx val="159566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'voedselopname 2018'!$K$6</c:f>
              <c:strCache>
                <c:ptCount val="1"/>
                <c:pt idx="0">
                  <c:v>F0</c:v>
                </c:pt>
              </c:strCache>
            </c:strRef>
          </c:tx>
          <c:invertIfNegative val="0"/>
          <c:cat>
            <c:numRef>
              <c:f>'voedselopname 2018'!$J$43:$J$53</c:f>
              <c:numCache>
                <c:formatCode>d\-mmm</c:formatCode>
                <c:ptCount val="11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43213</c:v>
                </c:pt>
                <c:pt idx="6">
                  <c:v>43222</c:v>
                </c:pt>
                <c:pt idx="7">
                  <c:v>43227</c:v>
                </c:pt>
                <c:pt idx="8">
                  <c:v>43234</c:v>
                </c:pt>
                <c:pt idx="9">
                  <c:v>43242</c:v>
                </c:pt>
                <c:pt idx="10">
                  <c:v>43248</c:v>
                </c:pt>
              </c:numCache>
            </c:numRef>
          </c:cat>
          <c:val>
            <c:numRef>
              <c:f>'voedselopname 2018'!$K$43:$K$53</c:f>
              <c:numCache>
                <c:formatCode>0</c:formatCode>
                <c:ptCount val="11"/>
                <c:pt idx="1">
                  <c:v>41.666666666666671</c:v>
                </c:pt>
                <c:pt idx="2">
                  <c:v>33.333333333333329</c:v>
                </c:pt>
                <c:pt idx="3">
                  <c:v>47.058823529411761</c:v>
                </c:pt>
                <c:pt idx="4">
                  <c:v>34.210526315789473</c:v>
                </c:pt>
                <c:pt idx="5">
                  <c:v>3.8216560509554141</c:v>
                </c:pt>
                <c:pt idx="6">
                  <c:v>9.8837209302325579</c:v>
                </c:pt>
                <c:pt idx="7">
                  <c:v>13.513513513513514</c:v>
                </c:pt>
                <c:pt idx="8">
                  <c:v>4.1237113402061851</c:v>
                </c:pt>
                <c:pt idx="9">
                  <c:v>0.6578947368421052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D-4FDB-A5AB-E74CCB6A44ED}"/>
            </c:ext>
          </c:extLst>
        </c:ser>
        <c:ser>
          <c:idx val="1"/>
          <c:order val="1"/>
          <c:tx>
            <c:strRef>
              <c:f>'voedselopname 2018'!$L$6</c:f>
              <c:strCache>
                <c:ptCount val="1"/>
                <c:pt idx="0">
                  <c:v>F--</c:v>
                </c:pt>
              </c:strCache>
            </c:strRef>
          </c:tx>
          <c:invertIfNegative val="0"/>
          <c:cat>
            <c:numRef>
              <c:f>'voedselopname 2018'!$J$43:$J$53</c:f>
              <c:numCache>
                <c:formatCode>d\-mmm</c:formatCode>
                <c:ptCount val="11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43213</c:v>
                </c:pt>
                <c:pt idx="6">
                  <c:v>43222</c:v>
                </c:pt>
                <c:pt idx="7">
                  <c:v>43227</c:v>
                </c:pt>
                <c:pt idx="8">
                  <c:v>43234</c:v>
                </c:pt>
                <c:pt idx="9">
                  <c:v>43242</c:v>
                </c:pt>
                <c:pt idx="10">
                  <c:v>43248</c:v>
                </c:pt>
              </c:numCache>
            </c:numRef>
          </c:cat>
          <c:val>
            <c:numRef>
              <c:f>'voedselopname 2018'!$L$43:$L$53</c:f>
              <c:numCache>
                <c:formatCode>0</c:formatCode>
                <c:ptCount val="11"/>
                <c:pt idx="1">
                  <c:v>45.833333333333329</c:v>
                </c:pt>
                <c:pt idx="2">
                  <c:v>44.444444444444443</c:v>
                </c:pt>
                <c:pt idx="3">
                  <c:v>52.941176470588239</c:v>
                </c:pt>
                <c:pt idx="4">
                  <c:v>47.368421052631575</c:v>
                </c:pt>
                <c:pt idx="5">
                  <c:v>38.216560509554142</c:v>
                </c:pt>
                <c:pt idx="6">
                  <c:v>7.5581395348837201</c:v>
                </c:pt>
                <c:pt idx="7">
                  <c:v>13.513513513513514</c:v>
                </c:pt>
                <c:pt idx="8">
                  <c:v>10.309278350515463</c:v>
                </c:pt>
                <c:pt idx="9">
                  <c:v>3.2894736842105261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D-4FDB-A5AB-E74CCB6A44ED}"/>
            </c:ext>
          </c:extLst>
        </c:ser>
        <c:ser>
          <c:idx val="2"/>
          <c:order val="2"/>
          <c:tx>
            <c:strRef>
              <c:f>'voedselopname 2018'!$M$6</c:f>
              <c:strCache>
                <c:ptCount val="1"/>
                <c:pt idx="0">
                  <c:v>F-</c:v>
                </c:pt>
              </c:strCache>
            </c:strRef>
          </c:tx>
          <c:invertIfNegative val="0"/>
          <c:cat>
            <c:numRef>
              <c:f>'voedselopname 2018'!$J$43:$J$53</c:f>
              <c:numCache>
                <c:formatCode>d\-mmm</c:formatCode>
                <c:ptCount val="11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43213</c:v>
                </c:pt>
                <c:pt idx="6">
                  <c:v>43222</c:v>
                </c:pt>
                <c:pt idx="7">
                  <c:v>43227</c:v>
                </c:pt>
                <c:pt idx="8">
                  <c:v>43234</c:v>
                </c:pt>
                <c:pt idx="9">
                  <c:v>43242</c:v>
                </c:pt>
                <c:pt idx="10">
                  <c:v>43248</c:v>
                </c:pt>
              </c:numCache>
            </c:numRef>
          </c:cat>
          <c:val>
            <c:numRef>
              <c:f>'voedselopname 2018'!$M$43:$M$53</c:f>
              <c:numCache>
                <c:formatCode>0</c:formatCode>
                <c:ptCount val="11"/>
                <c:pt idx="1">
                  <c:v>12.5</c:v>
                </c:pt>
                <c:pt idx="2">
                  <c:v>11.111111111111111</c:v>
                </c:pt>
                <c:pt idx="3">
                  <c:v>0</c:v>
                </c:pt>
                <c:pt idx="4">
                  <c:v>9.2105263157894726</c:v>
                </c:pt>
                <c:pt idx="5">
                  <c:v>38.216560509554142</c:v>
                </c:pt>
                <c:pt idx="6">
                  <c:v>10.465116279069768</c:v>
                </c:pt>
                <c:pt idx="7">
                  <c:v>10.810810810810811</c:v>
                </c:pt>
                <c:pt idx="8">
                  <c:v>9.9656357388316152</c:v>
                </c:pt>
                <c:pt idx="9">
                  <c:v>4.9342105263157894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CD-4FDB-A5AB-E74CCB6A44ED}"/>
            </c:ext>
          </c:extLst>
        </c:ser>
        <c:ser>
          <c:idx val="3"/>
          <c:order val="3"/>
          <c:tx>
            <c:strRef>
              <c:f>'voedselopname 2018'!$N$6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numRef>
              <c:f>'voedselopname 2018'!$J$43:$J$53</c:f>
              <c:numCache>
                <c:formatCode>d\-mmm</c:formatCode>
                <c:ptCount val="11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43213</c:v>
                </c:pt>
                <c:pt idx="6">
                  <c:v>43222</c:v>
                </c:pt>
                <c:pt idx="7">
                  <c:v>43227</c:v>
                </c:pt>
                <c:pt idx="8">
                  <c:v>43234</c:v>
                </c:pt>
                <c:pt idx="9">
                  <c:v>43242</c:v>
                </c:pt>
                <c:pt idx="10">
                  <c:v>43248</c:v>
                </c:pt>
              </c:numCache>
            </c:numRef>
          </c:cat>
          <c:val>
            <c:numRef>
              <c:f>'voedselopname 2018'!$N$43:$N$53</c:f>
              <c:numCache>
                <c:formatCode>0</c:formatCode>
                <c:ptCount val="11"/>
                <c:pt idx="1">
                  <c:v>0</c:v>
                </c:pt>
                <c:pt idx="2">
                  <c:v>11.111111111111111</c:v>
                </c:pt>
                <c:pt idx="3">
                  <c:v>0</c:v>
                </c:pt>
                <c:pt idx="4">
                  <c:v>9.2105263157894726</c:v>
                </c:pt>
                <c:pt idx="5">
                  <c:v>12.101910828025478</c:v>
                </c:pt>
                <c:pt idx="6">
                  <c:v>20.348837209302324</c:v>
                </c:pt>
                <c:pt idx="7">
                  <c:v>17.567567567567568</c:v>
                </c:pt>
                <c:pt idx="8">
                  <c:v>10.652920962199312</c:v>
                </c:pt>
                <c:pt idx="9">
                  <c:v>8.8815789473684212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CD-4FDB-A5AB-E74CCB6A44ED}"/>
            </c:ext>
          </c:extLst>
        </c:ser>
        <c:ser>
          <c:idx val="4"/>
          <c:order val="4"/>
          <c:tx>
            <c:strRef>
              <c:f>'voedselopname 2018'!$O$6</c:f>
              <c:strCache>
                <c:ptCount val="1"/>
                <c:pt idx="0">
                  <c:v>F+</c:v>
                </c:pt>
              </c:strCache>
            </c:strRef>
          </c:tx>
          <c:invertIfNegative val="0"/>
          <c:cat>
            <c:numRef>
              <c:f>'voedselopname 2018'!$J$43:$J$53</c:f>
              <c:numCache>
                <c:formatCode>d\-mmm</c:formatCode>
                <c:ptCount val="11"/>
                <c:pt idx="0">
                  <c:v>43178</c:v>
                </c:pt>
                <c:pt idx="1">
                  <c:v>43185</c:v>
                </c:pt>
                <c:pt idx="2">
                  <c:v>43193</c:v>
                </c:pt>
                <c:pt idx="3">
                  <c:v>43199</c:v>
                </c:pt>
                <c:pt idx="4">
                  <c:v>43206</c:v>
                </c:pt>
                <c:pt idx="5">
                  <c:v>43213</c:v>
                </c:pt>
                <c:pt idx="6">
                  <c:v>43222</c:v>
                </c:pt>
                <c:pt idx="7">
                  <c:v>43227</c:v>
                </c:pt>
                <c:pt idx="8">
                  <c:v>43234</c:v>
                </c:pt>
                <c:pt idx="9">
                  <c:v>43242</c:v>
                </c:pt>
                <c:pt idx="10">
                  <c:v>43248</c:v>
                </c:pt>
              </c:numCache>
            </c:numRef>
          </c:cat>
          <c:val>
            <c:numRef>
              <c:f>'voedselopname 2018'!$O$43:$O$53</c:f>
              <c:numCache>
                <c:formatCode>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7.6433121019108281</c:v>
                </c:pt>
                <c:pt idx="6">
                  <c:v>51.744186046511629</c:v>
                </c:pt>
                <c:pt idx="7">
                  <c:v>44.594594594594597</c:v>
                </c:pt>
                <c:pt idx="8">
                  <c:v>64.948453608247419</c:v>
                </c:pt>
                <c:pt idx="9">
                  <c:v>82.23684210526315</c:v>
                </c:pt>
                <c:pt idx="1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CD-4FDB-A5AB-E74CCB6A4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62028544"/>
        <c:axId val="162046720"/>
      </c:barChart>
      <c:dateAx>
        <c:axId val="16202854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62046720"/>
        <c:crosses val="autoZero"/>
        <c:auto val="1"/>
        <c:lblOffset val="100"/>
        <c:baseTimeUnit val="days"/>
      </c:dateAx>
      <c:valAx>
        <c:axId val="162046720"/>
        <c:scaling>
          <c:orientation val="minMax"/>
          <c:max val="100"/>
        </c:scaling>
        <c:delete val="0"/>
        <c:axPos val="l"/>
        <c:numFmt formatCode="0" sourceLinked="1"/>
        <c:majorTickMark val="out"/>
        <c:minorTickMark val="none"/>
        <c:tickLblPos val="nextTo"/>
        <c:crossAx val="16202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12" Type="http://schemas.openxmlformats.org/officeDocument/2006/relationships/chart" Target="../charts/chart43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11" Type="http://schemas.openxmlformats.org/officeDocument/2006/relationships/chart" Target="../charts/chart42.xml"/><Relationship Id="rId5" Type="http://schemas.openxmlformats.org/officeDocument/2006/relationships/chart" Target="../charts/chart36.xml"/><Relationship Id="rId10" Type="http://schemas.openxmlformats.org/officeDocument/2006/relationships/chart" Target="../charts/chart41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7.xml"/><Relationship Id="rId13" Type="http://schemas.openxmlformats.org/officeDocument/2006/relationships/chart" Target="../charts/chart62.xml"/><Relationship Id="rId18" Type="http://schemas.openxmlformats.org/officeDocument/2006/relationships/chart" Target="../charts/chart67.xml"/><Relationship Id="rId3" Type="http://schemas.openxmlformats.org/officeDocument/2006/relationships/chart" Target="../charts/chart52.xml"/><Relationship Id="rId21" Type="http://schemas.openxmlformats.org/officeDocument/2006/relationships/chart" Target="../charts/chart70.xml"/><Relationship Id="rId7" Type="http://schemas.openxmlformats.org/officeDocument/2006/relationships/chart" Target="../charts/chart56.xml"/><Relationship Id="rId12" Type="http://schemas.openxmlformats.org/officeDocument/2006/relationships/chart" Target="../charts/chart61.xml"/><Relationship Id="rId17" Type="http://schemas.openxmlformats.org/officeDocument/2006/relationships/chart" Target="../charts/chart66.xml"/><Relationship Id="rId2" Type="http://schemas.openxmlformats.org/officeDocument/2006/relationships/chart" Target="../charts/chart51.xml"/><Relationship Id="rId16" Type="http://schemas.openxmlformats.org/officeDocument/2006/relationships/chart" Target="../charts/chart65.xml"/><Relationship Id="rId20" Type="http://schemas.openxmlformats.org/officeDocument/2006/relationships/chart" Target="../charts/chart69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11" Type="http://schemas.openxmlformats.org/officeDocument/2006/relationships/chart" Target="../charts/chart60.xml"/><Relationship Id="rId5" Type="http://schemas.openxmlformats.org/officeDocument/2006/relationships/chart" Target="../charts/chart54.xml"/><Relationship Id="rId15" Type="http://schemas.openxmlformats.org/officeDocument/2006/relationships/chart" Target="../charts/chart64.xml"/><Relationship Id="rId10" Type="http://schemas.openxmlformats.org/officeDocument/2006/relationships/chart" Target="../charts/chart59.xml"/><Relationship Id="rId19" Type="http://schemas.openxmlformats.org/officeDocument/2006/relationships/chart" Target="../charts/chart68.xml"/><Relationship Id="rId4" Type="http://schemas.openxmlformats.org/officeDocument/2006/relationships/chart" Target="../charts/chart53.xml"/><Relationship Id="rId9" Type="http://schemas.openxmlformats.org/officeDocument/2006/relationships/chart" Target="../charts/chart58.xml"/><Relationship Id="rId14" Type="http://schemas.openxmlformats.org/officeDocument/2006/relationships/chart" Target="../charts/chart6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4" Type="http://schemas.openxmlformats.org/officeDocument/2006/relationships/chart" Target="../charts/chart7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45</xdr:row>
      <xdr:rowOff>185737</xdr:rowOff>
    </xdr:from>
    <xdr:to>
      <xdr:col>5</xdr:col>
      <xdr:colOff>933451</xdr:colOff>
      <xdr:row>62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1076325</xdr:colOff>
      <xdr:row>46</xdr:row>
      <xdr:rowOff>133350</xdr:rowOff>
    </xdr:from>
    <xdr:to>
      <xdr:col>12</xdr:col>
      <xdr:colOff>1028701</xdr:colOff>
      <xdr:row>63</xdr:row>
      <xdr:rowOff>33338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933450</xdr:colOff>
      <xdr:row>46</xdr:row>
      <xdr:rowOff>38100</xdr:rowOff>
    </xdr:from>
    <xdr:to>
      <xdr:col>19</xdr:col>
      <xdr:colOff>1038226</xdr:colOff>
      <xdr:row>62</xdr:row>
      <xdr:rowOff>138113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1847850</xdr:colOff>
      <xdr:row>151</xdr:row>
      <xdr:rowOff>104775</xdr:rowOff>
    </xdr:from>
    <xdr:to>
      <xdr:col>5</xdr:col>
      <xdr:colOff>828676</xdr:colOff>
      <xdr:row>168</xdr:row>
      <xdr:rowOff>4763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214</xdr:row>
      <xdr:rowOff>0</xdr:rowOff>
    </xdr:from>
    <xdr:to>
      <xdr:col>5</xdr:col>
      <xdr:colOff>904876</xdr:colOff>
      <xdr:row>230</xdr:row>
      <xdr:rowOff>100013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214</xdr:row>
      <xdr:rowOff>0</xdr:rowOff>
    </xdr:from>
    <xdr:to>
      <xdr:col>13</xdr:col>
      <xdr:colOff>28576</xdr:colOff>
      <xdr:row>230</xdr:row>
      <xdr:rowOff>100013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214</xdr:row>
      <xdr:rowOff>0</xdr:rowOff>
    </xdr:from>
    <xdr:to>
      <xdr:col>20</xdr:col>
      <xdr:colOff>104776</xdr:colOff>
      <xdr:row>230</xdr:row>
      <xdr:rowOff>100013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279</xdr:row>
      <xdr:rowOff>0</xdr:rowOff>
    </xdr:from>
    <xdr:to>
      <xdr:col>5</xdr:col>
      <xdr:colOff>904876</xdr:colOff>
      <xdr:row>295</xdr:row>
      <xdr:rowOff>100013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279</xdr:row>
      <xdr:rowOff>0</xdr:rowOff>
    </xdr:from>
    <xdr:to>
      <xdr:col>13</xdr:col>
      <xdr:colOff>28576</xdr:colOff>
      <xdr:row>295</xdr:row>
      <xdr:rowOff>100013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279</xdr:row>
      <xdr:rowOff>0</xdr:rowOff>
    </xdr:from>
    <xdr:to>
      <xdr:col>20</xdr:col>
      <xdr:colOff>104776</xdr:colOff>
      <xdr:row>295</xdr:row>
      <xdr:rowOff>100013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345</xdr:row>
      <xdr:rowOff>0</xdr:rowOff>
    </xdr:from>
    <xdr:to>
      <xdr:col>5</xdr:col>
      <xdr:colOff>904876</xdr:colOff>
      <xdr:row>362</xdr:row>
      <xdr:rowOff>61913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345</xdr:row>
      <xdr:rowOff>0</xdr:rowOff>
    </xdr:from>
    <xdr:to>
      <xdr:col>13</xdr:col>
      <xdr:colOff>28576</xdr:colOff>
      <xdr:row>362</xdr:row>
      <xdr:rowOff>61913</xdr:rowOff>
    </xdr:to>
    <xdr:graphicFrame macro="">
      <xdr:nvGraphicFramePr>
        <xdr:cNvPr id="17" name="Grafiek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0</xdr:colOff>
      <xdr:row>345</xdr:row>
      <xdr:rowOff>0</xdr:rowOff>
    </xdr:from>
    <xdr:to>
      <xdr:col>21</xdr:col>
      <xdr:colOff>104776</xdr:colOff>
      <xdr:row>362</xdr:row>
      <xdr:rowOff>61913</xdr:rowOff>
    </xdr:to>
    <xdr:graphicFrame macro="">
      <xdr:nvGraphicFramePr>
        <xdr:cNvPr id="18" name="Grafiek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1162050</xdr:colOff>
      <xdr:row>152</xdr:row>
      <xdr:rowOff>0</xdr:rowOff>
    </xdr:from>
    <xdr:to>
      <xdr:col>13</xdr:col>
      <xdr:colOff>9526</xdr:colOff>
      <xdr:row>168</xdr:row>
      <xdr:rowOff>100013</xdr:rowOff>
    </xdr:to>
    <xdr:graphicFrame macro="">
      <xdr:nvGraphicFramePr>
        <xdr:cNvPr id="19" name="Grafiek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66675</xdr:colOff>
      <xdr:row>152</xdr:row>
      <xdr:rowOff>142875</xdr:rowOff>
    </xdr:from>
    <xdr:to>
      <xdr:col>20</xdr:col>
      <xdr:colOff>171451</xdr:colOff>
      <xdr:row>169</xdr:row>
      <xdr:rowOff>42863</xdr:rowOff>
    </xdr:to>
    <xdr:graphicFrame macro="">
      <xdr:nvGraphicFramePr>
        <xdr:cNvPr id="20" name="Grafiek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383</xdr:row>
      <xdr:rowOff>0</xdr:rowOff>
    </xdr:from>
    <xdr:to>
      <xdr:col>5</xdr:col>
      <xdr:colOff>904876</xdr:colOff>
      <xdr:row>400</xdr:row>
      <xdr:rowOff>61913</xdr:rowOff>
    </xdr:to>
    <xdr:graphicFrame macro="">
      <xdr:nvGraphicFramePr>
        <xdr:cNvPr id="22" name="Grafiek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40</xdr:col>
      <xdr:colOff>104775</xdr:colOff>
      <xdr:row>2</xdr:row>
      <xdr:rowOff>185736</xdr:rowOff>
    </xdr:from>
    <xdr:to>
      <xdr:col>50</xdr:col>
      <xdr:colOff>112713</xdr:colOff>
      <xdr:row>22</xdr:row>
      <xdr:rowOff>47624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41</xdr:col>
      <xdr:colOff>0</xdr:colOff>
      <xdr:row>170</xdr:row>
      <xdr:rowOff>0</xdr:rowOff>
    </xdr:from>
    <xdr:to>
      <xdr:col>51</xdr:col>
      <xdr:colOff>7938</xdr:colOff>
      <xdr:row>189</xdr:row>
      <xdr:rowOff>61913</xdr:rowOff>
    </xdr:to>
    <xdr:graphicFrame macro="">
      <xdr:nvGraphicFramePr>
        <xdr:cNvPr id="23" name="Grafiek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42</xdr:col>
      <xdr:colOff>0</xdr:colOff>
      <xdr:row>233</xdr:row>
      <xdr:rowOff>0</xdr:rowOff>
    </xdr:from>
    <xdr:to>
      <xdr:col>52</xdr:col>
      <xdr:colOff>7938</xdr:colOff>
      <xdr:row>252</xdr:row>
      <xdr:rowOff>138113</xdr:rowOff>
    </xdr:to>
    <xdr:graphicFrame macro="">
      <xdr:nvGraphicFramePr>
        <xdr:cNvPr id="25" name="Grafiek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56</xdr:col>
      <xdr:colOff>0</xdr:colOff>
      <xdr:row>3</xdr:row>
      <xdr:rowOff>0</xdr:rowOff>
    </xdr:from>
    <xdr:to>
      <xdr:col>66</xdr:col>
      <xdr:colOff>7938</xdr:colOff>
      <xdr:row>22</xdr:row>
      <xdr:rowOff>61913</xdr:rowOff>
    </xdr:to>
    <xdr:graphicFrame macro="">
      <xdr:nvGraphicFramePr>
        <xdr:cNvPr id="26" name="Grafiek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57</xdr:col>
      <xdr:colOff>0</xdr:colOff>
      <xdr:row>170</xdr:row>
      <xdr:rowOff>0</xdr:rowOff>
    </xdr:from>
    <xdr:to>
      <xdr:col>67</xdr:col>
      <xdr:colOff>7938</xdr:colOff>
      <xdr:row>189</xdr:row>
      <xdr:rowOff>61913</xdr:rowOff>
    </xdr:to>
    <xdr:graphicFrame macro="">
      <xdr:nvGraphicFramePr>
        <xdr:cNvPr id="27" name="Grafiek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56</xdr:col>
      <xdr:colOff>0</xdr:colOff>
      <xdr:row>233</xdr:row>
      <xdr:rowOff>0</xdr:rowOff>
    </xdr:from>
    <xdr:to>
      <xdr:col>66</xdr:col>
      <xdr:colOff>7938</xdr:colOff>
      <xdr:row>252</xdr:row>
      <xdr:rowOff>138113</xdr:rowOff>
    </xdr:to>
    <xdr:graphicFrame macro="">
      <xdr:nvGraphicFramePr>
        <xdr:cNvPr id="28" name="Grafiek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438149</xdr:colOff>
      <xdr:row>297</xdr:row>
      <xdr:rowOff>100011</xdr:rowOff>
    </xdr:from>
    <xdr:to>
      <xdr:col>30</xdr:col>
      <xdr:colOff>714374</xdr:colOff>
      <xdr:row>315</xdr:row>
      <xdr:rowOff>152399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41</xdr:col>
      <xdr:colOff>0</xdr:colOff>
      <xdr:row>66</xdr:row>
      <xdr:rowOff>0</xdr:rowOff>
    </xdr:from>
    <xdr:to>
      <xdr:col>51</xdr:col>
      <xdr:colOff>7938</xdr:colOff>
      <xdr:row>85</xdr:row>
      <xdr:rowOff>61913</xdr:rowOff>
    </xdr:to>
    <xdr:graphicFrame macro="">
      <xdr:nvGraphicFramePr>
        <xdr:cNvPr id="29" name="Grafiek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55</xdr:col>
      <xdr:colOff>371475</xdr:colOff>
      <xdr:row>65</xdr:row>
      <xdr:rowOff>190500</xdr:rowOff>
    </xdr:from>
    <xdr:to>
      <xdr:col>65</xdr:col>
      <xdr:colOff>379413</xdr:colOff>
      <xdr:row>85</xdr:row>
      <xdr:rowOff>52388</xdr:rowOff>
    </xdr:to>
    <xdr:graphicFrame macro="">
      <xdr:nvGraphicFramePr>
        <xdr:cNvPr id="30" name="Grafiek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56</xdr:col>
      <xdr:colOff>0</xdr:colOff>
      <xdr:row>109</xdr:row>
      <xdr:rowOff>0</xdr:rowOff>
    </xdr:from>
    <xdr:to>
      <xdr:col>66</xdr:col>
      <xdr:colOff>7938</xdr:colOff>
      <xdr:row>128</xdr:row>
      <xdr:rowOff>4763</xdr:rowOff>
    </xdr:to>
    <xdr:graphicFrame macro="">
      <xdr:nvGraphicFramePr>
        <xdr:cNvPr id="31" name="Grafiek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41</xdr:col>
      <xdr:colOff>0</xdr:colOff>
      <xdr:row>108</xdr:row>
      <xdr:rowOff>0</xdr:rowOff>
    </xdr:from>
    <xdr:to>
      <xdr:col>51</xdr:col>
      <xdr:colOff>7938</xdr:colOff>
      <xdr:row>127</xdr:row>
      <xdr:rowOff>4763</xdr:rowOff>
    </xdr:to>
    <xdr:graphicFrame macro="">
      <xdr:nvGraphicFramePr>
        <xdr:cNvPr id="32" name="Grafiek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43</xdr:col>
      <xdr:colOff>0</xdr:colOff>
      <xdr:row>300</xdr:row>
      <xdr:rowOff>0</xdr:rowOff>
    </xdr:from>
    <xdr:to>
      <xdr:col>53</xdr:col>
      <xdr:colOff>7938</xdr:colOff>
      <xdr:row>320</xdr:row>
      <xdr:rowOff>166688</xdr:rowOff>
    </xdr:to>
    <xdr:graphicFrame macro="">
      <xdr:nvGraphicFramePr>
        <xdr:cNvPr id="33" name="Grafiek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56</xdr:col>
      <xdr:colOff>0</xdr:colOff>
      <xdr:row>23</xdr:row>
      <xdr:rowOff>0</xdr:rowOff>
    </xdr:from>
    <xdr:to>
      <xdr:col>66</xdr:col>
      <xdr:colOff>7938</xdr:colOff>
      <xdr:row>42</xdr:row>
      <xdr:rowOff>61913</xdr:rowOff>
    </xdr:to>
    <xdr:graphicFrame macro="">
      <xdr:nvGraphicFramePr>
        <xdr:cNvPr id="34" name="Grafiek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</xdr:col>
      <xdr:colOff>0</xdr:colOff>
      <xdr:row>458</xdr:row>
      <xdr:rowOff>0</xdr:rowOff>
    </xdr:from>
    <xdr:to>
      <xdr:col>7</xdr:col>
      <xdr:colOff>904876</xdr:colOff>
      <xdr:row>475</xdr:row>
      <xdr:rowOff>61913</xdr:rowOff>
    </xdr:to>
    <xdr:graphicFrame macro="">
      <xdr:nvGraphicFramePr>
        <xdr:cNvPr id="35" name="Grafiek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381000</xdr:colOff>
      <xdr:row>405</xdr:row>
      <xdr:rowOff>47625</xdr:rowOff>
    </xdr:from>
    <xdr:to>
      <xdr:col>8</xdr:col>
      <xdr:colOff>247650</xdr:colOff>
      <xdr:row>422</xdr:row>
      <xdr:rowOff>190499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28575</xdr:colOff>
      <xdr:row>1</xdr:row>
      <xdr:rowOff>76200</xdr:rowOff>
    </xdr:from>
    <xdr:to>
      <xdr:col>49</xdr:col>
      <xdr:colOff>104775</xdr:colOff>
      <xdr:row>21</xdr:row>
      <xdr:rowOff>176212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142875</xdr:colOff>
      <xdr:row>11</xdr:row>
      <xdr:rowOff>90487</xdr:rowOff>
    </xdr:from>
    <xdr:to>
      <xdr:col>35</xdr:col>
      <xdr:colOff>447675</xdr:colOff>
      <xdr:row>25</xdr:row>
      <xdr:rowOff>166687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23</xdr:row>
      <xdr:rowOff>0</xdr:rowOff>
    </xdr:from>
    <xdr:to>
      <xdr:col>49</xdr:col>
      <xdr:colOff>76200</xdr:colOff>
      <xdr:row>43</xdr:row>
      <xdr:rowOff>100012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0</xdr:colOff>
      <xdr:row>1</xdr:row>
      <xdr:rowOff>0</xdr:rowOff>
    </xdr:from>
    <xdr:to>
      <xdr:col>69</xdr:col>
      <xdr:colOff>76200</xdr:colOff>
      <xdr:row>21</xdr:row>
      <xdr:rowOff>100012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0</xdr:colOff>
      <xdr:row>23</xdr:row>
      <xdr:rowOff>0</xdr:rowOff>
    </xdr:from>
    <xdr:to>
      <xdr:col>69</xdr:col>
      <xdr:colOff>76200</xdr:colOff>
      <xdr:row>43</xdr:row>
      <xdr:rowOff>100012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142875</xdr:colOff>
      <xdr:row>1</xdr:row>
      <xdr:rowOff>66675</xdr:rowOff>
    </xdr:from>
    <xdr:to>
      <xdr:col>80</xdr:col>
      <xdr:colOff>219075</xdr:colOff>
      <xdr:row>21</xdr:row>
      <xdr:rowOff>166687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71</xdr:col>
      <xdr:colOff>0</xdr:colOff>
      <xdr:row>23</xdr:row>
      <xdr:rowOff>0</xdr:rowOff>
    </xdr:from>
    <xdr:to>
      <xdr:col>81</xdr:col>
      <xdr:colOff>76200</xdr:colOff>
      <xdr:row>43</xdr:row>
      <xdr:rowOff>100012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58</xdr:col>
      <xdr:colOff>419100</xdr:colOff>
      <xdr:row>51</xdr:row>
      <xdr:rowOff>95250</xdr:rowOff>
    </xdr:from>
    <xdr:to>
      <xdr:col>68</xdr:col>
      <xdr:colOff>495300</xdr:colOff>
      <xdr:row>72</xdr:row>
      <xdr:rowOff>4762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333375</xdr:colOff>
      <xdr:row>52</xdr:row>
      <xdr:rowOff>85725</xdr:rowOff>
    </xdr:from>
    <xdr:to>
      <xdr:col>80</xdr:col>
      <xdr:colOff>409575</xdr:colOff>
      <xdr:row>72</xdr:row>
      <xdr:rowOff>185737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38</xdr:row>
      <xdr:rowOff>0</xdr:rowOff>
    </xdr:from>
    <xdr:to>
      <xdr:col>35</xdr:col>
      <xdr:colOff>304800</xdr:colOff>
      <xdr:row>52</xdr:row>
      <xdr:rowOff>76200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70</xdr:row>
      <xdr:rowOff>0</xdr:rowOff>
    </xdr:from>
    <xdr:to>
      <xdr:col>35</xdr:col>
      <xdr:colOff>304800</xdr:colOff>
      <xdr:row>84</xdr:row>
      <xdr:rowOff>76200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466724</xdr:colOff>
      <xdr:row>77</xdr:row>
      <xdr:rowOff>42862</xdr:rowOff>
    </xdr:from>
    <xdr:to>
      <xdr:col>46</xdr:col>
      <xdr:colOff>14287</xdr:colOff>
      <xdr:row>95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64</xdr:row>
      <xdr:rowOff>14287</xdr:rowOff>
    </xdr:from>
    <xdr:to>
      <xdr:col>14</xdr:col>
      <xdr:colOff>390525</xdr:colOff>
      <xdr:row>77</xdr:row>
      <xdr:rowOff>157162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124</xdr:row>
      <xdr:rowOff>0</xdr:rowOff>
    </xdr:from>
    <xdr:to>
      <xdr:col>14</xdr:col>
      <xdr:colOff>390525</xdr:colOff>
      <xdr:row>137</xdr:row>
      <xdr:rowOff>142875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15</xdr:col>
      <xdr:colOff>114300</xdr:colOff>
      <xdr:row>261</xdr:row>
      <xdr:rowOff>142875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299</xdr:row>
      <xdr:rowOff>0</xdr:rowOff>
    </xdr:from>
    <xdr:to>
      <xdr:col>14</xdr:col>
      <xdr:colOff>390525</xdr:colOff>
      <xdr:row>312</xdr:row>
      <xdr:rowOff>142875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489</xdr:row>
      <xdr:rowOff>0</xdr:rowOff>
    </xdr:from>
    <xdr:to>
      <xdr:col>14</xdr:col>
      <xdr:colOff>390525</xdr:colOff>
      <xdr:row>502</xdr:row>
      <xdr:rowOff>142875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743</xdr:row>
      <xdr:rowOff>0</xdr:rowOff>
    </xdr:from>
    <xdr:to>
      <xdr:col>14</xdr:col>
      <xdr:colOff>390525</xdr:colOff>
      <xdr:row>756</xdr:row>
      <xdr:rowOff>142875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123831</xdr:colOff>
      <xdr:row>275</xdr:row>
      <xdr:rowOff>38100</xdr:rowOff>
    </xdr:from>
    <xdr:to>
      <xdr:col>13</xdr:col>
      <xdr:colOff>128593</xdr:colOff>
      <xdr:row>290</xdr:row>
      <xdr:rowOff>109537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290</xdr:row>
      <xdr:rowOff>57150</xdr:rowOff>
    </xdr:from>
    <xdr:to>
      <xdr:col>13</xdr:col>
      <xdr:colOff>719137</xdr:colOff>
      <xdr:row>306</xdr:row>
      <xdr:rowOff>185737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257175</xdr:colOff>
      <xdr:row>276</xdr:row>
      <xdr:rowOff>161925</xdr:rowOff>
    </xdr:from>
    <xdr:to>
      <xdr:col>27</xdr:col>
      <xdr:colOff>128587</xdr:colOff>
      <xdr:row>295</xdr:row>
      <xdr:rowOff>100012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457200</xdr:colOff>
      <xdr:row>309</xdr:row>
      <xdr:rowOff>57150</xdr:rowOff>
    </xdr:from>
    <xdr:to>
      <xdr:col>13</xdr:col>
      <xdr:colOff>461962</xdr:colOff>
      <xdr:row>328</xdr:row>
      <xdr:rowOff>185737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190500</xdr:colOff>
      <xdr:row>314</xdr:row>
      <xdr:rowOff>85725</xdr:rowOff>
    </xdr:from>
    <xdr:to>
      <xdr:col>27</xdr:col>
      <xdr:colOff>61912</xdr:colOff>
      <xdr:row>332</xdr:row>
      <xdr:rowOff>23812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414337</xdr:colOff>
      <xdr:row>1</xdr:row>
      <xdr:rowOff>14287</xdr:rowOff>
    </xdr:from>
    <xdr:to>
      <xdr:col>43</xdr:col>
      <xdr:colOff>519112</xdr:colOff>
      <xdr:row>15</xdr:row>
      <xdr:rowOff>90487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485775</xdr:colOff>
      <xdr:row>15</xdr:row>
      <xdr:rowOff>133350</xdr:rowOff>
    </xdr:from>
    <xdr:to>
      <xdr:col>43</xdr:col>
      <xdr:colOff>590550</xdr:colOff>
      <xdr:row>30</xdr:row>
      <xdr:rowOff>133350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80962</xdr:colOff>
      <xdr:row>114</xdr:row>
      <xdr:rowOff>185737</xdr:rowOff>
    </xdr:from>
    <xdr:to>
      <xdr:col>49</xdr:col>
      <xdr:colOff>185737</xdr:colOff>
      <xdr:row>131</xdr:row>
      <xdr:rowOff>71437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19050</xdr:colOff>
      <xdr:row>131</xdr:row>
      <xdr:rowOff>180975</xdr:rowOff>
    </xdr:from>
    <xdr:to>
      <xdr:col>49</xdr:col>
      <xdr:colOff>123825</xdr:colOff>
      <xdr:row>147</xdr:row>
      <xdr:rowOff>66675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457206</xdr:colOff>
      <xdr:row>229</xdr:row>
      <xdr:rowOff>100011</xdr:rowOff>
    </xdr:from>
    <xdr:to>
      <xdr:col>25</xdr:col>
      <xdr:colOff>496894</xdr:colOff>
      <xdr:row>249</xdr:row>
      <xdr:rowOff>85724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600075</xdr:colOff>
      <xdr:row>229</xdr:row>
      <xdr:rowOff>38100</xdr:rowOff>
    </xdr:from>
    <xdr:to>
      <xdr:col>38</xdr:col>
      <xdr:colOff>220663</xdr:colOff>
      <xdr:row>250</xdr:row>
      <xdr:rowOff>23813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314325</xdr:colOff>
      <xdr:row>229</xdr:row>
      <xdr:rowOff>47625</xdr:rowOff>
    </xdr:from>
    <xdr:to>
      <xdr:col>48</xdr:col>
      <xdr:colOff>344488</xdr:colOff>
      <xdr:row>250</xdr:row>
      <xdr:rowOff>33338</xdr:rowOff>
    </xdr:to>
    <xdr:graphicFrame macro="">
      <xdr:nvGraphicFramePr>
        <xdr:cNvPr id="17" name="Grafiek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128587</xdr:colOff>
      <xdr:row>346</xdr:row>
      <xdr:rowOff>80962</xdr:rowOff>
    </xdr:from>
    <xdr:to>
      <xdr:col>20</xdr:col>
      <xdr:colOff>138112</xdr:colOff>
      <xdr:row>360</xdr:row>
      <xdr:rowOff>157162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37</xdr:col>
      <xdr:colOff>19050</xdr:colOff>
      <xdr:row>31</xdr:row>
      <xdr:rowOff>85725</xdr:rowOff>
    </xdr:from>
    <xdr:to>
      <xdr:col>44</xdr:col>
      <xdr:colOff>123825</xdr:colOff>
      <xdr:row>47</xdr:row>
      <xdr:rowOff>161925</xdr:rowOff>
    </xdr:to>
    <xdr:graphicFrame macro="">
      <xdr:nvGraphicFramePr>
        <xdr:cNvPr id="18" name="Grafiek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0</xdr:colOff>
      <xdr:row>362</xdr:row>
      <xdr:rowOff>0</xdr:rowOff>
    </xdr:from>
    <xdr:to>
      <xdr:col>20</xdr:col>
      <xdr:colOff>9525</xdr:colOff>
      <xdr:row>376</xdr:row>
      <xdr:rowOff>76200</xdr:rowOff>
    </xdr:to>
    <xdr:graphicFrame macro="">
      <xdr:nvGraphicFramePr>
        <xdr:cNvPr id="20" name="Grafiek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28581</xdr:colOff>
      <xdr:row>337</xdr:row>
      <xdr:rowOff>157162</xdr:rowOff>
    </xdr:from>
    <xdr:to>
      <xdr:col>12</xdr:col>
      <xdr:colOff>180981</xdr:colOff>
      <xdr:row>352</xdr:row>
      <xdr:rowOff>42862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381012</xdr:colOff>
      <xdr:row>380</xdr:row>
      <xdr:rowOff>161924</xdr:rowOff>
    </xdr:from>
    <xdr:to>
      <xdr:col>17</xdr:col>
      <xdr:colOff>428625</xdr:colOff>
      <xdr:row>400</xdr:row>
      <xdr:rowOff>57150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657225</xdr:colOff>
      <xdr:row>380</xdr:row>
      <xdr:rowOff>38100</xdr:rowOff>
    </xdr:from>
    <xdr:to>
      <xdr:col>27</xdr:col>
      <xdr:colOff>504813</xdr:colOff>
      <xdr:row>399</xdr:row>
      <xdr:rowOff>123826</xdr:rowOff>
    </xdr:to>
    <xdr:graphicFrame macro="">
      <xdr:nvGraphicFramePr>
        <xdr:cNvPr id="22" name="Grafiek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41</xdr:col>
      <xdr:colOff>590550</xdr:colOff>
      <xdr:row>148</xdr:row>
      <xdr:rowOff>183202</xdr:rowOff>
    </xdr:from>
    <xdr:to>
      <xdr:col>49</xdr:col>
      <xdr:colOff>85725</xdr:colOff>
      <xdr:row>164</xdr:row>
      <xdr:rowOff>67665</xdr:rowOff>
    </xdr:to>
    <xdr:graphicFrame macro="">
      <xdr:nvGraphicFramePr>
        <xdr:cNvPr id="24" name="Grafiek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402</xdr:row>
      <xdr:rowOff>0</xdr:rowOff>
    </xdr:from>
    <xdr:to>
      <xdr:col>17</xdr:col>
      <xdr:colOff>47613</xdr:colOff>
      <xdr:row>421</xdr:row>
      <xdr:rowOff>85726</xdr:rowOff>
    </xdr:to>
    <xdr:graphicFrame macro="">
      <xdr:nvGraphicFramePr>
        <xdr:cNvPr id="21" name="Grafiek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18</xdr:col>
      <xdr:colOff>0</xdr:colOff>
      <xdr:row>401</xdr:row>
      <xdr:rowOff>0</xdr:rowOff>
    </xdr:from>
    <xdr:to>
      <xdr:col>27</xdr:col>
      <xdr:colOff>600063</xdr:colOff>
      <xdr:row>420</xdr:row>
      <xdr:rowOff>85726</xdr:rowOff>
    </xdr:to>
    <xdr:graphicFrame macro="">
      <xdr:nvGraphicFramePr>
        <xdr:cNvPr id="23" name="Grafiek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3</xdr:row>
      <xdr:rowOff>14287</xdr:rowOff>
    </xdr:from>
    <xdr:to>
      <xdr:col>28</xdr:col>
      <xdr:colOff>314325</xdr:colOff>
      <xdr:row>17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581025</xdr:colOff>
      <xdr:row>21</xdr:row>
      <xdr:rowOff>9525</xdr:rowOff>
    </xdr:from>
    <xdr:to>
      <xdr:col>28</xdr:col>
      <xdr:colOff>276225</xdr:colOff>
      <xdr:row>35</xdr:row>
      <xdr:rowOff>85725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9525</xdr:colOff>
      <xdr:row>7</xdr:row>
      <xdr:rowOff>80962</xdr:rowOff>
    </xdr:from>
    <xdr:to>
      <xdr:col>43</xdr:col>
      <xdr:colOff>180975</xdr:colOff>
      <xdr:row>21</xdr:row>
      <xdr:rowOff>157162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38</xdr:row>
      <xdr:rowOff>0</xdr:rowOff>
    </xdr:from>
    <xdr:to>
      <xdr:col>28</xdr:col>
      <xdr:colOff>304800</xdr:colOff>
      <xdr:row>52</xdr:row>
      <xdr:rowOff>76200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371474</xdr:colOff>
      <xdr:row>52</xdr:row>
      <xdr:rowOff>119062</xdr:rowOff>
    </xdr:from>
    <xdr:to>
      <xdr:col>38</xdr:col>
      <xdr:colOff>274637</xdr:colOff>
      <xdr:row>69</xdr:row>
      <xdr:rowOff>114300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381000</xdr:colOff>
      <xdr:row>70</xdr:row>
      <xdr:rowOff>171450</xdr:rowOff>
    </xdr:from>
    <xdr:to>
      <xdr:col>38</xdr:col>
      <xdr:colOff>284163</xdr:colOff>
      <xdr:row>87</xdr:row>
      <xdr:rowOff>166688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533400</xdr:colOff>
      <xdr:row>89</xdr:row>
      <xdr:rowOff>123825</xdr:rowOff>
    </xdr:from>
    <xdr:to>
      <xdr:col>38</xdr:col>
      <xdr:colOff>436563</xdr:colOff>
      <xdr:row>106</xdr:row>
      <xdr:rowOff>119063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333375</xdr:colOff>
      <xdr:row>4</xdr:row>
      <xdr:rowOff>161925</xdr:rowOff>
    </xdr:from>
    <xdr:to>
      <xdr:col>24</xdr:col>
      <xdr:colOff>28575</xdr:colOff>
      <xdr:row>19</xdr:row>
      <xdr:rowOff>47625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19</xdr:row>
      <xdr:rowOff>114300</xdr:rowOff>
    </xdr:from>
    <xdr:to>
      <xdr:col>24</xdr:col>
      <xdr:colOff>38100</xdr:colOff>
      <xdr:row>34</xdr:row>
      <xdr:rowOff>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390525</xdr:colOff>
      <xdr:row>34</xdr:row>
      <xdr:rowOff>142875</xdr:rowOff>
    </xdr:from>
    <xdr:to>
      <xdr:col>24</xdr:col>
      <xdr:colOff>85725</xdr:colOff>
      <xdr:row>49</xdr:row>
      <xdr:rowOff>28575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Kantoor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Kantoor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anto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6"/>
  <sheetViews>
    <sheetView workbookViewId="0">
      <pane xSplit="2" ySplit="1" topLeftCell="C679" activePane="bottomRight" state="frozen"/>
      <selection pane="topRight" activeCell="C1" sqref="C1"/>
      <selection pane="bottomLeft" activeCell="A2" sqref="A2"/>
      <selection pane="bottomRight" activeCell="B472" sqref="B472"/>
    </sheetView>
  </sheetViews>
  <sheetFormatPr defaultRowHeight="14.5" x14ac:dyDescent="0.35"/>
  <cols>
    <col min="1" max="1" width="28.81640625" customWidth="1"/>
    <col min="2" max="2" width="17.7265625" style="60" customWidth="1"/>
    <col min="3" max="3" width="16.54296875" customWidth="1"/>
    <col min="4" max="4" width="22.81640625" customWidth="1"/>
    <col min="5" max="5" width="22.453125" customWidth="1"/>
    <col min="6" max="6" width="13.453125" customWidth="1"/>
    <col min="7" max="7" width="14.26953125" customWidth="1"/>
    <col min="9" max="9" width="17.54296875" customWidth="1"/>
    <col min="10" max="10" width="17.81640625" customWidth="1"/>
    <col min="11" max="11" width="16.1796875" customWidth="1"/>
    <col min="14" max="14" width="69.7265625" customWidth="1"/>
  </cols>
  <sheetData>
    <row r="1" spans="1:14" x14ac:dyDescent="0.35">
      <c r="A1" t="s">
        <v>0</v>
      </c>
      <c r="B1" s="60" t="s">
        <v>1</v>
      </c>
      <c r="C1" t="s">
        <v>2</v>
      </c>
      <c r="D1" t="s">
        <v>137</v>
      </c>
      <c r="E1" t="s">
        <v>138</v>
      </c>
      <c r="F1" t="s">
        <v>3</v>
      </c>
      <c r="G1" t="s">
        <v>4</v>
      </c>
      <c r="H1" t="s">
        <v>5</v>
      </c>
      <c r="I1" t="s">
        <v>45</v>
      </c>
      <c r="J1" t="s">
        <v>72</v>
      </c>
      <c r="K1" t="s">
        <v>71</v>
      </c>
      <c r="N1" t="s">
        <v>8</v>
      </c>
    </row>
    <row r="2" spans="1:14" ht="15.5" x14ac:dyDescent="0.35">
      <c r="A2" s="2">
        <v>42433</v>
      </c>
      <c r="B2" s="61" t="s">
        <v>6</v>
      </c>
      <c r="N2" s="1" t="s">
        <v>9</v>
      </c>
    </row>
    <row r="3" spans="1:14" ht="15.5" x14ac:dyDescent="0.35">
      <c r="A3" s="2">
        <v>42433</v>
      </c>
      <c r="B3" s="61" t="s">
        <v>7</v>
      </c>
      <c r="N3" s="1" t="s">
        <v>12</v>
      </c>
    </row>
    <row r="4" spans="1:14" ht="15.5" x14ac:dyDescent="0.35">
      <c r="A4" s="2">
        <v>42433</v>
      </c>
      <c r="B4" s="61" t="s">
        <v>46</v>
      </c>
      <c r="C4">
        <v>6.24</v>
      </c>
      <c r="D4">
        <v>1860</v>
      </c>
      <c r="E4">
        <v>1198</v>
      </c>
      <c r="F4">
        <v>98</v>
      </c>
      <c r="G4">
        <v>11.69</v>
      </c>
      <c r="H4">
        <v>8</v>
      </c>
      <c r="I4">
        <v>59</v>
      </c>
      <c r="N4" s="1" t="s">
        <v>10</v>
      </c>
    </row>
    <row r="5" spans="1:14" ht="15.5" x14ac:dyDescent="0.35">
      <c r="A5" s="2">
        <v>42433</v>
      </c>
      <c r="B5" s="61" t="s">
        <v>47</v>
      </c>
      <c r="C5">
        <v>5.9</v>
      </c>
      <c r="D5">
        <v>1874</v>
      </c>
      <c r="E5">
        <v>1190</v>
      </c>
      <c r="F5">
        <v>89</v>
      </c>
      <c r="G5">
        <v>10.91</v>
      </c>
      <c r="H5">
        <v>8.1</v>
      </c>
      <c r="I5">
        <v>59</v>
      </c>
      <c r="J5">
        <v>1.8</v>
      </c>
      <c r="K5">
        <v>2</v>
      </c>
      <c r="N5" s="1" t="s">
        <v>11</v>
      </c>
    </row>
    <row r="6" spans="1:14" ht="15.5" x14ac:dyDescent="0.35">
      <c r="A6" s="2">
        <v>42433</v>
      </c>
      <c r="B6" s="61" t="s">
        <v>48</v>
      </c>
      <c r="C6" s="32">
        <v>7.32</v>
      </c>
      <c r="D6">
        <v>1862</v>
      </c>
      <c r="E6">
        <v>1230</v>
      </c>
      <c r="F6">
        <v>93.7</v>
      </c>
      <c r="G6">
        <v>11.2</v>
      </c>
      <c r="H6">
        <v>7.72</v>
      </c>
      <c r="I6">
        <v>59</v>
      </c>
      <c r="N6" s="1" t="s">
        <v>13</v>
      </c>
    </row>
    <row r="7" spans="1:14" ht="15.5" x14ac:dyDescent="0.35">
      <c r="A7" s="2">
        <v>42433</v>
      </c>
      <c r="B7" s="61" t="s">
        <v>49</v>
      </c>
      <c r="C7">
        <v>6.2</v>
      </c>
      <c r="D7">
        <v>1872</v>
      </c>
      <c r="E7">
        <v>1198</v>
      </c>
      <c r="F7">
        <v>92</v>
      </c>
      <c r="G7">
        <v>11.34</v>
      </c>
      <c r="H7">
        <v>7.8</v>
      </c>
      <c r="I7">
        <v>59</v>
      </c>
      <c r="K7">
        <v>1.3</v>
      </c>
      <c r="N7" s="1" t="s">
        <v>14</v>
      </c>
    </row>
    <row r="8" spans="1:14" ht="15.5" x14ac:dyDescent="0.35">
      <c r="A8" s="2">
        <v>42433</v>
      </c>
      <c r="B8" s="61" t="s">
        <v>50</v>
      </c>
      <c r="C8">
        <v>6</v>
      </c>
      <c r="D8">
        <v>1881</v>
      </c>
      <c r="E8">
        <v>1198</v>
      </c>
      <c r="F8">
        <v>82.8</v>
      </c>
      <c r="G8">
        <v>10.5</v>
      </c>
      <c r="H8">
        <v>8.25</v>
      </c>
      <c r="I8">
        <v>61</v>
      </c>
      <c r="N8" s="1" t="s">
        <v>15</v>
      </c>
    </row>
    <row r="9" spans="1:14" ht="15.5" x14ac:dyDescent="0.35">
      <c r="A9" s="2">
        <v>42433</v>
      </c>
      <c r="B9" s="61" t="s">
        <v>51</v>
      </c>
      <c r="C9">
        <v>5.86</v>
      </c>
      <c r="D9">
        <v>8697</v>
      </c>
      <c r="E9">
        <v>5497</v>
      </c>
      <c r="F9">
        <v>72.599999999999994</v>
      </c>
      <c r="G9">
        <v>8.68</v>
      </c>
      <c r="H9">
        <v>8.1300000000000008</v>
      </c>
      <c r="I9">
        <v>61</v>
      </c>
      <c r="J9">
        <v>2.2999999999999998</v>
      </c>
      <c r="K9">
        <v>2.7</v>
      </c>
      <c r="N9" s="1" t="s">
        <v>16</v>
      </c>
    </row>
    <row r="10" spans="1:14" ht="15.5" x14ac:dyDescent="0.35">
      <c r="A10" s="2">
        <v>42433</v>
      </c>
      <c r="B10" s="61" t="s">
        <v>52</v>
      </c>
      <c r="C10">
        <v>6.14</v>
      </c>
      <c r="D10">
        <v>1869</v>
      </c>
      <c r="E10">
        <v>1195</v>
      </c>
      <c r="F10">
        <v>96.6</v>
      </c>
      <c r="G10">
        <v>11.62</v>
      </c>
      <c r="H10">
        <v>8.1199999999999992</v>
      </c>
      <c r="I10">
        <v>61</v>
      </c>
      <c r="N10" s="1" t="s">
        <v>21</v>
      </c>
    </row>
    <row r="11" spans="1:14" ht="15.5" x14ac:dyDescent="0.35">
      <c r="A11" s="2">
        <v>42433</v>
      </c>
      <c r="B11" s="61" t="s">
        <v>53</v>
      </c>
      <c r="C11">
        <v>5.83</v>
      </c>
      <c r="D11">
        <v>2070</v>
      </c>
      <c r="E11">
        <v>1310</v>
      </c>
      <c r="F11">
        <v>83.2</v>
      </c>
      <c r="G11">
        <v>10.27</v>
      </c>
      <c r="H11">
        <v>8.24</v>
      </c>
      <c r="I11">
        <v>61</v>
      </c>
      <c r="J11">
        <v>1.5</v>
      </c>
      <c r="K11">
        <v>1.7</v>
      </c>
      <c r="N11" s="1" t="s">
        <v>18</v>
      </c>
    </row>
    <row r="12" spans="1:14" ht="15.5" x14ac:dyDescent="0.35">
      <c r="A12" s="2">
        <v>42433</v>
      </c>
      <c r="B12" s="61" t="s">
        <v>54</v>
      </c>
      <c r="C12">
        <v>6.06</v>
      </c>
      <c r="D12">
        <v>1863</v>
      </c>
      <c r="E12">
        <v>1190</v>
      </c>
      <c r="F12">
        <v>72.400000000000006</v>
      </c>
      <c r="G12">
        <v>8.8800000000000008</v>
      </c>
      <c r="H12">
        <v>8.27</v>
      </c>
      <c r="I12">
        <v>60</v>
      </c>
      <c r="N12" s="1" t="s">
        <v>19</v>
      </c>
    </row>
    <row r="13" spans="1:14" ht="15.5" x14ac:dyDescent="0.35">
      <c r="A13" s="2">
        <v>42433</v>
      </c>
      <c r="B13" s="61" t="s">
        <v>55</v>
      </c>
      <c r="C13">
        <v>5.92</v>
      </c>
      <c r="D13">
        <v>1876</v>
      </c>
      <c r="E13">
        <v>1192</v>
      </c>
      <c r="F13">
        <v>69.5</v>
      </c>
      <c r="G13">
        <v>8.52</v>
      </c>
      <c r="H13">
        <v>8.33</v>
      </c>
      <c r="I13">
        <v>60</v>
      </c>
      <c r="J13">
        <v>1</v>
      </c>
      <c r="K13">
        <v>1.2</v>
      </c>
      <c r="N13" s="1"/>
    </row>
    <row r="14" spans="1:14" ht="15.5" x14ac:dyDescent="0.35">
      <c r="A14" s="2">
        <v>42433</v>
      </c>
      <c r="B14" s="61" t="s">
        <v>78</v>
      </c>
      <c r="D14">
        <v>2455</v>
      </c>
      <c r="E14">
        <v>1523</v>
      </c>
      <c r="K14">
        <v>1.5</v>
      </c>
      <c r="N14" s="1"/>
    </row>
    <row r="15" spans="1:14" ht="15.5" x14ac:dyDescent="0.35">
      <c r="A15" s="2">
        <v>42433</v>
      </c>
      <c r="B15" s="61" t="s">
        <v>77</v>
      </c>
      <c r="D15">
        <v>12703</v>
      </c>
      <c r="E15">
        <v>8092</v>
      </c>
      <c r="K15">
        <v>2.9</v>
      </c>
      <c r="N15" s="1"/>
    </row>
    <row r="16" spans="1:14" ht="15.5" x14ac:dyDescent="0.35">
      <c r="A16" s="2">
        <v>42433</v>
      </c>
      <c r="B16" s="61" t="s">
        <v>56</v>
      </c>
      <c r="C16">
        <v>6.2</v>
      </c>
      <c r="D16">
        <v>1884</v>
      </c>
      <c r="E16">
        <v>1205</v>
      </c>
      <c r="F16">
        <v>73.8</v>
      </c>
      <c r="G16">
        <v>9.06</v>
      </c>
      <c r="H16">
        <v>8.33</v>
      </c>
      <c r="I16">
        <v>61</v>
      </c>
    </row>
    <row r="17" spans="1:14" ht="15.5" x14ac:dyDescent="0.35">
      <c r="A17" s="2">
        <v>42433</v>
      </c>
      <c r="B17" s="61" t="s">
        <v>57</v>
      </c>
      <c r="C17">
        <v>5.98</v>
      </c>
      <c r="D17">
        <v>1884</v>
      </c>
      <c r="E17">
        <v>1200</v>
      </c>
      <c r="F17">
        <v>71.7</v>
      </c>
      <c r="G17">
        <v>8.84</v>
      </c>
      <c r="H17">
        <v>8.35</v>
      </c>
      <c r="I17">
        <v>61</v>
      </c>
      <c r="J17">
        <v>0.9</v>
      </c>
      <c r="K17">
        <v>1.1000000000000001</v>
      </c>
      <c r="N17" s="1"/>
    </row>
    <row r="18" spans="1:14" s="4" customFormat="1" ht="15.5" x14ac:dyDescent="0.35">
      <c r="A18" s="3">
        <v>42440</v>
      </c>
      <c r="B18" s="62" t="s">
        <v>6</v>
      </c>
      <c r="C18" s="4">
        <v>6.43</v>
      </c>
      <c r="D18" s="4">
        <v>1328</v>
      </c>
      <c r="E18" s="4">
        <v>858</v>
      </c>
      <c r="F18" s="4">
        <v>87.4</v>
      </c>
      <c r="G18" s="4">
        <v>10.71</v>
      </c>
      <c r="H18" s="4">
        <v>8.15</v>
      </c>
    </row>
    <row r="19" spans="1:14" ht="15.5" x14ac:dyDescent="0.35">
      <c r="A19" s="2">
        <v>42440</v>
      </c>
      <c r="B19" s="61" t="s">
        <v>6</v>
      </c>
      <c r="C19">
        <v>6.18</v>
      </c>
      <c r="D19">
        <v>1366</v>
      </c>
      <c r="E19">
        <v>875</v>
      </c>
      <c r="F19">
        <v>92.4</v>
      </c>
      <c r="G19">
        <v>11.28</v>
      </c>
      <c r="H19">
        <v>8.15</v>
      </c>
    </row>
    <row r="20" spans="1:14" ht="15.5" x14ac:dyDescent="0.35">
      <c r="A20" s="2">
        <v>42440</v>
      </c>
      <c r="B20" s="61" t="s">
        <v>7</v>
      </c>
      <c r="C20">
        <v>6.77</v>
      </c>
      <c r="D20">
        <v>1300</v>
      </c>
      <c r="E20">
        <v>846</v>
      </c>
      <c r="F20">
        <v>83.2</v>
      </c>
      <c r="G20">
        <v>10.09</v>
      </c>
      <c r="H20">
        <v>8.1199999999999992</v>
      </c>
      <c r="N20" t="s">
        <v>529</v>
      </c>
    </row>
    <row r="21" spans="1:14" ht="15.5" x14ac:dyDescent="0.35">
      <c r="A21" s="2">
        <v>42440</v>
      </c>
      <c r="B21" s="61" t="s">
        <v>46</v>
      </c>
      <c r="C21">
        <v>6.65</v>
      </c>
      <c r="D21">
        <v>1341</v>
      </c>
      <c r="E21">
        <v>874</v>
      </c>
      <c r="F21">
        <v>78.2</v>
      </c>
      <c r="G21">
        <v>9.5500000000000007</v>
      </c>
      <c r="H21">
        <v>8.1999999999999993</v>
      </c>
      <c r="I21">
        <v>31</v>
      </c>
      <c r="N21" t="s">
        <v>530</v>
      </c>
    </row>
    <row r="22" spans="1:14" ht="15.5" x14ac:dyDescent="0.35">
      <c r="A22" s="2">
        <v>42440</v>
      </c>
      <c r="B22" s="61" t="s">
        <v>47</v>
      </c>
      <c r="C22">
        <v>6.42</v>
      </c>
      <c r="D22">
        <v>1350</v>
      </c>
      <c r="E22">
        <v>879</v>
      </c>
      <c r="F22">
        <v>66.3</v>
      </c>
      <c r="G22">
        <v>8.09</v>
      </c>
      <c r="H22">
        <v>8.18</v>
      </c>
      <c r="I22">
        <v>31</v>
      </c>
      <c r="J22">
        <v>1.5</v>
      </c>
      <c r="K22">
        <v>1.7</v>
      </c>
    </row>
    <row r="23" spans="1:14" ht="15.5" x14ac:dyDescent="0.35">
      <c r="A23" s="2">
        <v>42440</v>
      </c>
      <c r="B23" s="61" t="s">
        <v>48</v>
      </c>
      <c r="C23">
        <v>6.55</v>
      </c>
      <c r="D23">
        <v>1434</v>
      </c>
      <c r="E23">
        <v>864</v>
      </c>
      <c r="F23">
        <v>79.900000000000006</v>
      </c>
      <c r="G23">
        <v>9.66</v>
      </c>
      <c r="H23">
        <v>8.27</v>
      </c>
      <c r="I23">
        <v>31</v>
      </c>
    </row>
    <row r="24" spans="1:14" ht="15.5" x14ac:dyDescent="0.35">
      <c r="A24" s="2">
        <v>42440</v>
      </c>
      <c r="B24" s="61" t="s">
        <v>49</v>
      </c>
      <c r="C24">
        <v>6.42</v>
      </c>
      <c r="D24">
        <v>1346</v>
      </c>
      <c r="E24">
        <v>868</v>
      </c>
      <c r="F24">
        <v>76.2</v>
      </c>
      <c r="G24">
        <v>9.33</v>
      </c>
      <c r="H24">
        <v>8.24</v>
      </c>
      <c r="I24">
        <v>31</v>
      </c>
      <c r="J24">
        <v>1.5</v>
      </c>
      <c r="K24">
        <v>1.7</v>
      </c>
    </row>
    <row r="25" spans="1:14" ht="15.5" x14ac:dyDescent="0.35">
      <c r="A25" s="2">
        <v>42440</v>
      </c>
      <c r="B25" s="61" t="s">
        <v>50</v>
      </c>
      <c r="C25">
        <v>6.6</v>
      </c>
      <c r="D25">
        <v>1352</v>
      </c>
      <c r="E25">
        <v>887</v>
      </c>
      <c r="F25">
        <v>70.599999999999994</v>
      </c>
      <c r="G25">
        <v>8.4</v>
      </c>
      <c r="H25">
        <v>8.15</v>
      </c>
      <c r="I25">
        <v>32</v>
      </c>
    </row>
    <row r="26" spans="1:14" ht="15.5" x14ac:dyDescent="0.35">
      <c r="A26" s="2">
        <v>42440</v>
      </c>
      <c r="B26" s="61" t="s">
        <v>51</v>
      </c>
      <c r="C26">
        <v>6.4</v>
      </c>
      <c r="D26">
        <v>1356</v>
      </c>
      <c r="E26">
        <v>877</v>
      </c>
      <c r="F26">
        <v>61.5</v>
      </c>
      <c r="G26">
        <v>7.54</v>
      </c>
      <c r="H26">
        <v>8.19</v>
      </c>
      <c r="I26">
        <v>32</v>
      </c>
      <c r="J26">
        <v>1.4</v>
      </c>
      <c r="K26">
        <v>1.6</v>
      </c>
    </row>
    <row r="27" spans="1:14" ht="15.5" x14ac:dyDescent="0.35">
      <c r="A27" s="2">
        <v>42440</v>
      </c>
      <c r="B27" s="61" t="s">
        <v>52</v>
      </c>
      <c r="C27">
        <v>6.67</v>
      </c>
      <c r="D27">
        <v>1332</v>
      </c>
      <c r="E27">
        <v>865</v>
      </c>
      <c r="F27">
        <v>65.8</v>
      </c>
      <c r="G27">
        <v>7.94</v>
      </c>
      <c r="H27">
        <v>8.2200000000000006</v>
      </c>
      <c r="I27">
        <v>30</v>
      </c>
    </row>
    <row r="28" spans="1:14" ht="15.5" x14ac:dyDescent="0.35">
      <c r="A28" s="2">
        <v>42440</v>
      </c>
      <c r="B28" s="61" t="s">
        <v>53</v>
      </c>
      <c r="C28">
        <v>6.41</v>
      </c>
      <c r="D28">
        <v>1338</v>
      </c>
      <c r="E28">
        <v>864</v>
      </c>
      <c r="F28">
        <v>60.4</v>
      </c>
      <c r="G28">
        <v>7.41</v>
      </c>
      <c r="H28">
        <v>8.2100000000000009</v>
      </c>
      <c r="I28">
        <v>30</v>
      </c>
      <c r="J28">
        <v>1.4</v>
      </c>
      <c r="K28">
        <v>1.6</v>
      </c>
    </row>
    <row r="29" spans="1:14" ht="15.5" x14ac:dyDescent="0.35">
      <c r="A29" s="2">
        <v>42440</v>
      </c>
      <c r="B29" s="61" t="s">
        <v>54</v>
      </c>
      <c r="C29">
        <v>6.6</v>
      </c>
      <c r="D29">
        <v>1337</v>
      </c>
      <c r="E29">
        <v>869</v>
      </c>
      <c r="F29">
        <v>65.099999999999994</v>
      </c>
      <c r="G29">
        <v>7.81</v>
      </c>
      <c r="H29">
        <v>8.1999999999999993</v>
      </c>
      <c r="I29">
        <v>34</v>
      </c>
    </row>
    <row r="30" spans="1:14" ht="15.5" x14ac:dyDescent="0.35">
      <c r="A30" s="2">
        <v>42440</v>
      </c>
      <c r="B30" s="61" t="s">
        <v>55</v>
      </c>
      <c r="C30">
        <v>6.42</v>
      </c>
      <c r="D30">
        <v>1343</v>
      </c>
      <c r="E30">
        <v>866</v>
      </c>
      <c r="F30">
        <v>56.2</v>
      </c>
      <c r="G30">
        <v>6.86</v>
      </c>
      <c r="H30">
        <v>8.19</v>
      </c>
      <c r="I30">
        <v>34</v>
      </c>
      <c r="J30">
        <v>1.4</v>
      </c>
      <c r="K30">
        <v>1.6</v>
      </c>
    </row>
    <row r="31" spans="1:14" ht="15.5" x14ac:dyDescent="0.35">
      <c r="A31" s="2">
        <v>42440</v>
      </c>
      <c r="B31" s="61" t="s">
        <v>84</v>
      </c>
      <c r="D31">
        <v>1343</v>
      </c>
      <c r="E31">
        <v>864</v>
      </c>
      <c r="J31">
        <v>1.6</v>
      </c>
      <c r="K31">
        <v>2.1</v>
      </c>
    </row>
    <row r="32" spans="1:14" ht="15.5" x14ac:dyDescent="0.35">
      <c r="A32" s="2">
        <v>42440</v>
      </c>
      <c r="B32" s="61" t="s">
        <v>56</v>
      </c>
      <c r="C32">
        <v>6.6</v>
      </c>
      <c r="D32">
        <v>1322</v>
      </c>
      <c r="E32">
        <v>865</v>
      </c>
      <c r="F32">
        <v>69.5</v>
      </c>
      <c r="G32">
        <v>8.25</v>
      </c>
      <c r="H32">
        <v>8.26</v>
      </c>
      <c r="I32">
        <v>31</v>
      </c>
    </row>
    <row r="33" spans="1:11" ht="15.5" x14ac:dyDescent="0.35">
      <c r="A33" s="2">
        <v>42440</v>
      </c>
      <c r="B33" s="61" t="s">
        <v>57</v>
      </c>
      <c r="C33">
        <v>6.35</v>
      </c>
      <c r="D33">
        <v>1334</v>
      </c>
      <c r="E33">
        <v>859</v>
      </c>
      <c r="F33">
        <v>55.1</v>
      </c>
      <c r="G33">
        <v>6.73</v>
      </c>
      <c r="H33">
        <v>8.2100000000000009</v>
      </c>
      <c r="I33">
        <v>31</v>
      </c>
      <c r="J33">
        <v>1.8</v>
      </c>
      <c r="K33">
        <v>2</v>
      </c>
    </row>
    <row r="34" spans="1:11" s="4" customFormat="1" ht="15.5" x14ac:dyDescent="0.35">
      <c r="A34" s="3">
        <v>42441</v>
      </c>
      <c r="B34" s="62" t="s">
        <v>20</v>
      </c>
      <c r="C34" s="4">
        <v>6.82</v>
      </c>
      <c r="D34" s="4">
        <v>1407</v>
      </c>
      <c r="E34" s="4">
        <v>918</v>
      </c>
      <c r="F34" s="4">
        <v>82</v>
      </c>
      <c r="G34" s="4">
        <v>9.92</v>
      </c>
      <c r="H34" s="4">
        <v>8.25</v>
      </c>
    </row>
    <row r="35" spans="1:11" ht="15.5" x14ac:dyDescent="0.35">
      <c r="A35" s="2">
        <v>42447</v>
      </c>
      <c r="B35" s="61" t="s">
        <v>6</v>
      </c>
      <c r="C35" s="10">
        <v>7.2</v>
      </c>
      <c r="D35" s="10">
        <v>1624</v>
      </c>
      <c r="E35" s="10">
        <v>1076</v>
      </c>
      <c r="F35" s="10">
        <v>54</v>
      </c>
      <c r="G35" s="10">
        <v>6.44</v>
      </c>
      <c r="H35" s="10">
        <v>8.23</v>
      </c>
    </row>
    <row r="36" spans="1:11" ht="15.5" x14ac:dyDescent="0.35">
      <c r="A36" s="2">
        <v>42447</v>
      </c>
      <c r="B36" s="61" t="s">
        <v>7</v>
      </c>
      <c r="C36" s="10">
        <v>7.32</v>
      </c>
      <c r="D36" s="10">
        <v>1586</v>
      </c>
      <c r="E36" s="10">
        <v>1065</v>
      </c>
      <c r="F36" s="10">
        <v>54.4</v>
      </c>
      <c r="G36" s="10">
        <v>6.37</v>
      </c>
      <c r="H36" s="10">
        <v>8.59</v>
      </c>
    </row>
    <row r="37" spans="1:11" ht="15.5" x14ac:dyDescent="0.35">
      <c r="A37" s="2">
        <v>42447</v>
      </c>
      <c r="B37" s="61" t="s">
        <v>329</v>
      </c>
      <c r="C37" s="10">
        <v>7.23</v>
      </c>
      <c r="D37" s="10">
        <v>1586</v>
      </c>
      <c r="E37" s="10">
        <v>1048</v>
      </c>
      <c r="F37" s="10">
        <v>50.4</v>
      </c>
      <c r="G37" s="10">
        <v>6.04</v>
      </c>
      <c r="H37" s="10">
        <v>8.5</v>
      </c>
    </row>
    <row r="38" spans="1:11" ht="15.5" x14ac:dyDescent="0.35">
      <c r="A38" s="2">
        <v>42447</v>
      </c>
      <c r="B38" s="61" t="s">
        <v>330</v>
      </c>
      <c r="C38" s="10">
        <v>7.12</v>
      </c>
      <c r="D38" s="10">
        <v>1590</v>
      </c>
      <c r="E38" s="10">
        <v>1047</v>
      </c>
      <c r="F38" s="10">
        <v>48.2</v>
      </c>
      <c r="G38" s="10">
        <v>5.78</v>
      </c>
      <c r="H38" s="10">
        <v>8.51</v>
      </c>
      <c r="K38">
        <v>1</v>
      </c>
    </row>
    <row r="39" spans="1:11" ht="15.5" x14ac:dyDescent="0.35">
      <c r="A39" s="2">
        <v>42447</v>
      </c>
      <c r="B39" s="61" t="s">
        <v>46</v>
      </c>
      <c r="C39" s="10">
        <v>6.7</v>
      </c>
      <c r="D39" s="10">
        <v>1965</v>
      </c>
      <c r="E39" s="10">
        <v>1215</v>
      </c>
      <c r="F39" s="10">
        <v>61.8</v>
      </c>
      <c r="G39" s="10">
        <v>7.47</v>
      </c>
      <c r="H39" s="10">
        <v>8.52</v>
      </c>
      <c r="I39" s="10">
        <v>79</v>
      </c>
    </row>
    <row r="40" spans="1:11" ht="15.5" x14ac:dyDescent="0.35">
      <c r="A40" s="2">
        <v>42447</v>
      </c>
      <c r="B40" s="61" t="s">
        <v>47</v>
      </c>
      <c r="C40" s="10">
        <v>6.9</v>
      </c>
      <c r="D40" s="10">
        <v>7026</v>
      </c>
      <c r="E40" s="10">
        <v>4582</v>
      </c>
      <c r="F40" s="10">
        <v>56.7</v>
      </c>
      <c r="G40">
        <v>6.62</v>
      </c>
      <c r="H40" s="10">
        <v>8.3000000000000007</v>
      </c>
      <c r="I40" s="10">
        <v>79</v>
      </c>
      <c r="J40" s="10">
        <v>0.9</v>
      </c>
      <c r="K40" s="10">
        <v>1.7</v>
      </c>
    </row>
    <row r="41" spans="1:11" ht="15.5" x14ac:dyDescent="0.35">
      <c r="A41" s="2">
        <v>42447</v>
      </c>
      <c r="B41" s="61" t="s">
        <v>48</v>
      </c>
      <c r="C41" s="10">
        <v>6.9</v>
      </c>
      <c r="D41" s="10">
        <v>1770</v>
      </c>
      <c r="E41" s="10">
        <v>1160</v>
      </c>
      <c r="F41" s="10">
        <v>60.1</v>
      </c>
      <c r="G41" s="10">
        <v>7.27</v>
      </c>
      <c r="H41" s="10">
        <v>8.39</v>
      </c>
      <c r="I41" s="10">
        <v>79</v>
      </c>
    </row>
    <row r="42" spans="1:11" ht="15.5" x14ac:dyDescent="0.35">
      <c r="A42" s="2">
        <v>42447</v>
      </c>
      <c r="B42" s="61" t="s">
        <v>49</v>
      </c>
      <c r="C42" s="10">
        <v>7</v>
      </c>
      <c r="D42" s="10">
        <v>8623</v>
      </c>
      <c r="E42" s="10">
        <v>5728</v>
      </c>
      <c r="F42" s="10">
        <v>56.7</v>
      </c>
      <c r="G42" s="10">
        <v>6.54</v>
      </c>
      <c r="H42" s="10">
        <v>8.25</v>
      </c>
      <c r="I42" s="10">
        <v>79</v>
      </c>
      <c r="K42">
        <v>1.2</v>
      </c>
    </row>
    <row r="43" spans="1:11" ht="15.5" x14ac:dyDescent="0.35">
      <c r="A43" s="2">
        <v>42447</v>
      </c>
      <c r="B43" s="61" t="s">
        <v>50</v>
      </c>
      <c r="C43" s="10">
        <v>6.7</v>
      </c>
      <c r="D43" s="10">
        <v>2027</v>
      </c>
      <c r="E43" s="10">
        <v>1319</v>
      </c>
      <c r="F43" s="10">
        <v>57</v>
      </c>
      <c r="G43" s="10">
        <v>6.93</v>
      </c>
      <c r="H43" s="10">
        <v>8.6</v>
      </c>
      <c r="I43" s="10">
        <v>82</v>
      </c>
    </row>
    <row r="44" spans="1:11" ht="15.5" x14ac:dyDescent="0.35">
      <c r="A44" s="2">
        <v>42447</v>
      </c>
      <c r="B44" s="61" t="s">
        <v>51</v>
      </c>
      <c r="C44" s="10">
        <v>6.98</v>
      </c>
      <c r="D44" s="10">
        <v>15184</v>
      </c>
      <c r="E44" s="10">
        <v>9976</v>
      </c>
      <c r="F44" s="10">
        <v>84.8</v>
      </c>
      <c r="G44" s="10">
        <v>6.25</v>
      </c>
      <c r="H44" s="10">
        <v>8.27</v>
      </c>
      <c r="I44" s="10">
        <v>82</v>
      </c>
      <c r="J44" s="10">
        <v>2.2000000000000002</v>
      </c>
      <c r="K44" s="10">
        <v>2.6</v>
      </c>
    </row>
    <row r="45" spans="1:11" ht="15.5" x14ac:dyDescent="0.35">
      <c r="A45" s="2">
        <v>42447</v>
      </c>
      <c r="B45" s="61" t="s">
        <v>52</v>
      </c>
      <c r="C45" s="10">
        <v>6.7</v>
      </c>
      <c r="D45" s="10">
        <v>2033</v>
      </c>
      <c r="E45" s="10">
        <v>1332</v>
      </c>
      <c r="F45" s="10">
        <v>56.3</v>
      </c>
      <c r="G45" s="10">
        <v>7.01</v>
      </c>
      <c r="H45" s="10">
        <v>8.57</v>
      </c>
      <c r="I45" s="10">
        <v>81</v>
      </c>
    </row>
    <row r="46" spans="1:11" ht="15.5" x14ac:dyDescent="0.35">
      <c r="A46" s="2">
        <v>42447</v>
      </c>
      <c r="B46" s="61" t="s">
        <v>53</v>
      </c>
      <c r="C46" s="10">
        <v>6.84</v>
      </c>
      <c r="D46" s="10">
        <v>10996</v>
      </c>
      <c r="E46" s="10">
        <v>7192</v>
      </c>
      <c r="F46" s="10">
        <v>57.3</v>
      </c>
      <c r="G46" s="10">
        <v>6.63</v>
      </c>
      <c r="H46" s="10">
        <v>8.26</v>
      </c>
      <c r="I46" s="10">
        <v>81</v>
      </c>
      <c r="J46" s="10">
        <v>1.5</v>
      </c>
      <c r="K46" s="10">
        <v>2.5</v>
      </c>
    </row>
    <row r="47" spans="1:11" ht="15.5" x14ac:dyDescent="0.35">
      <c r="A47" s="2">
        <v>42447</v>
      </c>
      <c r="B47" s="61" t="s">
        <v>54</v>
      </c>
      <c r="C47" s="10">
        <v>6.71</v>
      </c>
      <c r="D47" s="10">
        <v>1981</v>
      </c>
      <c r="E47" s="10">
        <v>1287</v>
      </c>
      <c r="F47" s="10">
        <v>55.5</v>
      </c>
      <c r="G47" s="10">
        <v>6.77</v>
      </c>
      <c r="H47" s="10">
        <v>8.64</v>
      </c>
      <c r="I47" s="10">
        <v>81</v>
      </c>
    </row>
    <row r="48" spans="1:11" ht="15.5" x14ac:dyDescent="0.35">
      <c r="A48" s="2">
        <v>42447</v>
      </c>
      <c r="B48" s="61" t="s">
        <v>55</v>
      </c>
      <c r="C48" s="10">
        <v>6.83</v>
      </c>
      <c r="D48" s="10">
        <v>16123</v>
      </c>
      <c r="E48" s="10">
        <v>10516</v>
      </c>
      <c r="F48" s="10">
        <v>56.2</v>
      </c>
      <c r="G48" s="10">
        <v>6.4</v>
      </c>
      <c r="H48" s="10">
        <v>8.23</v>
      </c>
      <c r="I48" s="10">
        <v>81</v>
      </c>
      <c r="J48" s="10">
        <v>2.2000000000000002</v>
      </c>
      <c r="K48" s="10">
        <v>2.5</v>
      </c>
    </row>
    <row r="49" spans="1:11" ht="15.5" x14ac:dyDescent="0.35">
      <c r="A49" s="2">
        <v>42447</v>
      </c>
      <c r="B49" s="61" t="s">
        <v>56</v>
      </c>
      <c r="C49" s="10">
        <v>6.68</v>
      </c>
      <c r="D49" s="10">
        <v>2104</v>
      </c>
      <c r="E49" s="10">
        <v>1386</v>
      </c>
      <c r="F49" s="10">
        <v>57.7</v>
      </c>
      <c r="G49" s="10">
        <v>7</v>
      </c>
      <c r="H49" s="10">
        <v>8.61</v>
      </c>
      <c r="I49" s="10">
        <v>80</v>
      </c>
    </row>
    <row r="50" spans="1:11" ht="15.5" x14ac:dyDescent="0.35">
      <c r="A50" s="2">
        <v>42447</v>
      </c>
      <c r="B50" s="61" t="s">
        <v>57</v>
      </c>
      <c r="C50" s="10">
        <v>6.8</v>
      </c>
      <c r="D50" s="10">
        <v>9102</v>
      </c>
      <c r="E50" s="10">
        <v>5948</v>
      </c>
      <c r="F50" s="10">
        <v>57.3</v>
      </c>
      <c r="G50" s="10">
        <v>6.66</v>
      </c>
      <c r="H50" s="10">
        <v>8.33</v>
      </c>
      <c r="I50" s="10">
        <v>80</v>
      </c>
      <c r="J50" s="10">
        <v>1.1000000000000001</v>
      </c>
      <c r="K50" s="10">
        <v>1.6</v>
      </c>
    </row>
    <row r="51" spans="1:11" s="4" customFormat="1" ht="15.5" x14ac:dyDescent="0.35">
      <c r="A51" s="3">
        <v>42447</v>
      </c>
      <c r="B51" s="62" t="s">
        <v>20</v>
      </c>
      <c r="C51" s="4">
        <v>7.81</v>
      </c>
      <c r="D51" s="4">
        <v>2013</v>
      </c>
      <c r="E51" s="4">
        <v>1352</v>
      </c>
      <c r="F51" s="4">
        <v>91.1</v>
      </c>
      <c r="G51" s="4">
        <v>10.76</v>
      </c>
      <c r="H51" s="4">
        <v>8.5299999999999994</v>
      </c>
    </row>
    <row r="52" spans="1:11" ht="15.5" x14ac:dyDescent="0.35">
      <c r="A52" s="2">
        <v>42454</v>
      </c>
      <c r="B52" s="61" t="s">
        <v>6</v>
      </c>
      <c r="C52">
        <v>8.92</v>
      </c>
      <c r="D52">
        <v>1733</v>
      </c>
      <c r="E52">
        <v>1200</v>
      </c>
      <c r="F52">
        <v>112.5</v>
      </c>
      <c r="G52">
        <v>12.77</v>
      </c>
      <c r="H52">
        <v>8.2100000000000009</v>
      </c>
    </row>
    <row r="53" spans="1:11" ht="15.5" x14ac:dyDescent="0.35">
      <c r="A53" s="2">
        <v>42454</v>
      </c>
      <c r="B53" s="61" t="s">
        <v>7</v>
      </c>
      <c r="C53">
        <v>8.9499999999999993</v>
      </c>
      <c r="D53">
        <v>1729</v>
      </c>
      <c r="E53">
        <v>1198</v>
      </c>
      <c r="F53">
        <v>109</v>
      </c>
      <c r="G53">
        <v>12.55</v>
      </c>
      <c r="H53">
        <v>8.3000000000000007</v>
      </c>
    </row>
    <row r="54" spans="1:11" ht="15.5" x14ac:dyDescent="0.35">
      <c r="A54" s="2">
        <v>42454</v>
      </c>
      <c r="B54" s="61" t="s">
        <v>46</v>
      </c>
      <c r="C54">
        <v>9.3000000000000007</v>
      </c>
      <c r="D54">
        <v>1790</v>
      </c>
      <c r="E54">
        <v>1250</v>
      </c>
      <c r="F54">
        <v>118.9</v>
      </c>
      <c r="G54">
        <v>13.69</v>
      </c>
      <c r="H54">
        <v>8.23</v>
      </c>
      <c r="I54">
        <v>58</v>
      </c>
      <c r="K54">
        <v>2</v>
      </c>
    </row>
    <row r="55" spans="1:11" ht="15.5" x14ac:dyDescent="0.35">
      <c r="A55" s="2">
        <v>42454</v>
      </c>
      <c r="B55" s="61" t="s">
        <v>47</v>
      </c>
      <c r="C55">
        <v>9.24</v>
      </c>
      <c r="D55">
        <v>2081</v>
      </c>
      <c r="E55">
        <v>1430</v>
      </c>
      <c r="F55">
        <v>106</v>
      </c>
      <c r="G55">
        <v>12.16</v>
      </c>
      <c r="H55">
        <v>8.25</v>
      </c>
      <c r="J55">
        <v>1.8</v>
      </c>
    </row>
    <row r="56" spans="1:11" ht="15.5" x14ac:dyDescent="0.35">
      <c r="A56" s="2">
        <v>42454</v>
      </c>
      <c r="B56" s="61" t="s">
        <v>48</v>
      </c>
      <c r="C56">
        <v>9.6</v>
      </c>
      <c r="D56">
        <v>1783</v>
      </c>
      <c r="E56">
        <v>1258</v>
      </c>
      <c r="F56">
        <v>125</v>
      </c>
      <c r="G56">
        <v>14.31</v>
      </c>
      <c r="H56">
        <v>8.23</v>
      </c>
      <c r="I56">
        <v>60</v>
      </c>
      <c r="K56">
        <v>1.3</v>
      </c>
    </row>
    <row r="57" spans="1:11" ht="15.5" x14ac:dyDescent="0.35">
      <c r="A57" s="2">
        <v>42454</v>
      </c>
      <c r="B57" s="61" t="s">
        <v>49</v>
      </c>
      <c r="C57">
        <v>9.3000000000000007</v>
      </c>
      <c r="D57">
        <v>1786</v>
      </c>
      <c r="E57">
        <v>1276</v>
      </c>
      <c r="F57">
        <v>122.8</v>
      </c>
      <c r="G57">
        <v>12.92</v>
      </c>
      <c r="H57">
        <v>8.2799999999999994</v>
      </c>
      <c r="J57">
        <v>1</v>
      </c>
    </row>
    <row r="58" spans="1:11" ht="15.5" x14ac:dyDescent="0.35">
      <c r="A58" s="2">
        <v>42454</v>
      </c>
      <c r="B58" s="61" t="s">
        <v>50</v>
      </c>
      <c r="C58">
        <v>9.35</v>
      </c>
      <c r="D58">
        <v>1815</v>
      </c>
      <c r="E58">
        <v>1271</v>
      </c>
      <c r="F58">
        <v>114</v>
      </c>
      <c r="G58">
        <v>13</v>
      </c>
      <c r="H58">
        <v>8.32</v>
      </c>
      <c r="I58">
        <v>60</v>
      </c>
      <c r="K58">
        <v>1.9</v>
      </c>
    </row>
    <row r="59" spans="1:11" ht="15.5" x14ac:dyDescent="0.35">
      <c r="A59" s="2">
        <v>42454</v>
      </c>
      <c r="B59" s="61" t="s">
        <v>51</v>
      </c>
      <c r="C59">
        <v>8.76</v>
      </c>
      <c r="D59">
        <v>9743</v>
      </c>
      <c r="E59">
        <v>6747</v>
      </c>
      <c r="F59">
        <v>109.9</v>
      </c>
      <c r="G59">
        <v>12.28</v>
      </c>
      <c r="H59">
        <v>7.99</v>
      </c>
      <c r="J59">
        <v>1.7</v>
      </c>
    </row>
    <row r="60" spans="1:11" ht="15.5" x14ac:dyDescent="0.35">
      <c r="A60" s="2">
        <v>42454</v>
      </c>
      <c r="B60" s="61" t="s">
        <v>52</v>
      </c>
      <c r="C60">
        <v>9.39</v>
      </c>
      <c r="D60">
        <v>1813</v>
      </c>
      <c r="E60">
        <v>1272</v>
      </c>
      <c r="F60">
        <v>111.5</v>
      </c>
      <c r="G60">
        <v>12.74</v>
      </c>
      <c r="H60">
        <v>8.2799999999999994</v>
      </c>
      <c r="I60">
        <v>57</v>
      </c>
      <c r="K60">
        <v>1.8</v>
      </c>
    </row>
    <row r="61" spans="1:11" ht="15.5" x14ac:dyDescent="0.35">
      <c r="A61" s="2">
        <v>42454</v>
      </c>
      <c r="B61" s="61" t="s">
        <v>53</v>
      </c>
      <c r="C61">
        <v>9.1199999999999992</v>
      </c>
      <c r="D61">
        <v>2500</v>
      </c>
      <c r="E61">
        <v>1743</v>
      </c>
      <c r="F61">
        <v>108</v>
      </c>
      <c r="G61">
        <v>12.4</v>
      </c>
      <c r="H61">
        <v>8.16</v>
      </c>
      <c r="J61">
        <v>1.6</v>
      </c>
    </row>
    <row r="62" spans="1:11" ht="15.5" x14ac:dyDescent="0.35">
      <c r="A62" s="2">
        <v>42454</v>
      </c>
      <c r="B62" s="61" t="s">
        <v>54</v>
      </c>
      <c r="C62">
        <v>9.51</v>
      </c>
      <c r="D62">
        <v>1801</v>
      </c>
      <c r="E62">
        <v>1268</v>
      </c>
      <c r="F62">
        <v>118.5</v>
      </c>
      <c r="G62">
        <v>13.2</v>
      </c>
      <c r="H62">
        <v>8.36</v>
      </c>
      <c r="I62">
        <v>59</v>
      </c>
      <c r="K62">
        <v>1.2</v>
      </c>
    </row>
    <row r="63" spans="1:11" ht="15.5" x14ac:dyDescent="0.35">
      <c r="A63" s="2">
        <v>42454</v>
      </c>
      <c r="B63" s="61" t="s">
        <v>55</v>
      </c>
      <c r="C63">
        <v>8.8800000000000008</v>
      </c>
      <c r="D63">
        <v>4355</v>
      </c>
      <c r="E63">
        <v>3032</v>
      </c>
      <c r="F63">
        <v>124.2</v>
      </c>
      <c r="G63">
        <v>14.2</v>
      </c>
      <c r="H63">
        <v>8.2799999999999994</v>
      </c>
      <c r="J63">
        <v>1</v>
      </c>
    </row>
    <row r="64" spans="1:11" ht="15.5" x14ac:dyDescent="0.35">
      <c r="A64" s="2">
        <v>42454</v>
      </c>
      <c r="B64" s="61" t="s">
        <v>56</v>
      </c>
      <c r="C64">
        <v>9.4700000000000006</v>
      </c>
      <c r="D64">
        <v>1772</v>
      </c>
      <c r="E64">
        <v>1246</v>
      </c>
      <c r="F64">
        <v>113</v>
      </c>
      <c r="G64">
        <v>12.86</v>
      </c>
      <c r="H64">
        <v>8.34</v>
      </c>
      <c r="I64">
        <v>59</v>
      </c>
      <c r="K64">
        <v>1.7</v>
      </c>
    </row>
    <row r="65" spans="1:11" ht="15.5" x14ac:dyDescent="0.35">
      <c r="A65" s="2">
        <v>42454</v>
      </c>
      <c r="B65" s="61" t="s">
        <v>57</v>
      </c>
      <c r="C65">
        <v>8.8000000000000007</v>
      </c>
      <c r="D65">
        <v>6376</v>
      </c>
      <c r="E65">
        <v>4367</v>
      </c>
      <c r="F65">
        <v>124.3</v>
      </c>
      <c r="G65">
        <v>14.13</v>
      </c>
      <c r="H65">
        <v>8.06</v>
      </c>
      <c r="J65">
        <v>1.5</v>
      </c>
    </row>
    <row r="66" spans="1:11" s="4" customFormat="1" ht="15.5" x14ac:dyDescent="0.35">
      <c r="A66" s="3">
        <v>42454</v>
      </c>
      <c r="B66" s="62" t="s">
        <v>20</v>
      </c>
      <c r="C66" s="4">
        <v>9.85</v>
      </c>
      <c r="D66" s="4">
        <v>1798</v>
      </c>
      <c r="E66" s="4">
        <v>1277</v>
      </c>
      <c r="F66" s="4">
        <v>139.19999999999999</v>
      </c>
      <c r="G66" s="4">
        <v>15.78</v>
      </c>
      <c r="H66" s="4">
        <v>8.43</v>
      </c>
    </row>
    <row r="67" spans="1:11" ht="15.5" x14ac:dyDescent="0.35">
      <c r="A67" s="2">
        <v>42461</v>
      </c>
      <c r="B67" s="61" t="s">
        <v>6</v>
      </c>
      <c r="C67" s="10">
        <v>9.76</v>
      </c>
      <c r="D67" s="10">
        <v>1924</v>
      </c>
      <c r="E67" s="10">
        <v>1364</v>
      </c>
      <c r="F67" s="10">
        <v>105.4</v>
      </c>
      <c r="G67" s="10">
        <v>11.73</v>
      </c>
      <c r="H67" s="10">
        <v>8.36</v>
      </c>
    </row>
    <row r="68" spans="1:11" ht="15.5" x14ac:dyDescent="0.35">
      <c r="A68" s="2">
        <v>42461</v>
      </c>
      <c r="B68" s="61" t="s">
        <v>7</v>
      </c>
      <c r="C68" s="10">
        <v>9.89</v>
      </c>
      <c r="D68" s="10">
        <v>1922</v>
      </c>
      <c r="E68" s="10">
        <v>1368</v>
      </c>
      <c r="F68" s="10">
        <v>104.1</v>
      </c>
      <c r="G68" s="10">
        <v>11.53</v>
      </c>
      <c r="H68" s="10">
        <v>8.26</v>
      </c>
    </row>
    <row r="69" spans="1:11" ht="15.5" x14ac:dyDescent="0.35">
      <c r="A69" s="2">
        <v>42461</v>
      </c>
      <c r="B69" s="61" t="s">
        <v>46</v>
      </c>
      <c r="C69" s="10">
        <v>9.85</v>
      </c>
      <c r="D69" s="10">
        <v>1968</v>
      </c>
      <c r="E69" s="10">
        <v>1394</v>
      </c>
      <c r="F69" s="10">
        <v>119.4</v>
      </c>
      <c r="G69" s="10">
        <v>13.5</v>
      </c>
      <c r="H69" s="10">
        <v>8.32</v>
      </c>
      <c r="I69" s="10">
        <v>72</v>
      </c>
    </row>
    <row r="70" spans="1:11" ht="15.5" x14ac:dyDescent="0.35">
      <c r="A70" s="2">
        <v>42461</v>
      </c>
      <c r="B70" s="61" t="s">
        <v>47</v>
      </c>
      <c r="C70" s="10">
        <v>9.86</v>
      </c>
      <c r="D70" s="10">
        <v>9209</v>
      </c>
      <c r="E70" s="10">
        <v>6552</v>
      </c>
      <c r="F70" s="10">
        <v>91.1</v>
      </c>
      <c r="G70" s="10">
        <v>9.91</v>
      </c>
      <c r="H70" s="10">
        <v>8.06</v>
      </c>
      <c r="I70" s="10">
        <v>72</v>
      </c>
      <c r="J70" s="10">
        <v>2.5</v>
      </c>
      <c r="K70" s="10">
        <v>2.6</v>
      </c>
    </row>
    <row r="71" spans="1:11" ht="15.5" x14ac:dyDescent="0.35">
      <c r="A71" s="2">
        <v>42461</v>
      </c>
      <c r="B71" s="61" t="s">
        <v>89</v>
      </c>
      <c r="C71" s="10">
        <v>9.65</v>
      </c>
      <c r="D71" s="10">
        <v>1976</v>
      </c>
      <c r="E71" s="10">
        <v>1398</v>
      </c>
      <c r="F71" s="10">
        <v>109.1</v>
      </c>
      <c r="G71" s="10">
        <v>12.43</v>
      </c>
      <c r="H71" s="10">
        <v>8.27</v>
      </c>
      <c r="I71" s="10"/>
      <c r="J71" s="10"/>
      <c r="K71" s="10"/>
    </row>
    <row r="72" spans="1:11" ht="15.5" x14ac:dyDescent="0.35">
      <c r="A72" s="2">
        <v>42461</v>
      </c>
      <c r="B72" s="61" t="s">
        <v>90</v>
      </c>
      <c r="C72" s="10">
        <v>9.8699999999999992</v>
      </c>
      <c r="D72" s="10">
        <v>9392</v>
      </c>
      <c r="E72" s="10">
        <v>6682</v>
      </c>
      <c r="F72" s="10">
        <v>92.6</v>
      </c>
      <c r="G72" s="10">
        <v>10.15</v>
      </c>
      <c r="H72" s="10">
        <v>8.16</v>
      </c>
      <c r="J72" s="10">
        <v>2.5</v>
      </c>
      <c r="K72" s="10">
        <v>2.7</v>
      </c>
    </row>
    <row r="73" spans="1:11" ht="15.5" x14ac:dyDescent="0.35">
      <c r="A73" s="2">
        <v>42461</v>
      </c>
      <c r="B73" s="61" t="s">
        <v>48</v>
      </c>
      <c r="C73" s="10">
        <v>9.64</v>
      </c>
      <c r="D73" s="10">
        <v>1981</v>
      </c>
      <c r="E73" s="10">
        <v>1400</v>
      </c>
      <c r="F73" s="10">
        <v>114</v>
      </c>
      <c r="G73" s="10">
        <v>12.9</v>
      </c>
      <c r="H73" s="10">
        <v>8.23</v>
      </c>
      <c r="I73" s="10">
        <v>72</v>
      </c>
    </row>
    <row r="74" spans="1:11" ht="15.5" x14ac:dyDescent="0.35">
      <c r="A74" s="2">
        <v>42461</v>
      </c>
      <c r="B74" s="61" t="s">
        <v>49</v>
      </c>
      <c r="C74" s="10">
        <v>9.9</v>
      </c>
      <c r="D74" s="10">
        <v>8777</v>
      </c>
      <c r="E74" s="10">
        <v>6210</v>
      </c>
      <c r="F74" s="10">
        <v>90.4</v>
      </c>
      <c r="G74" s="10">
        <v>9.82</v>
      </c>
      <c r="H74" s="10">
        <v>8.0399999999999991</v>
      </c>
      <c r="I74" s="10">
        <v>72</v>
      </c>
      <c r="J74" s="10">
        <v>2.4</v>
      </c>
      <c r="K74" s="10">
        <v>2.5</v>
      </c>
    </row>
    <row r="75" spans="1:11" ht="15.5" x14ac:dyDescent="0.35">
      <c r="A75" s="2">
        <v>42461</v>
      </c>
      <c r="B75" s="61" t="s">
        <v>50</v>
      </c>
      <c r="C75" s="10">
        <v>9.8000000000000007</v>
      </c>
      <c r="D75" s="10">
        <v>1995</v>
      </c>
      <c r="E75" s="10">
        <v>1417</v>
      </c>
      <c r="F75" s="10">
        <v>107</v>
      </c>
      <c r="G75" s="10">
        <v>12.26</v>
      </c>
      <c r="H75" s="10">
        <v>8.33</v>
      </c>
      <c r="I75" s="10">
        <v>71</v>
      </c>
    </row>
    <row r="76" spans="1:11" ht="15.5" x14ac:dyDescent="0.35">
      <c r="A76" s="2">
        <v>42461</v>
      </c>
      <c r="B76" s="61" t="s">
        <v>51</v>
      </c>
      <c r="C76" s="10">
        <v>9.51</v>
      </c>
      <c r="D76" s="10">
        <v>9080</v>
      </c>
      <c r="E76" s="10">
        <v>6394</v>
      </c>
      <c r="F76" s="10">
        <v>100.3</v>
      </c>
      <c r="G76" s="10">
        <v>11.04</v>
      </c>
      <c r="H76" s="10">
        <v>8.08</v>
      </c>
      <c r="I76" s="10">
        <v>71</v>
      </c>
      <c r="J76" s="10">
        <v>2</v>
      </c>
      <c r="K76" s="10">
        <v>2.2000000000000002</v>
      </c>
    </row>
    <row r="77" spans="1:11" ht="15.5" x14ac:dyDescent="0.35">
      <c r="A77" s="2">
        <v>42461</v>
      </c>
      <c r="B77" s="61" t="s">
        <v>91</v>
      </c>
      <c r="C77" s="10">
        <v>9.77</v>
      </c>
      <c r="D77" s="10">
        <v>2001</v>
      </c>
      <c r="E77" s="10">
        <v>1419</v>
      </c>
      <c r="F77" s="10">
        <v>103.9</v>
      </c>
      <c r="G77" s="10">
        <v>11.89</v>
      </c>
      <c r="H77" s="10">
        <v>8.31</v>
      </c>
      <c r="I77" s="10"/>
      <c r="J77" s="10"/>
      <c r="K77" s="10"/>
    </row>
    <row r="78" spans="1:11" ht="15.5" x14ac:dyDescent="0.35">
      <c r="A78" s="2">
        <v>42461</v>
      </c>
      <c r="B78" s="61" t="s">
        <v>92</v>
      </c>
      <c r="C78" s="10">
        <v>9.66</v>
      </c>
      <c r="D78" s="10">
        <v>11942</v>
      </c>
      <c r="E78" s="10">
        <v>8407</v>
      </c>
      <c r="F78" s="10">
        <v>96.9</v>
      </c>
      <c r="G78" s="10">
        <v>10.34</v>
      </c>
      <c r="H78" s="10">
        <v>8</v>
      </c>
      <c r="I78" s="10"/>
      <c r="J78" s="10">
        <v>2.5</v>
      </c>
      <c r="K78" s="10">
        <v>2.7</v>
      </c>
    </row>
    <row r="79" spans="1:11" ht="15.5" x14ac:dyDescent="0.35">
      <c r="A79" s="2">
        <v>42461</v>
      </c>
      <c r="B79" s="61" t="s">
        <v>52</v>
      </c>
      <c r="C79" s="10">
        <v>9.7899999999999991</v>
      </c>
      <c r="D79" s="10">
        <v>2006</v>
      </c>
      <c r="E79" s="10">
        <v>1423</v>
      </c>
      <c r="F79" s="10">
        <v>114.7</v>
      </c>
      <c r="G79" s="10">
        <v>13.01</v>
      </c>
      <c r="H79" s="10">
        <v>8.2899999999999991</v>
      </c>
      <c r="I79" s="10">
        <v>71</v>
      </c>
    </row>
    <row r="80" spans="1:11" ht="15.5" x14ac:dyDescent="0.35">
      <c r="A80" s="2">
        <v>42461</v>
      </c>
      <c r="B80" s="61" t="s">
        <v>53</v>
      </c>
      <c r="C80" s="10">
        <v>9.81</v>
      </c>
      <c r="D80" s="10">
        <v>11480</v>
      </c>
      <c r="E80" s="10">
        <v>8009</v>
      </c>
      <c r="F80" s="10">
        <v>92.4</v>
      </c>
      <c r="G80" s="10">
        <v>8.73</v>
      </c>
      <c r="H80" s="10">
        <v>8.01</v>
      </c>
      <c r="I80" s="10">
        <v>71</v>
      </c>
      <c r="J80" s="10">
        <v>2.4</v>
      </c>
      <c r="K80" s="10">
        <v>2.5</v>
      </c>
    </row>
    <row r="81" spans="1:11" ht="15.5" x14ac:dyDescent="0.35">
      <c r="A81" s="2">
        <v>42461</v>
      </c>
      <c r="B81" s="61" t="s">
        <v>54</v>
      </c>
      <c r="C81" s="10">
        <v>9.68</v>
      </c>
      <c r="D81" s="10">
        <v>1957</v>
      </c>
      <c r="E81" s="10">
        <v>1382</v>
      </c>
      <c r="F81" s="10">
        <v>121.7</v>
      </c>
      <c r="G81" s="10">
        <v>13.8</v>
      </c>
      <c r="H81" s="10">
        <v>8.34</v>
      </c>
      <c r="I81" s="10">
        <v>69</v>
      </c>
    </row>
    <row r="82" spans="1:11" ht="15.5" x14ac:dyDescent="0.35">
      <c r="A82" s="2">
        <v>42461</v>
      </c>
      <c r="B82" s="61" t="s">
        <v>55</v>
      </c>
      <c r="C82" s="10">
        <v>9.56</v>
      </c>
      <c r="D82" s="10">
        <v>8185</v>
      </c>
      <c r="E82" s="10">
        <v>6190</v>
      </c>
      <c r="F82" s="10">
        <v>96.1</v>
      </c>
      <c r="G82" s="10">
        <v>10.51</v>
      </c>
      <c r="H82" s="10">
        <v>8.09</v>
      </c>
      <c r="I82" s="10">
        <v>69</v>
      </c>
      <c r="J82" s="10">
        <v>1.8</v>
      </c>
      <c r="K82" s="10">
        <v>1.9</v>
      </c>
    </row>
    <row r="83" spans="1:11" ht="15.5" x14ac:dyDescent="0.35">
      <c r="A83" s="2">
        <v>42461</v>
      </c>
      <c r="B83" s="61" t="s">
        <v>93</v>
      </c>
      <c r="C83" s="10">
        <v>9.7200000000000006</v>
      </c>
      <c r="D83" s="10">
        <v>1854</v>
      </c>
      <c r="E83" s="10">
        <v>1384</v>
      </c>
      <c r="F83" s="10">
        <v>110.3</v>
      </c>
      <c r="G83" s="10">
        <v>12.87</v>
      </c>
      <c r="H83" s="10">
        <v>8.3000000000000007</v>
      </c>
      <c r="I83" s="10"/>
      <c r="J83" s="10"/>
      <c r="K83" s="10"/>
    </row>
    <row r="84" spans="1:11" ht="15.5" x14ac:dyDescent="0.35">
      <c r="A84" s="2">
        <v>42461</v>
      </c>
      <c r="B84" s="61" t="s">
        <v>77</v>
      </c>
      <c r="C84" s="10">
        <v>9.39</v>
      </c>
      <c r="D84" s="10">
        <v>13660</v>
      </c>
      <c r="E84" s="10">
        <v>9532</v>
      </c>
      <c r="F84" s="10">
        <v>102.5</v>
      </c>
      <c r="G84" s="10">
        <v>11.04</v>
      </c>
      <c r="H84" s="10">
        <v>7.99</v>
      </c>
      <c r="I84" s="10"/>
      <c r="J84" s="10">
        <v>2.7</v>
      </c>
      <c r="K84" s="10">
        <v>2.9</v>
      </c>
    </row>
    <row r="85" spans="1:11" ht="15.5" x14ac:dyDescent="0.35">
      <c r="A85" s="2">
        <v>42461</v>
      </c>
      <c r="B85" s="61" t="s">
        <v>56</v>
      </c>
      <c r="C85" s="10">
        <v>10.039999999999999</v>
      </c>
      <c r="D85" s="10">
        <v>1973</v>
      </c>
      <c r="E85" s="10">
        <v>1336</v>
      </c>
      <c r="F85" s="10">
        <v>116.5</v>
      </c>
      <c r="G85" s="10">
        <v>13.17</v>
      </c>
      <c r="H85" s="10">
        <v>8.35</v>
      </c>
      <c r="I85" s="10">
        <v>72</v>
      </c>
    </row>
    <row r="86" spans="1:11" ht="15.5" x14ac:dyDescent="0.35">
      <c r="A86" s="2">
        <v>42461</v>
      </c>
      <c r="B86" s="61" t="s">
        <v>57</v>
      </c>
      <c r="C86" s="10">
        <v>9.66</v>
      </c>
      <c r="D86" s="10">
        <v>3200</v>
      </c>
      <c r="E86" s="10">
        <v>2244</v>
      </c>
      <c r="F86" s="10">
        <v>102.5</v>
      </c>
      <c r="G86" s="10">
        <v>11.42</v>
      </c>
      <c r="H86" s="10">
        <v>8.1999999999999993</v>
      </c>
      <c r="I86" s="10">
        <v>72</v>
      </c>
      <c r="J86" s="10">
        <v>1</v>
      </c>
      <c r="K86" s="10">
        <v>1.3</v>
      </c>
    </row>
    <row r="87" spans="1:11" s="4" customFormat="1" ht="15.5" x14ac:dyDescent="0.35">
      <c r="A87" s="3">
        <v>42461</v>
      </c>
      <c r="B87" s="62" t="s">
        <v>20</v>
      </c>
      <c r="C87" s="4">
        <v>11.65</v>
      </c>
      <c r="D87" s="4">
        <v>1947</v>
      </c>
      <c r="E87" s="4">
        <v>1451</v>
      </c>
      <c r="F87" s="4">
        <v>117.2</v>
      </c>
      <c r="G87" s="4">
        <v>12.76</v>
      </c>
      <c r="H87" s="4">
        <v>8.23</v>
      </c>
    </row>
    <row r="88" spans="1:11" ht="15.5" x14ac:dyDescent="0.35">
      <c r="A88" s="2">
        <v>42468</v>
      </c>
      <c r="B88" s="61" t="s">
        <v>6</v>
      </c>
      <c r="C88" s="10">
        <v>10.77</v>
      </c>
      <c r="D88" s="10">
        <v>2005</v>
      </c>
      <c r="E88" s="10">
        <v>1462</v>
      </c>
      <c r="F88" s="10">
        <v>103.2</v>
      </c>
      <c r="G88" s="10">
        <v>11.1</v>
      </c>
      <c r="H88" s="10">
        <v>8.3699999999999992</v>
      </c>
    </row>
    <row r="89" spans="1:11" ht="15.5" x14ac:dyDescent="0.35">
      <c r="A89" s="2">
        <v>42468</v>
      </c>
      <c r="B89" s="61" t="s">
        <v>7</v>
      </c>
      <c r="C89" s="10">
        <v>10.86</v>
      </c>
      <c r="D89" s="33">
        <v>2000</v>
      </c>
      <c r="E89" s="10">
        <v>1495</v>
      </c>
      <c r="F89" s="10">
        <v>103</v>
      </c>
      <c r="G89" s="10">
        <v>10.83</v>
      </c>
      <c r="H89" s="10">
        <v>8.4700000000000006</v>
      </c>
    </row>
    <row r="90" spans="1:11" ht="15.5" x14ac:dyDescent="0.35">
      <c r="A90" s="2">
        <v>42468</v>
      </c>
      <c r="B90" s="61" t="s">
        <v>46</v>
      </c>
      <c r="C90" s="10">
        <v>10.23</v>
      </c>
      <c r="D90" s="10">
        <v>2110</v>
      </c>
      <c r="E90" s="10">
        <v>1520</v>
      </c>
      <c r="F90" s="10">
        <v>97.3</v>
      </c>
      <c r="G90" s="10">
        <v>10.99</v>
      </c>
      <c r="H90" s="10">
        <v>8.44</v>
      </c>
      <c r="I90" s="10">
        <v>64</v>
      </c>
    </row>
    <row r="91" spans="1:11" ht="15.5" x14ac:dyDescent="0.35">
      <c r="A91" s="2">
        <v>42468</v>
      </c>
      <c r="B91" s="61" t="s">
        <v>47</v>
      </c>
      <c r="C91" s="10">
        <v>10.78</v>
      </c>
      <c r="D91" s="10">
        <v>5764</v>
      </c>
      <c r="E91" s="10">
        <v>4190</v>
      </c>
      <c r="F91" s="10">
        <v>99.8</v>
      </c>
      <c r="G91" s="10">
        <v>10.51</v>
      </c>
      <c r="H91" s="10">
        <v>8.14</v>
      </c>
      <c r="J91">
        <v>1.1000000000000001</v>
      </c>
      <c r="K91">
        <v>1.3</v>
      </c>
    </row>
    <row r="92" spans="1:11" ht="15.5" x14ac:dyDescent="0.35">
      <c r="A92" s="2">
        <v>42468</v>
      </c>
      <c r="B92" s="61" t="s">
        <v>89</v>
      </c>
      <c r="C92" s="10">
        <v>10.3</v>
      </c>
      <c r="D92" s="10">
        <v>2088</v>
      </c>
      <c r="E92" s="10">
        <v>1506</v>
      </c>
      <c r="F92" s="10">
        <v>106.8</v>
      </c>
      <c r="G92" s="10">
        <v>11.94</v>
      </c>
      <c r="H92" s="10">
        <v>8.4600000000000009</v>
      </c>
      <c r="I92" s="10">
        <v>67</v>
      </c>
    </row>
    <row r="93" spans="1:11" ht="15.5" x14ac:dyDescent="0.35">
      <c r="A93" s="2">
        <v>42468</v>
      </c>
      <c r="B93" s="61" t="s">
        <v>90</v>
      </c>
      <c r="C93" s="10">
        <v>10.85</v>
      </c>
      <c r="D93" s="10">
        <v>15185</v>
      </c>
      <c r="E93" s="10">
        <v>11106</v>
      </c>
      <c r="F93" s="10">
        <v>80.900000000000006</v>
      </c>
      <c r="G93" s="10">
        <v>8.4700000000000006</v>
      </c>
      <c r="H93" s="10">
        <v>8.09</v>
      </c>
      <c r="J93">
        <v>2.4</v>
      </c>
      <c r="K93">
        <v>2.6</v>
      </c>
    </row>
    <row r="94" spans="1:11" ht="15.5" x14ac:dyDescent="0.35">
      <c r="A94" s="2">
        <v>42468</v>
      </c>
      <c r="B94" s="61" t="s">
        <v>48</v>
      </c>
      <c r="C94" s="10">
        <v>10.58</v>
      </c>
      <c r="D94" s="10">
        <v>2148</v>
      </c>
      <c r="E94" s="10">
        <v>1595</v>
      </c>
      <c r="F94" s="10">
        <v>111.3</v>
      </c>
      <c r="G94" s="10">
        <v>12.26</v>
      </c>
      <c r="H94" s="10">
        <v>8.52</v>
      </c>
      <c r="I94" s="10">
        <v>67</v>
      </c>
    </row>
    <row r="95" spans="1:11" ht="15.5" x14ac:dyDescent="0.35">
      <c r="A95" s="2">
        <v>42468</v>
      </c>
      <c r="B95" s="61" t="s">
        <v>49</v>
      </c>
      <c r="C95" s="10">
        <v>10.8</v>
      </c>
      <c r="D95" s="10">
        <v>15800</v>
      </c>
      <c r="E95" s="10">
        <v>8564</v>
      </c>
      <c r="F95" s="10">
        <v>102.3</v>
      </c>
      <c r="G95" s="10">
        <v>10.62</v>
      </c>
      <c r="H95" s="10">
        <v>8.16</v>
      </c>
      <c r="J95">
        <v>1.6</v>
      </c>
      <c r="K95">
        <v>1.8</v>
      </c>
    </row>
    <row r="96" spans="1:11" ht="15.5" x14ac:dyDescent="0.35">
      <c r="A96" s="2">
        <v>42468</v>
      </c>
      <c r="B96" s="61" t="s">
        <v>50</v>
      </c>
      <c r="C96" s="10">
        <v>10.28</v>
      </c>
      <c r="D96" s="10">
        <v>2103</v>
      </c>
      <c r="E96" s="10">
        <v>1511</v>
      </c>
      <c r="F96" s="10">
        <v>107.4</v>
      </c>
      <c r="G96" s="10">
        <v>11.96</v>
      </c>
      <c r="H96" s="10">
        <v>8.4</v>
      </c>
      <c r="I96" s="10">
        <v>66</v>
      </c>
    </row>
    <row r="97" spans="1:11" ht="15.5" x14ac:dyDescent="0.35">
      <c r="A97" s="2">
        <v>42468</v>
      </c>
      <c r="B97" s="61" t="s">
        <v>51</v>
      </c>
      <c r="C97" s="10">
        <v>10.76</v>
      </c>
      <c r="D97" s="10">
        <v>18967</v>
      </c>
      <c r="E97" s="10">
        <v>13805</v>
      </c>
      <c r="F97" s="10">
        <v>98</v>
      </c>
      <c r="G97" s="10">
        <v>9.51</v>
      </c>
      <c r="H97" s="10">
        <v>7.95</v>
      </c>
      <c r="J97">
        <v>2.7</v>
      </c>
      <c r="K97">
        <v>2.9</v>
      </c>
    </row>
    <row r="98" spans="1:11" ht="15.5" x14ac:dyDescent="0.35">
      <c r="A98" s="2">
        <v>42468</v>
      </c>
      <c r="B98" s="61" t="s">
        <v>91</v>
      </c>
      <c r="C98" s="10">
        <v>10.28</v>
      </c>
      <c r="D98" s="10">
        <v>2106</v>
      </c>
      <c r="E98" s="10">
        <v>1512</v>
      </c>
      <c r="F98" s="10">
        <v>99.7</v>
      </c>
      <c r="G98" s="10">
        <v>11.13</v>
      </c>
      <c r="H98" s="10">
        <v>8.4499999999999993</v>
      </c>
      <c r="I98" s="10">
        <v>66</v>
      </c>
    </row>
    <row r="99" spans="1:11" ht="15.5" x14ac:dyDescent="0.35">
      <c r="A99" s="2">
        <v>42468</v>
      </c>
      <c r="B99" s="61" t="s">
        <v>92</v>
      </c>
      <c r="C99" s="10">
        <v>10.71</v>
      </c>
      <c r="D99" s="10">
        <v>18870</v>
      </c>
      <c r="E99" s="10">
        <v>13790</v>
      </c>
      <c r="F99" s="10">
        <v>97.6</v>
      </c>
      <c r="G99" s="10">
        <v>10.07</v>
      </c>
      <c r="H99" s="10">
        <v>7.92</v>
      </c>
      <c r="J99">
        <v>2.5</v>
      </c>
      <c r="K99">
        <v>2.7</v>
      </c>
    </row>
    <row r="100" spans="1:11" ht="15.5" x14ac:dyDescent="0.35">
      <c r="A100" s="2">
        <v>42468</v>
      </c>
      <c r="B100" s="61" t="s">
        <v>52</v>
      </c>
      <c r="C100" s="10">
        <v>10.17</v>
      </c>
      <c r="D100" s="10">
        <v>2085</v>
      </c>
      <c r="E100" s="10">
        <v>1490</v>
      </c>
      <c r="F100" s="10">
        <v>91.9</v>
      </c>
      <c r="G100" s="10">
        <v>10.28</v>
      </c>
      <c r="H100" s="10">
        <v>8.4</v>
      </c>
      <c r="I100" s="10">
        <v>69</v>
      </c>
    </row>
    <row r="101" spans="1:11" ht="15.5" x14ac:dyDescent="0.35">
      <c r="A101" s="2">
        <v>42468</v>
      </c>
      <c r="B101" s="61" t="s">
        <v>53</v>
      </c>
      <c r="C101" s="10">
        <v>10.52</v>
      </c>
      <c r="D101" s="10">
        <v>7560</v>
      </c>
      <c r="E101" s="10">
        <v>5590</v>
      </c>
      <c r="F101" s="10">
        <v>101.2</v>
      </c>
      <c r="G101" s="10">
        <v>10.97</v>
      </c>
      <c r="H101" s="10">
        <v>8.08</v>
      </c>
      <c r="J101">
        <v>1.4</v>
      </c>
      <c r="K101">
        <v>1.6</v>
      </c>
    </row>
    <row r="102" spans="1:11" ht="15.5" x14ac:dyDescent="0.35">
      <c r="A102" s="2">
        <v>42468</v>
      </c>
      <c r="B102" s="61" t="s">
        <v>54</v>
      </c>
      <c r="C102" s="10">
        <v>10.48</v>
      </c>
      <c r="D102" s="10">
        <v>2080</v>
      </c>
      <c r="E102" s="10">
        <v>1504</v>
      </c>
      <c r="F102" s="10">
        <v>108.3</v>
      </c>
      <c r="G102" s="10">
        <v>12.04</v>
      </c>
      <c r="H102" s="10">
        <v>8.4</v>
      </c>
      <c r="I102" s="10">
        <v>63</v>
      </c>
    </row>
    <row r="103" spans="1:11" ht="15.5" x14ac:dyDescent="0.35">
      <c r="A103" s="2">
        <v>42468</v>
      </c>
      <c r="B103" s="61" t="s">
        <v>55</v>
      </c>
      <c r="C103" s="10">
        <v>10.48</v>
      </c>
      <c r="D103" s="10">
        <v>8680</v>
      </c>
      <c r="E103" s="10">
        <v>6312</v>
      </c>
      <c r="F103" s="10">
        <v>106.2</v>
      </c>
      <c r="G103" s="10">
        <v>11.38</v>
      </c>
      <c r="H103" s="10">
        <v>8.1199999999999992</v>
      </c>
      <c r="J103">
        <v>1.4</v>
      </c>
      <c r="K103">
        <v>1.6</v>
      </c>
    </row>
    <row r="104" spans="1:11" ht="15.5" x14ac:dyDescent="0.35">
      <c r="A104" s="2">
        <v>42468</v>
      </c>
      <c r="B104" s="61" t="s">
        <v>93</v>
      </c>
      <c r="C104" s="10">
        <v>10.45</v>
      </c>
      <c r="D104" s="10">
        <v>2080</v>
      </c>
      <c r="E104" s="10">
        <v>1505</v>
      </c>
      <c r="F104" s="10">
        <v>107.8</v>
      </c>
      <c r="G104" s="10">
        <v>11.96</v>
      </c>
      <c r="H104" s="10">
        <v>8.4</v>
      </c>
      <c r="I104" s="10">
        <v>66</v>
      </c>
    </row>
    <row r="105" spans="1:11" ht="15.5" x14ac:dyDescent="0.35">
      <c r="A105" s="2">
        <v>42468</v>
      </c>
      <c r="B105" s="61" t="s">
        <v>77</v>
      </c>
      <c r="C105" s="10">
        <v>10.47</v>
      </c>
      <c r="D105" s="10">
        <v>6052</v>
      </c>
      <c r="E105" s="10">
        <v>4308</v>
      </c>
      <c r="F105" s="10">
        <v>103.5</v>
      </c>
      <c r="G105" s="10">
        <v>11.31</v>
      </c>
      <c r="H105" s="10">
        <v>8.14</v>
      </c>
      <c r="J105">
        <v>1.1000000000000001</v>
      </c>
      <c r="K105">
        <v>1.3</v>
      </c>
    </row>
    <row r="106" spans="1:11" ht="15.5" x14ac:dyDescent="0.35">
      <c r="A106" s="2">
        <v>42468</v>
      </c>
      <c r="B106" s="61" t="s">
        <v>56</v>
      </c>
      <c r="C106" s="10">
        <v>10.4</v>
      </c>
      <c r="D106" s="10">
        <v>2098</v>
      </c>
      <c r="E106" s="10">
        <v>1518</v>
      </c>
      <c r="F106" s="10">
        <v>100.4</v>
      </c>
      <c r="G106" s="10">
        <v>11.32</v>
      </c>
      <c r="H106" s="10">
        <v>8.42</v>
      </c>
      <c r="I106" s="10">
        <v>63</v>
      </c>
    </row>
    <row r="107" spans="1:11" ht="15.5" x14ac:dyDescent="0.35">
      <c r="A107" s="2">
        <v>42468</v>
      </c>
      <c r="B107" s="61" t="s">
        <v>57</v>
      </c>
      <c r="C107" s="10">
        <v>10.67</v>
      </c>
      <c r="D107" s="10">
        <v>21380</v>
      </c>
      <c r="E107" s="10">
        <v>15550</v>
      </c>
      <c r="F107" s="10">
        <v>99.3</v>
      </c>
      <c r="G107" s="10">
        <v>10</v>
      </c>
      <c r="H107" s="10">
        <v>7.9</v>
      </c>
      <c r="J107">
        <v>2.7</v>
      </c>
      <c r="K107">
        <v>2.8</v>
      </c>
    </row>
    <row r="108" spans="1:11" s="4" customFormat="1" ht="15.5" x14ac:dyDescent="0.35">
      <c r="A108" s="3">
        <v>42468</v>
      </c>
      <c r="B108" s="62" t="s">
        <v>20</v>
      </c>
      <c r="C108" s="4">
        <v>12.53</v>
      </c>
      <c r="D108" s="4">
        <v>2147</v>
      </c>
      <c r="E108" s="4">
        <v>1657</v>
      </c>
      <c r="F108" s="4">
        <v>137.4</v>
      </c>
      <c r="G108" s="4">
        <v>14.56</v>
      </c>
      <c r="H108" s="4">
        <v>8.3800000000000008</v>
      </c>
    </row>
    <row r="109" spans="1:11" ht="15.5" x14ac:dyDescent="0.35">
      <c r="A109" s="2">
        <v>42475</v>
      </c>
      <c r="B109" s="61" t="s">
        <v>6</v>
      </c>
      <c r="C109" s="10">
        <v>13.48</v>
      </c>
      <c r="D109" s="10">
        <v>1919</v>
      </c>
      <c r="E109" s="10">
        <v>1498</v>
      </c>
      <c r="F109" s="10">
        <v>114.3</v>
      </c>
      <c r="G109" s="10">
        <v>11.84</v>
      </c>
      <c r="H109" s="10">
        <v>8.43</v>
      </c>
    </row>
    <row r="110" spans="1:11" ht="15.5" x14ac:dyDescent="0.35">
      <c r="A110" s="2">
        <v>42475</v>
      </c>
      <c r="B110" s="61" t="s">
        <v>7</v>
      </c>
      <c r="C110" s="10">
        <v>13.5</v>
      </c>
      <c r="D110" s="10">
        <v>1872</v>
      </c>
      <c r="E110" s="10">
        <v>1467</v>
      </c>
      <c r="F110" s="10">
        <v>114.8</v>
      </c>
      <c r="G110" s="10">
        <v>12.45</v>
      </c>
      <c r="H110" s="10">
        <v>8.4600000000000009</v>
      </c>
    </row>
    <row r="111" spans="1:11" ht="15.5" x14ac:dyDescent="0.35">
      <c r="A111" s="2">
        <v>42475</v>
      </c>
      <c r="B111" s="61" t="s">
        <v>46</v>
      </c>
      <c r="C111" s="10">
        <v>12.88</v>
      </c>
      <c r="D111" s="10">
        <v>2423</v>
      </c>
      <c r="E111" s="10">
        <v>1860</v>
      </c>
      <c r="F111" s="10">
        <v>122.6</v>
      </c>
      <c r="G111" s="10">
        <v>13.02</v>
      </c>
      <c r="H111" s="10">
        <v>8.4</v>
      </c>
      <c r="I111" s="10">
        <v>74</v>
      </c>
    </row>
    <row r="112" spans="1:11" ht="15.5" x14ac:dyDescent="0.35">
      <c r="A112" s="2">
        <v>42475</v>
      </c>
      <c r="B112" s="61" t="s">
        <v>47</v>
      </c>
      <c r="C112" s="10">
        <v>12.6</v>
      </c>
      <c r="D112" s="10">
        <v>10860</v>
      </c>
      <c r="E112" s="10">
        <v>8280</v>
      </c>
      <c r="F112" s="10">
        <v>119.1</v>
      </c>
      <c r="G112" s="10">
        <v>12.2</v>
      </c>
      <c r="H112" s="10">
        <v>8.1</v>
      </c>
      <c r="J112">
        <v>2</v>
      </c>
      <c r="K112">
        <v>2.2000000000000002</v>
      </c>
    </row>
    <row r="113" spans="1:11" ht="15.5" x14ac:dyDescent="0.35">
      <c r="A113" s="2">
        <v>42475</v>
      </c>
      <c r="B113" s="61" t="s">
        <v>89</v>
      </c>
      <c r="C113" s="10">
        <v>12.4</v>
      </c>
      <c r="D113" s="10">
        <v>2325</v>
      </c>
      <c r="E113" s="10">
        <v>1790</v>
      </c>
      <c r="F113" s="10">
        <v>96</v>
      </c>
      <c r="G113" s="10">
        <v>10.7</v>
      </c>
      <c r="H113" s="10">
        <v>8.4</v>
      </c>
    </row>
    <row r="114" spans="1:11" ht="15.5" x14ac:dyDescent="0.35">
      <c r="A114" s="2">
        <v>42475</v>
      </c>
      <c r="B114" s="61" t="s">
        <v>90</v>
      </c>
      <c r="C114" s="10">
        <v>12.1</v>
      </c>
      <c r="D114" s="10">
        <v>20400</v>
      </c>
      <c r="E114" s="10">
        <v>15530</v>
      </c>
      <c r="F114" s="10">
        <v>103.2</v>
      </c>
      <c r="G114" s="10">
        <v>10.24</v>
      </c>
      <c r="H114" s="10">
        <v>7.88</v>
      </c>
      <c r="J114">
        <v>2.5</v>
      </c>
      <c r="K114">
        <v>2.7</v>
      </c>
    </row>
    <row r="115" spans="1:11" ht="15.5" x14ac:dyDescent="0.35">
      <c r="A115" s="2">
        <v>42475</v>
      </c>
      <c r="B115" s="61" t="s">
        <v>48</v>
      </c>
      <c r="C115" s="10">
        <v>13.12</v>
      </c>
      <c r="D115" s="10">
        <v>2650</v>
      </c>
      <c r="E115" s="10">
        <v>2051</v>
      </c>
      <c r="F115" s="10">
        <v>128</v>
      </c>
      <c r="G115" s="10">
        <v>13.43</v>
      </c>
      <c r="H115" s="10">
        <v>8.15</v>
      </c>
      <c r="I115" s="10">
        <v>74</v>
      </c>
    </row>
    <row r="116" spans="1:11" ht="15.5" x14ac:dyDescent="0.35">
      <c r="A116" s="2">
        <v>42475</v>
      </c>
      <c r="B116" s="61" t="s">
        <v>49</v>
      </c>
      <c r="C116" s="10">
        <v>13</v>
      </c>
      <c r="D116" s="10">
        <v>3672</v>
      </c>
      <c r="E116" s="10">
        <v>2821</v>
      </c>
      <c r="F116" s="10">
        <v>130.1</v>
      </c>
      <c r="G116" s="10">
        <v>13.5</v>
      </c>
      <c r="H116" s="10">
        <v>8.18</v>
      </c>
      <c r="J116">
        <v>1.1000000000000001</v>
      </c>
      <c r="K116">
        <v>1.3</v>
      </c>
    </row>
    <row r="117" spans="1:11" ht="15.5" x14ac:dyDescent="0.35">
      <c r="A117" s="2">
        <v>42475</v>
      </c>
      <c r="B117" s="61" t="s">
        <v>50</v>
      </c>
      <c r="C117" s="10">
        <v>12.17</v>
      </c>
      <c r="D117" s="10">
        <v>2304</v>
      </c>
      <c r="E117" s="10">
        <v>1750</v>
      </c>
      <c r="F117" s="10">
        <v>103.6</v>
      </c>
      <c r="G117" s="10">
        <v>11.29</v>
      </c>
      <c r="H117" s="10">
        <v>8.4700000000000006</v>
      </c>
      <c r="I117" s="10">
        <v>76</v>
      </c>
    </row>
    <row r="118" spans="1:11" ht="15.5" x14ac:dyDescent="0.35">
      <c r="A118" s="2">
        <v>42475</v>
      </c>
      <c r="B118" s="61" t="s">
        <v>51</v>
      </c>
      <c r="C118" s="10">
        <v>12.33</v>
      </c>
      <c r="D118" s="10">
        <v>16064</v>
      </c>
      <c r="E118" s="10">
        <v>12250</v>
      </c>
      <c r="F118" s="10">
        <v>107.2</v>
      </c>
      <c r="G118" s="10">
        <v>10.27</v>
      </c>
      <c r="H118" s="10">
        <v>7.99</v>
      </c>
      <c r="J118">
        <v>2.2000000000000002</v>
      </c>
      <c r="K118">
        <v>2.4</v>
      </c>
    </row>
    <row r="119" spans="1:11" ht="15.5" x14ac:dyDescent="0.35">
      <c r="A119" s="2">
        <v>42475</v>
      </c>
      <c r="B119" s="61" t="s">
        <v>91</v>
      </c>
      <c r="C119" s="10">
        <v>12.82</v>
      </c>
      <c r="D119" s="10">
        <v>2307</v>
      </c>
      <c r="E119" s="10">
        <v>1767</v>
      </c>
      <c r="F119" s="10">
        <v>115</v>
      </c>
      <c r="G119" s="10">
        <v>12.25</v>
      </c>
      <c r="H119" s="10">
        <v>8.39</v>
      </c>
      <c r="I119" s="10">
        <v>77</v>
      </c>
    </row>
    <row r="120" spans="1:11" ht="15.5" x14ac:dyDescent="0.35">
      <c r="A120" s="2">
        <v>42475</v>
      </c>
      <c r="B120" s="61" t="s">
        <v>92</v>
      </c>
      <c r="C120" s="10">
        <v>11.72</v>
      </c>
      <c r="D120" s="10">
        <v>27381</v>
      </c>
      <c r="E120" s="10">
        <v>20524</v>
      </c>
      <c r="F120" s="10">
        <v>115.3</v>
      </c>
      <c r="G120" s="10">
        <v>11</v>
      </c>
      <c r="H120" s="10">
        <v>7.9</v>
      </c>
      <c r="J120">
        <v>2.5</v>
      </c>
      <c r="K120">
        <v>2.7</v>
      </c>
    </row>
    <row r="121" spans="1:11" ht="15.5" x14ac:dyDescent="0.35">
      <c r="A121" s="2">
        <v>42475</v>
      </c>
      <c r="B121" s="61" t="s">
        <v>52</v>
      </c>
      <c r="C121" s="10">
        <v>12.79</v>
      </c>
      <c r="D121" s="10">
        <v>2298</v>
      </c>
      <c r="E121" s="10">
        <v>1761</v>
      </c>
      <c r="F121" s="10">
        <v>107.2</v>
      </c>
      <c r="G121" s="10">
        <v>11.66</v>
      </c>
      <c r="H121" s="10">
        <v>8.4</v>
      </c>
      <c r="I121" s="10">
        <v>77</v>
      </c>
    </row>
    <row r="122" spans="1:11" ht="15.5" x14ac:dyDescent="0.35">
      <c r="A122" s="2">
        <v>42475</v>
      </c>
      <c r="B122" s="61" t="s">
        <v>53</v>
      </c>
      <c r="C122" s="10">
        <v>12.81</v>
      </c>
      <c r="D122" s="10">
        <v>2304</v>
      </c>
      <c r="E122" s="10">
        <v>1768</v>
      </c>
      <c r="F122" s="10">
        <v>128.4</v>
      </c>
      <c r="G122" s="10">
        <v>13.56</v>
      </c>
      <c r="H122" s="10">
        <v>8.3800000000000008</v>
      </c>
      <c r="J122">
        <v>1.1000000000000001</v>
      </c>
      <c r="K122">
        <v>1.3</v>
      </c>
    </row>
    <row r="123" spans="1:11" ht="15.5" x14ac:dyDescent="0.35">
      <c r="A123" s="2">
        <v>42475</v>
      </c>
      <c r="B123" s="61" t="s">
        <v>54</v>
      </c>
      <c r="C123" s="10">
        <v>12.8</v>
      </c>
      <c r="D123" s="10">
        <v>2219</v>
      </c>
      <c r="E123" s="10">
        <v>1700</v>
      </c>
      <c r="F123" s="10">
        <v>129.5</v>
      </c>
      <c r="G123" s="10">
        <v>13.6</v>
      </c>
      <c r="H123" s="10">
        <v>8.44</v>
      </c>
      <c r="I123" s="10">
        <v>76</v>
      </c>
    </row>
    <row r="124" spans="1:11" ht="15.5" x14ac:dyDescent="0.35">
      <c r="A124" s="2">
        <v>42475</v>
      </c>
      <c r="B124" s="61" t="s">
        <v>55</v>
      </c>
      <c r="C124" s="10">
        <v>12.5</v>
      </c>
      <c r="D124" s="10">
        <v>12021</v>
      </c>
      <c r="E124" s="10">
        <v>8965</v>
      </c>
      <c r="F124" s="10">
        <v>124.6</v>
      </c>
      <c r="G124" s="10">
        <v>12.75</v>
      </c>
      <c r="H124" s="10">
        <v>8.15</v>
      </c>
      <c r="J124">
        <v>1.8</v>
      </c>
      <c r="K124">
        <v>2</v>
      </c>
    </row>
    <row r="125" spans="1:11" ht="15.5" x14ac:dyDescent="0.35">
      <c r="A125" s="2">
        <v>42475</v>
      </c>
      <c r="B125" s="61" t="s">
        <v>93</v>
      </c>
      <c r="C125" s="10">
        <v>12.81</v>
      </c>
      <c r="D125" s="10">
        <v>2216</v>
      </c>
      <c r="E125" s="10">
        <v>1698</v>
      </c>
      <c r="F125" s="10">
        <v>131</v>
      </c>
      <c r="G125" s="10">
        <v>13.88</v>
      </c>
      <c r="H125" s="10">
        <v>8.48</v>
      </c>
      <c r="I125" s="10">
        <v>78</v>
      </c>
    </row>
    <row r="126" spans="1:11" ht="15.5" x14ac:dyDescent="0.35">
      <c r="A126" s="2">
        <v>42475</v>
      </c>
      <c r="B126" s="61" t="s">
        <v>77</v>
      </c>
      <c r="C126" s="10">
        <v>11.86</v>
      </c>
      <c r="D126" s="10">
        <v>28656</v>
      </c>
      <c r="E126" s="10">
        <v>21640</v>
      </c>
      <c r="F126" s="10">
        <v>128.4</v>
      </c>
      <c r="G126" s="10">
        <v>12.39</v>
      </c>
      <c r="H126" s="10">
        <v>7.9</v>
      </c>
      <c r="J126">
        <v>2.7</v>
      </c>
      <c r="K126">
        <v>2.9</v>
      </c>
    </row>
    <row r="127" spans="1:11" ht="15.5" x14ac:dyDescent="0.35">
      <c r="A127" s="2">
        <v>42475</v>
      </c>
      <c r="B127" s="61" t="s">
        <v>56</v>
      </c>
      <c r="C127" s="10">
        <v>12.78</v>
      </c>
      <c r="D127" s="10">
        <v>2204</v>
      </c>
      <c r="E127" s="10">
        <v>1689</v>
      </c>
      <c r="F127" s="10">
        <v>124</v>
      </c>
      <c r="G127" s="10">
        <v>13.34</v>
      </c>
      <c r="H127" s="10">
        <v>8.49</v>
      </c>
      <c r="I127" s="10">
        <v>78</v>
      </c>
    </row>
    <row r="128" spans="1:11" ht="15.5" x14ac:dyDescent="0.35">
      <c r="A128" s="2">
        <v>42475</v>
      </c>
      <c r="B128" s="61" t="s">
        <v>57</v>
      </c>
      <c r="C128" s="10">
        <v>12.49</v>
      </c>
      <c r="D128" s="10">
        <v>13024</v>
      </c>
      <c r="E128" s="10">
        <v>9403</v>
      </c>
      <c r="F128" s="10">
        <v>130.69999999999999</v>
      </c>
      <c r="G128" s="10">
        <v>13.33</v>
      </c>
      <c r="H128" s="10">
        <v>8.1300000000000008</v>
      </c>
      <c r="J128">
        <v>1.9</v>
      </c>
      <c r="K128">
        <v>2.1</v>
      </c>
    </row>
    <row r="129" spans="1:11" s="4" customFormat="1" ht="15.5" x14ac:dyDescent="0.35">
      <c r="A129" s="3">
        <v>42475</v>
      </c>
      <c r="B129" s="62" t="s">
        <v>20</v>
      </c>
      <c r="C129" s="4">
        <v>13.19</v>
      </c>
      <c r="D129" s="4">
        <v>1992</v>
      </c>
      <c r="E129" s="4">
        <v>1542</v>
      </c>
      <c r="F129" s="4">
        <v>129.5</v>
      </c>
      <c r="G129" s="4">
        <v>13.72</v>
      </c>
      <c r="H129" s="4">
        <v>8.39</v>
      </c>
    </row>
    <row r="130" spans="1:11" ht="15.5" x14ac:dyDescent="0.35">
      <c r="A130" s="2">
        <v>42482</v>
      </c>
      <c r="B130" s="61" t="s">
        <v>6</v>
      </c>
      <c r="C130" s="10">
        <v>13.16</v>
      </c>
      <c r="D130" s="10">
        <v>2003</v>
      </c>
      <c r="E130" s="10">
        <v>1528</v>
      </c>
      <c r="F130" s="10">
        <v>124.3</v>
      </c>
      <c r="G130" s="10">
        <v>12.8</v>
      </c>
      <c r="H130" s="10">
        <v>8.77</v>
      </c>
    </row>
    <row r="131" spans="1:11" ht="15.5" x14ac:dyDescent="0.35">
      <c r="A131" s="2">
        <v>42482</v>
      </c>
      <c r="B131" s="61" t="s">
        <v>7</v>
      </c>
      <c r="C131" s="10">
        <v>13.17</v>
      </c>
      <c r="D131" s="10">
        <v>1976</v>
      </c>
      <c r="E131" s="10">
        <v>1524</v>
      </c>
      <c r="F131" s="10">
        <v>123.6</v>
      </c>
      <c r="G131" s="10">
        <v>12.74</v>
      </c>
      <c r="H131" s="10">
        <v>8.73</v>
      </c>
    </row>
    <row r="132" spans="1:11" ht="15.5" x14ac:dyDescent="0.35">
      <c r="A132" s="2">
        <v>42482</v>
      </c>
      <c r="B132" s="61" t="s">
        <v>46</v>
      </c>
      <c r="C132" s="10">
        <v>14.01</v>
      </c>
      <c r="D132" s="10">
        <v>2620</v>
      </c>
      <c r="E132" s="10">
        <v>2039</v>
      </c>
      <c r="F132" s="10">
        <v>124.8</v>
      </c>
      <c r="G132" s="10">
        <v>14.8</v>
      </c>
      <c r="H132" s="10">
        <v>8.8699999999999992</v>
      </c>
      <c r="I132" s="10">
        <v>86</v>
      </c>
    </row>
    <row r="133" spans="1:11" ht="15.5" x14ac:dyDescent="0.35">
      <c r="A133" s="2">
        <v>42482</v>
      </c>
      <c r="B133" s="61" t="s">
        <v>47</v>
      </c>
      <c r="C133" s="10">
        <v>12.4</v>
      </c>
      <c r="D133" s="10">
        <v>23350</v>
      </c>
      <c r="E133" s="10">
        <v>17720</v>
      </c>
      <c r="F133" s="10">
        <v>144.30000000000001</v>
      </c>
      <c r="G133" s="10">
        <v>14.1</v>
      </c>
      <c r="H133" s="10">
        <v>8.2100000000000009</v>
      </c>
      <c r="J133">
        <v>1.9</v>
      </c>
      <c r="K133">
        <v>2.1</v>
      </c>
    </row>
    <row r="134" spans="1:11" ht="15.5" x14ac:dyDescent="0.35">
      <c r="A134" s="2">
        <v>42482</v>
      </c>
      <c r="B134" s="61" t="s">
        <v>89</v>
      </c>
      <c r="C134" s="10">
        <v>13.8</v>
      </c>
      <c r="D134" s="10">
        <v>2650</v>
      </c>
      <c r="E134" s="10">
        <v>2076</v>
      </c>
      <c r="F134" s="10">
        <v>93.9</v>
      </c>
      <c r="G134" s="10">
        <v>11.8</v>
      </c>
      <c r="H134" s="10">
        <v>8.76</v>
      </c>
    </row>
    <row r="135" spans="1:11" ht="15.5" x14ac:dyDescent="0.35">
      <c r="A135" s="2">
        <v>42482</v>
      </c>
      <c r="B135" s="61" t="s">
        <v>90</v>
      </c>
      <c r="C135" s="10">
        <v>12.26</v>
      </c>
      <c r="D135" s="10">
        <v>23850</v>
      </c>
      <c r="E135" s="10">
        <v>18155</v>
      </c>
      <c r="F135" s="10">
        <v>115.8</v>
      </c>
      <c r="G135" s="10">
        <v>11.02</v>
      </c>
      <c r="H135" s="10">
        <v>8.08</v>
      </c>
      <c r="J135">
        <v>2.5</v>
      </c>
      <c r="K135">
        <v>2.7</v>
      </c>
    </row>
    <row r="136" spans="1:11" ht="15.5" x14ac:dyDescent="0.35">
      <c r="A136" s="2">
        <v>42482</v>
      </c>
      <c r="B136" s="61" t="s">
        <v>48</v>
      </c>
      <c r="C136" s="10">
        <v>13.76</v>
      </c>
      <c r="D136" s="10">
        <v>2560</v>
      </c>
      <c r="E136" s="10">
        <v>1997</v>
      </c>
      <c r="F136" s="10">
        <v>142.1</v>
      </c>
      <c r="G136" s="10">
        <v>15.7</v>
      </c>
      <c r="H136" s="10">
        <v>8.8000000000000007</v>
      </c>
      <c r="I136" s="10">
        <v>86</v>
      </c>
    </row>
    <row r="137" spans="1:11" ht="15.5" x14ac:dyDescent="0.35">
      <c r="A137" s="2">
        <v>42482</v>
      </c>
      <c r="B137" s="61" t="s">
        <v>49</v>
      </c>
      <c r="C137" s="10">
        <v>12.3</v>
      </c>
      <c r="D137" s="10">
        <v>22350</v>
      </c>
      <c r="E137" s="10">
        <v>17037</v>
      </c>
      <c r="F137" s="10">
        <v>208.4</v>
      </c>
      <c r="G137" s="10">
        <v>14.9</v>
      </c>
      <c r="H137" s="10">
        <v>8.3800000000000008</v>
      </c>
      <c r="J137">
        <v>1.9</v>
      </c>
      <c r="K137">
        <v>2.1</v>
      </c>
    </row>
    <row r="138" spans="1:11" ht="15.5" x14ac:dyDescent="0.35">
      <c r="A138" s="2">
        <v>42482</v>
      </c>
      <c r="B138" s="61" t="s">
        <v>50</v>
      </c>
      <c r="C138" s="10">
        <v>14.45</v>
      </c>
      <c r="D138" s="10">
        <v>4631</v>
      </c>
      <c r="E138" s="10">
        <v>3720</v>
      </c>
      <c r="F138" s="10">
        <v>132.4</v>
      </c>
      <c r="G138" s="10">
        <v>14.8</v>
      </c>
      <c r="H138" s="10">
        <v>8.64</v>
      </c>
      <c r="I138" s="10">
        <v>86</v>
      </c>
    </row>
    <row r="139" spans="1:11" ht="15.5" x14ac:dyDescent="0.35">
      <c r="A139" s="2">
        <v>42482</v>
      </c>
      <c r="B139" s="61" t="s">
        <v>51</v>
      </c>
      <c r="C139" s="10">
        <v>12.81</v>
      </c>
      <c r="D139" s="10">
        <v>24110</v>
      </c>
      <c r="E139" s="10">
        <v>18500</v>
      </c>
      <c r="F139" s="10">
        <v>160.6</v>
      </c>
      <c r="G139" s="10">
        <v>14.3</v>
      </c>
      <c r="H139" s="10">
        <v>8.18</v>
      </c>
      <c r="J139">
        <v>2.1</v>
      </c>
      <c r="K139">
        <v>2.2999999999999998</v>
      </c>
    </row>
    <row r="140" spans="1:11" ht="15.5" x14ac:dyDescent="0.35">
      <c r="A140" s="2">
        <v>42482</v>
      </c>
      <c r="B140" s="61" t="s">
        <v>91</v>
      </c>
      <c r="C140" s="10">
        <v>14.3</v>
      </c>
      <c r="D140" s="10">
        <v>5051</v>
      </c>
      <c r="E140" s="10">
        <v>4006</v>
      </c>
      <c r="F140" s="10">
        <v>197.8</v>
      </c>
      <c r="G140" s="10">
        <v>20.52</v>
      </c>
      <c r="H140" s="10">
        <v>8.69</v>
      </c>
    </row>
    <row r="141" spans="1:11" ht="15.5" x14ac:dyDescent="0.35">
      <c r="A141" s="2">
        <v>42482</v>
      </c>
      <c r="B141" s="61" t="s">
        <v>92</v>
      </c>
      <c r="C141" s="10">
        <v>12.52</v>
      </c>
      <c r="D141" s="10">
        <v>25950</v>
      </c>
      <c r="E141" s="10">
        <v>19770</v>
      </c>
      <c r="F141" s="10">
        <v>115.6</v>
      </c>
      <c r="G141" s="10">
        <v>10.47</v>
      </c>
      <c r="H141" s="10">
        <v>8.18</v>
      </c>
      <c r="J141">
        <v>3</v>
      </c>
      <c r="K141">
        <v>3.2</v>
      </c>
    </row>
    <row r="142" spans="1:11" ht="15.5" x14ac:dyDescent="0.35">
      <c r="A142" s="2">
        <v>42482</v>
      </c>
      <c r="B142" s="61" t="s">
        <v>52</v>
      </c>
      <c r="C142" s="10">
        <v>14</v>
      </c>
      <c r="D142" s="10">
        <v>4761</v>
      </c>
      <c r="E142" s="10">
        <v>3755</v>
      </c>
      <c r="F142" s="10">
        <v>182.5</v>
      </c>
      <c r="G142" s="10">
        <v>18.2</v>
      </c>
      <c r="H142" s="10">
        <v>8.6999999999999993</v>
      </c>
      <c r="I142" s="10">
        <v>88</v>
      </c>
    </row>
    <row r="143" spans="1:11" ht="15.5" x14ac:dyDescent="0.35">
      <c r="A143" s="2">
        <v>42482</v>
      </c>
      <c r="B143" s="61" t="s">
        <v>53</v>
      </c>
      <c r="C143" s="10">
        <v>12.66</v>
      </c>
      <c r="D143" s="10">
        <v>19042</v>
      </c>
      <c r="E143" s="10">
        <v>14650</v>
      </c>
      <c r="F143" s="10">
        <v>177.9</v>
      </c>
      <c r="G143" s="10">
        <v>17.010000000000002</v>
      </c>
      <c r="H143" s="10">
        <v>8.25</v>
      </c>
      <c r="J143">
        <v>1.3</v>
      </c>
      <c r="K143">
        <v>1.5</v>
      </c>
    </row>
    <row r="144" spans="1:11" ht="15.5" x14ac:dyDescent="0.35">
      <c r="A144" s="2">
        <v>42482</v>
      </c>
      <c r="B144" s="61" t="s">
        <v>54</v>
      </c>
      <c r="C144" s="10">
        <v>14.47</v>
      </c>
      <c r="D144" s="10">
        <v>6546</v>
      </c>
      <c r="E144" s="10">
        <v>5250</v>
      </c>
      <c r="F144" s="10">
        <v>148.5</v>
      </c>
      <c r="G144" s="10">
        <v>15.06</v>
      </c>
      <c r="H144" s="10">
        <v>8.42</v>
      </c>
      <c r="I144" s="10">
        <v>89</v>
      </c>
    </row>
    <row r="145" spans="1:11" ht="15.5" x14ac:dyDescent="0.35">
      <c r="A145" s="2">
        <v>42482</v>
      </c>
      <c r="B145" s="61" t="s">
        <v>55</v>
      </c>
      <c r="C145" s="10">
        <v>12.99</v>
      </c>
      <c r="D145" s="10">
        <v>24680</v>
      </c>
      <c r="E145" s="10">
        <v>19055</v>
      </c>
      <c r="F145" s="10">
        <v>133</v>
      </c>
      <c r="G145" s="10">
        <v>12.06</v>
      </c>
      <c r="H145" s="10">
        <v>8.11</v>
      </c>
      <c r="J145">
        <v>2.1</v>
      </c>
      <c r="K145">
        <v>2.2999999999999998</v>
      </c>
    </row>
    <row r="146" spans="1:11" ht="15.5" x14ac:dyDescent="0.35">
      <c r="A146" s="2">
        <v>42482</v>
      </c>
      <c r="B146" s="61" t="s">
        <v>93</v>
      </c>
      <c r="C146" s="10">
        <v>14.67</v>
      </c>
      <c r="D146" s="10">
        <v>6102</v>
      </c>
      <c r="E146" s="10">
        <v>4853</v>
      </c>
      <c r="F146" s="10">
        <v>158.19999999999999</v>
      </c>
      <c r="G146" s="10">
        <v>15.75</v>
      </c>
      <c r="H146" s="10">
        <v>8.5299999999999994</v>
      </c>
    </row>
    <row r="147" spans="1:11" ht="15.5" x14ac:dyDescent="0.35">
      <c r="A147" s="2">
        <v>42482</v>
      </c>
      <c r="B147" s="61" t="s">
        <v>77</v>
      </c>
      <c r="C147" s="10">
        <v>12.7</v>
      </c>
      <c r="D147" s="10">
        <v>26980</v>
      </c>
      <c r="E147" s="10">
        <v>20739</v>
      </c>
      <c r="F147" s="10">
        <v>144.80000000000001</v>
      </c>
      <c r="G147" s="10">
        <v>13</v>
      </c>
      <c r="H147" s="10">
        <v>8.1300000000000008</v>
      </c>
      <c r="J147">
        <v>2.6</v>
      </c>
      <c r="K147">
        <v>2.8</v>
      </c>
    </row>
    <row r="148" spans="1:11" ht="15.5" x14ac:dyDescent="0.35">
      <c r="A148" s="2">
        <v>42482</v>
      </c>
      <c r="B148" s="61" t="s">
        <v>56</v>
      </c>
      <c r="C148" s="10">
        <v>14.56</v>
      </c>
      <c r="D148">
        <v>6112</v>
      </c>
      <c r="E148">
        <v>4885</v>
      </c>
      <c r="F148">
        <v>144.69999999999999</v>
      </c>
      <c r="G148">
        <v>15.29</v>
      </c>
      <c r="H148">
        <v>8.5399999999999991</v>
      </c>
      <c r="I148">
        <v>86</v>
      </c>
    </row>
    <row r="149" spans="1:11" ht="15.5" x14ac:dyDescent="0.35">
      <c r="A149" s="2">
        <v>42482</v>
      </c>
      <c r="B149" s="61" t="s">
        <v>57</v>
      </c>
      <c r="C149" s="10">
        <v>12.9</v>
      </c>
      <c r="D149">
        <v>17880</v>
      </c>
      <c r="E149">
        <v>13750</v>
      </c>
      <c r="F149">
        <v>152.4</v>
      </c>
      <c r="G149">
        <v>13.86</v>
      </c>
      <c r="H149">
        <v>8.1999999999999993</v>
      </c>
      <c r="J149">
        <v>1.1000000000000001</v>
      </c>
      <c r="K149">
        <v>1.3</v>
      </c>
    </row>
    <row r="150" spans="1:11" s="4" customFormat="1" ht="15.5" x14ac:dyDescent="0.35">
      <c r="A150" s="3">
        <v>42482</v>
      </c>
      <c r="B150" s="62" t="s">
        <v>20</v>
      </c>
      <c r="C150" s="4">
        <v>13.22</v>
      </c>
      <c r="D150" s="4">
        <v>2902</v>
      </c>
      <c r="E150" s="4">
        <v>2249</v>
      </c>
      <c r="F150" s="4">
        <v>216</v>
      </c>
      <c r="G150" s="4">
        <v>22.46</v>
      </c>
      <c r="H150" s="4">
        <v>8.69</v>
      </c>
    </row>
    <row r="151" spans="1:11" ht="15.5" x14ac:dyDescent="0.35">
      <c r="A151" s="2">
        <v>42489</v>
      </c>
      <c r="B151" s="61" t="s">
        <v>6</v>
      </c>
    </row>
    <row r="152" spans="1:11" ht="15.5" x14ac:dyDescent="0.35">
      <c r="A152" s="2">
        <v>42489</v>
      </c>
      <c r="B152" s="61" t="s">
        <v>7</v>
      </c>
    </row>
    <row r="153" spans="1:11" ht="15.5" x14ac:dyDescent="0.35">
      <c r="A153" s="2">
        <v>42489</v>
      </c>
      <c r="B153" s="61" t="s">
        <v>46</v>
      </c>
      <c r="C153">
        <v>10.8</v>
      </c>
      <c r="D153">
        <v>3062</v>
      </c>
      <c r="E153">
        <v>2250</v>
      </c>
      <c r="F153">
        <v>119.4</v>
      </c>
      <c r="G153">
        <v>13.44</v>
      </c>
      <c r="H153">
        <v>8.6999999999999993</v>
      </c>
      <c r="I153">
        <v>61</v>
      </c>
      <c r="J153">
        <v>2.2999999999999998</v>
      </c>
      <c r="K153">
        <v>2.5</v>
      </c>
    </row>
    <row r="154" spans="1:11" ht="15.5" x14ac:dyDescent="0.35">
      <c r="A154" s="2">
        <v>42489</v>
      </c>
      <c r="B154" s="61" t="s">
        <v>47</v>
      </c>
      <c r="C154">
        <v>10.74</v>
      </c>
      <c r="D154">
        <v>21410</v>
      </c>
      <c r="E154">
        <v>15350</v>
      </c>
      <c r="F154">
        <v>114.2</v>
      </c>
      <c r="G154">
        <v>11.1</v>
      </c>
      <c r="H154">
        <v>8.19</v>
      </c>
    </row>
    <row r="155" spans="1:11" ht="15.5" x14ac:dyDescent="0.35">
      <c r="A155" s="2">
        <v>42489</v>
      </c>
      <c r="B155" s="61" t="s">
        <v>89</v>
      </c>
      <c r="C155">
        <v>10.6</v>
      </c>
      <c r="D155">
        <v>3196</v>
      </c>
      <c r="E155">
        <v>2308</v>
      </c>
      <c r="F155">
        <v>110.3</v>
      </c>
      <c r="G155">
        <v>12.4</v>
      </c>
      <c r="H155">
        <v>8.6999999999999993</v>
      </c>
      <c r="I155">
        <v>60</v>
      </c>
      <c r="J155">
        <v>2.6</v>
      </c>
      <c r="K155">
        <v>2.8</v>
      </c>
    </row>
    <row r="156" spans="1:11" ht="15.5" x14ac:dyDescent="0.35">
      <c r="A156" s="2">
        <v>42489</v>
      </c>
      <c r="B156" s="61" t="s">
        <v>90</v>
      </c>
      <c r="C156">
        <v>10.62</v>
      </c>
      <c r="D156">
        <v>22045</v>
      </c>
      <c r="E156">
        <v>16001</v>
      </c>
      <c r="F156">
        <v>105.8</v>
      </c>
      <c r="G156">
        <v>10.1</v>
      </c>
      <c r="H156">
        <v>8.17</v>
      </c>
    </row>
    <row r="157" spans="1:11" ht="15.5" x14ac:dyDescent="0.35">
      <c r="A157" s="2">
        <v>42489</v>
      </c>
      <c r="B157" s="61" t="s">
        <v>48</v>
      </c>
      <c r="C157">
        <v>10.84</v>
      </c>
      <c r="D157">
        <v>3220</v>
      </c>
      <c r="E157">
        <v>2346</v>
      </c>
      <c r="F157">
        <v>119.1</v>
      </c>
      <c r="G157">
        <v>13.05</v>
      </c>
      <c r="H157">
        <v>8.86</v>
      </c>
      <c r="I157">
        <v>61</v>
      </c>
      <c r="J157">
        <v>2.2999999999999998</v>
      </c>
      <c r="K157">
        <v>2.5</v>
      </c>
    </row>
    <row r="158" spans="1:11" ht="15.5" x14ac:dyDescent="0.35">
      <c r="A158" s="2">
        <v>42489</v>
      </c>
      <c r="B158" s="61" t="s">
        <v>49</v>
      </c>
      <c r="C158">
        <v>10.76</v>
      </c>
      <c r="D158">
        <v>21501</v>
      </c>
      <c r="E158">
        <v>15631</v>
      </c>
      <c r="F158">
        <v>108</v>
      </c>
      <c r="G158">
        <v>11.03</v>
      </c>
      <c r="H158">
        <v>8.51</v>
      </c>
    </row>
    <row r="159" spans="1:11" ht="15.5" x14ac:dyDescent="0.35">
      <c r="A159" s="2">
        <v>42489</v>
      </c>
      <c r="B159" s="61" t="s">
        <v>50</v>
      </c>
      <c r="C159">
        <v>10.8</v>
      </c>
      <c r="D159">
        <v>2631</v>
      </c>
      <c r="E159">
        <v>1846</v>
      </c>
      <c r="F159">
        <v>144.4</v>
      </c>
      <c r="G159">
        <v>16.03</v>
      </c>
      <c r="H159">
        <v>8.77</v>
      </c>
      <c r="I159">
        <v>61</v>
      </c>
      <c r="J159">
        <v>2</v>
      </c>
      <c r="K159">
        <v>2.2000000000000002</v>
      </c>
    </row>
    <row r="160" spans="1:11" ht="15.5" x14ac:dyDescent="0.35">
      <c r="A160" s="2">
        <v>42489</v>
      </c>
      <c r="B160" s="61" t="s">
        <v>51</v>
      </c>
      <c r="C160">
        <v>10.5</v>
      </c>
      <c r="D160">
        <v>20330</v>
      </c>
      <c r="E160">
        <v>14900</v>
      </c>
      <c r="F160">
        <v>133</v>
      </c>
      <c r="G160">
        <v>13.11</v>
      </c>
      <c r="H160">
        <v>8.27</v>
      </c>
    </row>
    <row r="161" spans="1:11" ht="15.5" x14ac:dyDescent="0.35">
      <c r="A161" s="2">
        <v>42489</v>
      </c>
      <c r="B161" s="61" t="s">
        <v>91</v>
      </c>
      <c r="C161">
        <v>10.84</v>
      </c>
      <c r="D161">
        <v>2480</v>
      </c>
      <c r="E161">
        <v>1810</v>
      </c>
      <c r="F161">
        <v>135.69999999999999</v>
      </c>
      <c r="G161">
        <v>15.03</v>
      </c>
      <c r="H161">
        <v>8.76</v>
      </c>
      <c r="I161">
        <v>60</v>
      </c>
      <c r="J161">
        <v>2.6</v>
      </c>
      <c r="K161">
        <v>2.8</v>
      </c>
    </row>
    <row r="162" spans="1:11" ht="15.5" x14ac:dyDescent="0.35">
      <c r="A162" s="2">
        <v>42489</v>
      </c>
      <c r="B162" s="61" t="s">
        <v>92</v>
      </c>
      <c r="C162">
        <v>10.02</v>
      </c>
      <c r="D162">
        <v>25401</v>
      </c>
      <c r="E162">
        <v>18570</v>
      </c>
      <c r="F162">
        <v>107.7</v>
      </c>
      <c r="G162">
        <v>10.75</v>
      </c>
      <c r="H162">
        <v>8.16</v>
      </c>
    </row>
    <row r="163" spans="1:11" ht="15.5" x14ac:dyDescent="0.35">
      <c r="A163" s="2">
        <v>42489</v>
      </c>
      <c r="B163" s="61" t="s">
        <v>52</v>
      </c>
      <c r="C163">
        <v>10.8</v>
      </c>
      <c r="D163">
        <v>2902</v>
      </c>
      <c r="E163">
        <v>1824</v>
      </c>
      <c r="F163">
        <v>134</v>
      </c>
      <c r="G163">
        <v>14.38</v>
      </c>
      <c r="H163">
        <v>8.7799999999999994</v>
      </c>
      <c r="I163">
        <v>62</v>
      </c>
      <c r="J163">
        <v>2.2000000000000002</v>
      </c>
      <c r="K163">
        <v>2.4</v>
      </c>
    </row>
    <row r="164" spans="1:11" ht="15.5" x14ac:dyDescent="0.35">
      <c r="A164" s="2">
        <v>42489</v>
      </c>
      <c r="B164" s="61" t="s">
        <v>53</v>
      </c>
      <c r="C164">
        <v>10.61</v>
      </c>
      <c r="D164">
        <v>23700</v>
      </c>
      <c r="E164">
        <v>17160</v>
      </c>
      <c r="F164">
        <v>123.5</v>
      </c>
      <c r="G164">
        <v>12.5</v>
      </c>
      <c r="H164">
        <v>8.1999999999999993</v>
      </c>
    </row>
    <row r="165" spans="1:11" ht="15.5" x14ac:dyDescent="0.35">
      <c r="A165" s="2">
        <v>42489</v>
      </c>
      <c r="B165" s="61" t="s">
        <v>54</v>
      </c>
      <c r="C165">
        <v>11.3</v>
      </c>
      <c r="D165">
        <v>2280</v>
      </c>
      <c r="E165">
        <v>1683</v>
      </c>
      <c r="F165">
        <v>141.5</v>
      </c>
      <c r="G165">
        <v>15.67</v>
      </c>
      <c r="H165">
        <v>8.36</v>
      </c>
      <c r="I165">
        <v>63</v>
      </c>
      <c r="J165">
        <v>1.8</v>
      </c>
      <c r="K165">
        <v>2</v>
      </c>
    </row>
    <row r="166" spans="1:11" ht="15.5" x14ac:dyDescent="0.35">
      <c r="A166" s="2">
        <v>42489</v>
      </c>
      <c r="B166" s="61" t="s">
        <v>55</v>
      </c>
      <c r="C166">
        <v>10.62</v>
      </c>
      <c r="D166">
        <v>14600</v>
      </c>
      <c r="E166">
        <v>9270</v>
      </c>
      <c r="F166">
        <v>113.7</v>
      </c>
      <c r="G166">
        <v>11.4</v>
      </c>
      <c r="H166">
        <v>8.15</v>
      </c>
    </row>
    <row r="167" spans="1:11" ht="15.5" x14ac:dyDescent="0.35">
      <c r="A167" s="2">
        <v>42489</v>
      </c>
      <c r="B167" s="61" t="s">
        <v>93</v>
      </c>
      <c r="C167">
        <v>10.9</v>
      </c>
      <c r="D167">
        <v>2290</v>
      </c>
      <c r="E167">
        <v>1686</v>
      </c>
      <c r="F167">
        <v>139.69999999999999</v>
      </c>
      <c r="G167">
        <v>15.63</v>
      </c>
      <c r="H167">
        <v>8.6300000000000008</v>
      </c>
      <c r="I167">
        <v>63</v>
      </c>
      <c r="J167">
        <v>2.5</v>
      </c>
      <c r="K167">
        <v>2.7</v>
      </c>
    </row>
    <row r="168" spans="1:11" ht="15.5" x14ac:dyDescent="0.35">
      <c r="A168" s="2">
        <v>42489</v>
      </c>
      <c r="B168" s="61" t="s">
        <v>77</v>
      </c>
      <c r="C168">
        <v>11.01</v>
      </c>
      <c r="D168">
        <v>28023</v>
      </c>
      <c r="E168">
        <v>20210</v>
      </c>
      <c r="F168">
        <v>137.19999999999999</v>
      </c>
      <c r="G168">
        <v>12.7</v>
      </c>
      <c r="H168">
        <v>8.0399999999999991</v>
      </c>
    </row>
    <row r="169" spans="1:11" ht="15.5" x14ac:dyDescent="0.35">
      <c r="A169" s="2">
        <v>42489</v>
      </c>
      <c r="B169" s="61" t="s">
        <v>56</v>
      </c>
      <c r="C169">
        <v>11.08</v>
      </c>
      <c r="D169">
        <v>2301</v>
      </c>
      <c r="E169">
        <v>1696</v>
      </c>
      <c r="F169">
        <v>131.9</v>
      </c>
      <c r="G169">
        <v>14.9</v>
      </c>
      <c r="H169">
        <v>8.6999999999999993</v>
      </c>
      <c r="I169">
        <v>60</v>
      </c>
      <c r="J169">
        <v>2.1</v>
      </c>
      <c r="K169">
        <v>2.2999999999999998</v>
      </c>
    </row>
    <row r="170" spans="1:11" ht="15.5" x14ac:dyDescent="0.35">
      <c r="A170" s="2">
        <v>42489</v>
      </c>
      <c r="B170" s="61" t="s">
        <v>57</v>
      </c>
      <c r="C170">
        <v>10.4</v>
      </c>
      <c r="D170">
        <v>22400</v>
      </c>
      <c r="E170">
        <v>16350</v>
      </c>
      <c r="F170">
        <v>133.19999999999999</v>
      </c>
      <c r="G170">
        <v>13.1</v>
      </c>
      <c r="H170">
        <v>8.1999999999999993</v>
      </c>
    </row>
    <row r="171" spans="1:11" s="4" customFormat="1" ht="15.5" x14ac:dyDescent="0.35">
      <c r="A171" s="3">
        <v>42490</v>
      </c>
      <c r="B171" s="62" t="s">
        <v>20</v>
      </c>
      <c r="C171" s="4">
        <v>10.77</v>
      </c>
      <c r="D171" s="4">
        <v>4408</v>
      </c>
      <c r="E171" s="4">
        <v>3216</v>
      </c>
      <c r="F171" s="4">
        <v>122.6</v>
      </c>
      <c r="G171" s="4">
        <v>13.37</v>
      </c>
      <c r="H171" s="4">
        <v>8.5</v>
      </c>
    </row>
    <row r="172" spans="1:11" ht="15.5" x14ac:dyDescent="0.35">
      <c r="A172" s="2">
        <v>42494</v>
      </c>
      <c r="B172" s="61" t="s">
        <v>6</v>
      </c>
      <c r="C172" s="10">
        <v>12.68</v>
      </c>
      <c r="D172" s="10">
        <v>2009</v>
      </c>
      <c r="E172" s="10">
        <v>1533</v>
      </c>
      <c r="F172" s="10">
        <v>109.6</v>
      </c>
      <c r="G172" s="10">
        <v>10.38</v>
      </c>
      <c r="H172" s="10">
        <v>8.36</v>
      </c>
    </row>
    <row r="173" spans="1:11" ht="15.5" x14ac:dyDescent="0.35">
      <c r="A173" s="2">
        <v>42494</v>
      </c>
      <c r="B173" s="61" t="s">
        <v>7</v>
      </c>
      <c r="C173" s="10">
        <v>12.98</v>
      </c>
      <c r="D173" s="10">
        <v>1989</v>
      </c>
      <c r="E173" s="10">
        <v>1540</v>
      </c>
      <c r="F173" s="10">
        <v>108.8</v>
      </c>
      <c r="G173" s="10">
        <v>11.13</v>
      </c>
      <c r="H173" s="10">
        <v>8.5399999999999991</v>
      </c>
    </row>
    <row r="174" spans="1:11" ht="15.5" x14ac:dyDescent="0.35">
      <c r="A174" s="2">
        <v>42494</v>
      </c>
      <c r="B174" s="61" t="s">
        <v>46</v>
      </c>
      <c r="C174">
        <v>13.94</v>
      </c>
      <c r="D174">
        <v>3471</v>
      </c>
      <c r="E174">
        <v>2711</v>
      </c>
      <c r="F174">
        <v>143.5</v>
      </c>
      <c r="G174">
        <v>14.64</v>
      </c>
      <c r="H174">
        <v>8.27</v>
      </c>
      <c r="I174">
        <v>68</v>
      </c>
    </row>
    <row r="175" spans="1:11" ht="15.5" x14ac:dyDescent="0.35">
      <c r="A175" s="2">
        <v>42494</v>
      </c>
      <c r="B175" s="61" t="s">
        <v>47</v>
      </c>
      <c r="C175">
        <v>12.07</v>
      </c>
      <c r="D175">
        <v>20550</v>
      </c>
      <c r="E175">
        <v>14080</v>
      </c>
      <c r="F175">
        <v>56.6</v>
      </c>
      <c r="G175">
        <v>6.7</v>
      </c>
      <c r="H175">
        <v>8.16</v>
      </c>
      <c r="J175">
        <v>1.6</v>
      </c>
      <c r="K175">
        <v>2</v>
      </c>
    </row>
    <row r="176" spans="1:11" ht="15.5" x14ac:dyDescent="0.35">
      <c r="A176" s="2">
        <v>42494</v>
      </c>
      <c r="B176" s="61" t="s">
        <v>89</v>
      </c>
      <c r="C176">
        <v>13.44</v>
      </c>
      <c r="D176">
        <v>4630</v>
      </c>
      <c r="E176">
        <v>3664</v>
      </c>
      <c r="F176">
        <v>103.7</v>
      </c>
      <c r="G176">
        <v>10.84</v>
      </c>
      <c r="H176">
        <v>8.36</v>
      </c>
    </row>
    <row r="177" spans="1:11" ht="15.5" x14ac:dyDescent="0.35">
      <c r="A177" s="2">
        <v>42494</v>
      </c>
      <c r="B177" s="61" t="s">
        <v>90</v>
      </c>
      <c r="C177">
        <v>11.69</v>
      </c>
      <c r="D177">
        <v>21778</v>
      </c>
      <c r="E177">
        <v>16331</v>
      </c>
      <c r="F177">
        <v>88</v>
      </c>
      <c r="G177">
        <v>8.7899999999999991</v>
      </c>
      <c r="H177">
        <v>7.99</v>
      </c>
      <c r="J177">
        <v>2.5</v>
      </c>
      <c r="K177">
        <v>2.7</v>
      </c>
    </row>
    <row r="178" spans="1:11" ht="15.5" x14ac:dyDescent="0.35">
      <c r="A178" s="2">
        <v>42494</v>
      </c>
      <c r="B178" s="61" t="s">
        <v>48</v>
      </c>
      <c r="C178">
        <v>13.44</v>
      </c>
      <c r="D178">
        <v>4167</v>
      </c>
      <c r="E178">
        <v>3067</v>
      </c>
      <c r="F178">
        <v>113.7</v>
      </c>
      <c r="G178">
        <v>11.71</v>
      </c>
      <c r="H178">
        <v>8.43</v>
      </c>
    </row>
    <row r="179" spans="1:11" ht="15.5" x14ac:dyDescent="0.35">
      <c r="A179" s="2">
        <v>42494</v>
      </c>
      <c r="B179" s="61" t="s">
        <v>49</v>
      </c>
      <c r="C179">
        <v>11.49</v>
      </c>
      <c r="D179">
        <v>21449</v>
      </c>
      <c r="E179">
        <v>15940</v>
      </c>
      <c r="F179">
        <v>71.900000000000006</v>
      </c>
      <c r="G179">
        <v>6.46</v>
      </c>
      <c r="H179">
        <v>8.01</v>
      </c>
      <c r="J179">
        <v>2</v>
      </c>
      <c r="K179">
        <v>2.4</v>
      </c>
    </row>
    <row r="180" spans="1:11" ht="15.5" x14ac:dyDescent="0.35">
      <c r="A180" s="2">
        <v>42494</v>
      </c>
      <c r="B180" s="61" t="s">
        <v>50</v>
      </c>
      <c r="C180">
        <v>13.41</v>
      </c>
      <c r="D180">
        <v>4545</v>
      </c>
      <c r="E180">
        <v>2757</v>
      </c>
      <c r="F180">
        <v>116.2</v>
      </c>
      <c r="G180">
        <v>15.25</v>
      </c>
      <c r="H180">
        <v>8.58</v>
      </c>
    </row>
    <row r="181" spans="1:11" ht="15.5" x14ac:dyDescent="0.35">
      <c r="A181" s="2">
        <v>42494</v>
      </c>
      <c r="B181" s="61" t="s">
        <v>51</v>
      </c>
      <c r="C181">
        <v>11.86</v>
      </c>
      <c r="D181">
        <v>20980</v>
      </c>
      <c r="E181">
        <v>15802</v>
      </c>
      <c r="F181">
        <v>137.19999999999999</v>
      </c>
      <c r="G181">
        <v>12.64</v>
      </c>
      <c r="H181">
        <v>8.1199999999999992</v>
      </c>
      <c r="J181">
        <v>2.5</v>
      </c>
      <c r="K181">
        <v>2.7</v>
      </c>
    </row>
    <row r="182" spans="1:11" ht="15.5" x14ac:dyDescent="0.35">
      <c r="A182" s="2">
        <v>42494</v>
      </c>
      <c r="B182" s="61" t="s">
        <v>91</v>
      </c>
      <c r="C182">
        <v>13.22</v>
      </c>
      <c r="D182">
        <v>3048</v>
      </c>
      <c r="E182">
        <v>2352</v>
      </c>
      <c r="F182">
        <v>111.2</v>
      </c>
      <c r="G182">
        <v>12.22</v>
      </c>
      <c r="H182">
        <v>8.64</v>
      </c>
    </row>
    <row r="183" spans="1:11" ht="15.5" x14ac:dyDescent="0.35">
      <c r="A183" s="2">
        <v>42494</v>
      </c>
      <c r="B183" s="61" t="s">
        <v>92</v>
      </c>
      <c r="C183">
        <v>11.69</v>
      </c>
      <c r="D183">
        <v>25403</v>
      </c>
      <c r="E183">
        <v>19044</v>
      </c>
      <c r="F183">
        <v>116.8</v>
      </c>
      <c r="G183">
        <v>10.42</v>
      </c>
      <c r="H183">
        <v>8.09</v>
      </c>
      <c r="J183">
        <v>2.5</v>
      </c>
      <c r="K183">
        <v>2.8</v>
      </c>
    </row>
    <row r="184" spans="1:11" ht="15.5" x14ac:dyDescent="0.35">
      <c r="A184" s="2">
        <v>42494</v>
      </c>
      <c r="B184" s="61" t="s">
        <v>52</v>
      </c>
      <c r="C184">
        <v>13.21</v>
      </c>
      <c r="D184">
        <v>2993</v>
      </c>
      <c r="E184">
        <v>2310</v>
      </c>
      <c r="F184">
        <v>128.69999999999999</v>
      </c>
      <c r="G184">
        <v>15</v>
      </c>
      <c r="H184">
        <v>8.66</v>
      </c>
    </row>
    <row r="185" spans="1:11" ht="15.5" x14ac:dyDescent="0.35">
      <c r="A185" s="2">
        <v>42494</v>
      </c>
      <c r="B185" s="61" t="s">
        <v>53</v>
      </c>
      <c r="C185">
        <v>11.58</v>
      </c>
      <c r="D185">
        <v>25291</v>
      </c>
      <c r="E185">
        <v>18985</v>
      </c>
      <c r="F185">
        <v>129.5</v>
      </c>
      <c r="G185">
        <v>9.3000000000000007</v>
      </c>
      <c r="H185">
        <v>8.11</v>
      </c>
      <c r="J185">
        <v>2.5</v>
      </c>
      <c r="K185">
        <v>2.8</v>
      </c>
    </row>
    <row r="186" spans="1:11" ht="15.5" x14ac:dyDescent="0.35">
      <c r="A186" s="2">
        <v>42494</v>
      </c>
      <c r="B186" s="61" t="s">
        <v>54</v>
      </c>
      <c r="C186">
        <v>13.24</v>
      </c>
      <c r="D186">
        <v>2943</v>
      </c>
      <c r="E186">
        <v>2272</v>
      </c>
      <c r="F186">
        <v>162.1</v>
      </c>
      <c r="G186">
        <v>17.37</v>
      </c>
      <c r="H186">
        <v>8.7200000000000006</v>
      </c>
    </row>
    <row r="187" spans="1:11" ht="15.5" x14ac:dyDescent="0.35">
      <c r="A187" s="2">
        <v>42494</v>
      </c>
      <c r="B187" s="61" t="s">
        <v>55</v>
      </c>
      <c r="C187">
        <v>12.17</v>
      </c>
      <c r="D187">
        <v>22610</v>
      </c>
      <c r="E187">
        <v>17078</v>
      </c>
      <c r="F187">
        <v>140.69999999999999</v>
      </c>
      <c r="G187">
        <v>11.8</v>
      </c>
      <c r="H187">
        <v>8.25</v>
      </c>
      <c r="J187">
        <v>1.6</v>
      </c>
      <c r="K187">
        <v>2</v>
      </c>
    </row>
    <row r="188" spans="1:11" ht="15.5" x14ac:dyDescent="0.35">
      <c r="A188" s="2">
        <v>42494</v>
      </c>
      <c r="B188" s="61" t="s">
        <v>93</v>
      </c>
      <c r="C188">
        <v>13.15</v>
      </c>
      <c r="D188">
        <v>2932</v>
      </c>
      <c r="E188">
        <v>2361</v>
      </c>
      <c r="F188">
        <v>141.1</v>
      </c>
      <c r="G188">
        <v>15.77</v>
      </c>
      <c r="H188">
        <v>8.75</v>
      </c>
    </row>
    <row r="189" spans="1:11" ht="15.5" x14ac:dyDescent="0.35">
      <c r="A189" s="2">
        <v>42494</v>
      </c>
      <c r="B189" s="61" t="s">
        <v>77</v>
      </c>
      <c r="C189">
        <v>11.96</v>
      </c>
      <c r="D189">
        <v>25699</v>
      </c>
      <c r="E189">
        <v>19634</v>
      </c>
      <c r="F189">
        <v>121.8</v>
      </c>
      <c r="G189">
        <v>10.99</v>
      </c>
      <c r="H189">
        <v>8.19</v>
      </c>
      <c r="J189">
        <v>2.5</v>
      </c>
      <c r="K189">
        <v>3.1</v>
      </c>
    </row>
    <row r="190" spans="1:11" ht="15.5" x14ac:dyDescent="0.35">
      <c r="A190" s="2">
        <v>42494</v>
      </c>
      <c r="B190" s="61" t="s">
        <v>56</v>
      </c>
      <c r="C190">
        <v>12.95</v>
      </c>
      <c r="D190">
        <v>2932</v>
      </c>
      <c r="E190">
        <v>2255</v>
      </c>
      <c r="F190">
        <v>145.6</v>
      </c>
      <c r="G190">
        <v>15.52</v>
      </c>
      <c r="H190">
        <v>8.76</v>
      </c>
    </row>
    <row r="191" spans="1:11" s="4" customFormat="1" ht="15.5" x14ac:dyDescent="0.35">
      <c r="A191" s="3">
        <v>42494</v>
      </c>
      <c r="B191" s="62" t="s">
        <v>57</v>
      </c>
      <c r="C191" s="4">
        <v>11.8</v>
      </c>
      <c r="D191" s="4">
        <v>16756</v>
      </c>
      <c r="E191" s="4">
        <v>14138</v>
      </c>
      <c r="F191" s="4">
        <v>82.9</v>
      </c>
      <c r="G191" s="4">
        <v>8.1</v>
      </c>
      <c r="H191" s="4">
        <v>8.26</v>
      </c>
      <c r="J191" s="4">
        <v>1.5</v>
      </c>
      <c r="K191" s="4">
        <v>1.8</v>
      </c>
    </row>
    <row r="192" spans="1:11" s="5" customFormat="1" ht="15.5" x14ac:dyDescent="0.35">
      <c r="A192" s="13">
        <v>42503</v>
      </c>
      <c r="B192" s="61" t="s">
        <v>6</v>
      </c>
      <c r="C192" s="10">
        <v>18.59</v>
      </c>
      <c r="D192" s="10">
        <v>2139</v>
      </c>
      <c r="E192" s="10">
        <v>1877</v>
      </c>
      <c r="F192" s="10">
        <v>70.2</v>
      </c>
      <c r="G192" s="10">
        <v>6.2</v>
      </c>
      <c r="H192" s="10">
        <v>8.24</v>
      </c>
    </row>
    <row r="193" spans="1:11" ht="15.5" x14ac:dyDescent="0.35">
      <c r="A193" s="2">
        <v>42503</v>
      </c>
      <c r="B193" s="61" t="s">
        <v>7</v>
      </c>
      <c r="C193" s="10">
        <v>18.37</v>
      </c>
      <c r="D193" s="10">
        <v>2222</v>
      </c>
      <c r="E193" s="10">
        <v>1920</v>
      </c>
      <c r="F193" s="10">
        <v>92</v>
      </c>
      <c r="G193" s="10">
        <v>8.61</v>
      </c>
      <c r="H193" s="10">
        <v>8.7899999999999991</v>
      </c>
    </row>
    <row r="194" spans="1:11" ht="15.5" x14ac:dyDescent="0.35">
      <c r="A194" s="2">
        <v>42503</v>
      </c>
      <c r="B194" s="61" t="s">
        <v>46</v>
      </c>
      <c r="C194">
        <v>17.920000000000002</v>
      </c>
      <c r="D194">
        <v>14822</v>
      </c>
      <c r="E194">
        <v>12710</v>
      </c>
      <c r="F194">
        <v>101.2</v>
      </c>
      <c r="G194">
        <v>9.1300000000000008</v>
      </c>
      <c r="H194">
        <v>8.33</v>
      </c>
    </row>
    <row r="195" spans="1:11" ht="15.5" x14ac:dyDescent="0.35">
      <c r="A195" s="2">
        <v>42503</v>
      </c>
      <c r="B195" s="61" t="s">
        <v>47</v>
      </c>
      <c r="C195">
        <v>15.74</v>
      </c>
      <c r="D195">
        <v>30798</v>
      </c>
      <c r="E195">
        <v>25595</v>
      </c>
      <c r="F195">
        <v>63.9</v>
      </c>
      <c r="G195">
        <v>4.92</v>
      </c>
      <c r="H195">
        <v>8.0500000000000007</v>
      </c>
      <c r="J195">
        <v>1.9</v>
      </c>
      <c r="K195">
        <v>2</v>
      </c>
    </row>
    <row r="196" spans="1:11" ht="15.5" x14ac:dyDescent="0.35">
      <c r="A196" s="2">
        <v>42503</v>
      </c>
      <c r="B196" s="61" t="s">
        <v>89</v>
      </c>
      <c r="C196">
        <v>17.46</v>
      </c>
      <c r="D196">
        <v>16694</v>
      </c>
      <c r="E196">
        <v>14300</v>
      </c>
      <c r="F196">
        <v>93.9</v>
      </c>
      <c r="G196">
        <v>8.64</v>
      </c>
      <c r="H196">
        <v>8.27</v>
      </c>
    </row>
    <row r="197" spans="1:11" ht="15.5" x14ac:dyDescent="0.35">
      <c r="A197" s="2">
        <v>42503</v>
      </c>
      <c r="B197" s="61" t="s">
        <v>90</v>
      </c>
      <c r="C197">
        <v>15.91</v>
      </c>
      <c r="D197">
        <v>31186</v>
      </c>
      <c r="E197">
        <v>25729</v>
      </c>
      <c r="F197">
        <v>83.5</v>
      </c>
      <c r="G197">
        <v>6.26</v>
      </c>
      <c r="H197">
        <v>8.0399999999999991</v>
      </c>
      <c r="J197">
        <v>2.5</v>
      </c>
      <c r="K197">
        <v>2.7</v>
      </c>
    </row>
    <row r="198" spans="1:11" ht="15.5" x14ac:dyDescent="0.35">
      <c r="A198" s="2">
        <v>42503</v>
      </c>
      <c r="B198" s="61" t="s">
        <v>48</v>
      </c>
      <c r="C198">
        <v>17.309999999999999</v>
      </c>
      <c r="D198">
        <v>15749</v>
      </c>
      <c r="E198">
        <v>13507</v>
      </c>
      <c r="F198">
        <v>87.3</v>
      </c>
      <c r="G198">
        <v>8.11</v>
      </c>
      <c r="H198">
        <v>8.25</v>
      </c>
    </row>
    <row r="199" spans="1:11" ht="15.5" x14ac:dyDescent="0.35">
      <c r="A199" s="2">
        <v>42503</v>
      </c>
      <c r="B199" s="61" t="s">
        <v>49</v>
      </c>
      <c r="C199">
        <v>15.86</v>
      </c>
      <c r="D199">
        <v>30705</v>
      </c>
      <c r="E199">
        <v>25444</v>
      </c>
      <c r="F199">
        <v>73.7</v>
      </c>
      <c r="G199">
        <v>5.49</v>
      </c>
      <c r="H199">
        <v>8.02</v>
      </c>
      <c r="J199">
        <v>2</v>
      </c>
      <c r="K199">
        <v>2.5</v>
      </c>
    </row>
    <row r="200" spans="1:11" ht="15.5" x14ac:dyDescent="0.35">
      <c r="A200" s="2">
        <v>42503</v>
      </c>
      <c r="B200" s="61" t="s">
        <v>50</v>
      </c>
      <c r="C200">
        <v>17.71</v>
      </c>
      <c r="D200">
        <v>20596</v>
      </c>
      <c r="E200">
        <v>17706</v>
      </c>
      <c r="F200">
        <v>107</v>
      </c>
      <c r="G200">
        <v>9.3699999999999992</v>
      </c>
      <c r="H200">
        <v>8.16</v>
      </c>
    </row>
    <row r="201" spans="1:11" ht="15.5" x14ac:dyDescent="0.35">
      <c r="A201" s="2">
        <v>42503</v>
      </c>
      <c r="B201" s="61" t="s">
        <v>51</v>
      </c>
      <c r="C201">
        <v>16.329999999999998</v>
      </c>
      <c r="D201">
        <v>32286</v>
      </c>
      <c r="E201">
        <v>27062</v>
      </c>
      <c r="F201">
        <v>82.2</v>
      </c>
      <c r="G201">
        <v>6.06</v>
      </c>
      <c r="H201">
        <v>7.97</v>
      </c>
      <c r="J201">
        <v>2.6</v>
      </c>
      <c r="K201">
        <v>2.8</v>
      </c>
    </row>
    <row r="202" spans="1:11" ht="15.5" x14ac:dyDescent="0.35">
      <c r="A202" s="2">
        <v>42503</v>
      </c>
      <c r="B202" s="61" t="s">
        <v>91</v>
      </c>
      <c r="C202">
        <v>16.36</v>
      </c>
      <c r="D202">
        <v>26555</v>
      </c>
      <c r="E202">
        <v>22066</v>
      </c>
      <c r="F202">
        <v>13.8</v>
      </c>
      <c r="G202">
        <v>1.5</v>
      </c>
      <c r="H202">
        <v>7.93</v>
      </c>
    </row>
    <row r="203" spans="1:11" ht="15.5" x14ac:dyDescent="0.35">
      <c r="A203" s="2">
        <v>42503</v>
      </c>
      <c r="B203" s="61" t="s">
        <v>92</v>
      </c>
      <c r="C203">
        <v>16.34</v>
      </c>
      <c r="D203">
        <v>32590</v>
      </c>
      <c r="E203">
        <v>27280</v>
      </c>
      <c r="F203">
        <v>31.6</v>
      </c>
      <c r="G203">
        <v>2.4</v>
      </c>
      <c r="H203">
        <v>7.85</v>
      </c>
      <c r="J203">
        <v>2.8</v>
      </c>
      <c r="K203">
        <v>3</v>
      </c>
    </row>
    <row r="204" spans="1:11" ht="15.5" x14ac:dyDescent="0.35">
      <c r="A204" s="2">
        <v>42503</v>
      </c>
      <c r="B204" s="61" t="s">
        <v>52</v>
      </c>
      <c r="C204">
        <v>17.77</v>
      </c>
      <c r="D204">
        <v>20537</v>
      </c>
      <c r="E204">
        <v>17728</v>
      </c>
      <c r="F204">
        <v>86.4</v>
      </c>
      <c r="G204">
        <v>7.79</v>
      </c>
      <c r="H204">
        <v>8.09</v>
      </c>
    </row>
    <row r="205" spans="1:11" ht="15.5" x14ac:dyDescent="0.35">
      <c r="A205" s="2">
        <v>42503</v>
      </c>
      <c r="B205" s="61" t="s">
        <v>53</v>
      </c>
      <c r="C205">
        <v>16.43</v>
      </c>
      <c r="D205">
        <v>32222</v>
      </c>
      <c r="E205">
        <v>27080</v>
      </c>
      <c r="F205">
        <v>68.900000000000006</v>
      </c>
      <c r="G205">
        <v>5.96</v>
      </c>
      <c r="H205">
        <v>7.95</v>
      </c>
      <c r="J205">
        <v>2.5</v>
      </c>
      <c r="K205">
        <v>2.7</v>
      </c>
    </row>
    <row r="206" spans="1:11" ht="15.5" x14ac:dyDescent="0.35">
      <c r="A206" s="2">
        <v>42503</v>
      </c>
      <c r="B206" s="61" t="s">
        <v>54</v>
      </c>
      <c r="C206">
        <v>18.239999999999998</v>
      </c>
      <c r="D206">
        <v>23748</v>
      </c>
      <c r="E206">
        <v>20919</v>
      </c>
      <c r="F206">
        <v>102.6</v>
      </c>
      <c r="G206">
        <v>8.86</v>
      </c>
      <c r="H206">
        <v>7.68</v>
      </c>
    </row>
    <row r="207" spans="1:11" ht="15.5" x14ac:dyDescent="0.35">
      <c r="A207" s="2">
        <v>42503</v>
      </c>
      <c r="B207" s="61" t="s">
        <v>55</v>
      </c>
      <c r="C207">
        <v>16.579999999999998</v>
      </c>
      <c r="D207">
        <v>31888</v>
      </c>
      <c r="E207">
        <v>27109</v>
      </c>
      <c r="F207">
        <v>65.8</v>
      </c>
      <c r="G207">
        <v>4.8499999999999996</v>
      </c>
      <c r="H207">
        <v>7.62</v>
      </c>
      <c r="J207">
        <v>2.4</v>
      </c>
      <c r="K207">
        <v>2.6</v>
      </c>
    </row>
    <row r="208" spans="1:11" ht="15.5" x14ac:dyDescent="0.35">
      <c r="A208" s="2">
        <v>42503</v>
      </c>
      <c r="B208" s="61" t="s">
        <v>93</v>
      </c>
      <c r="C208">
        <v>16.420000000000002</v>
      </c>
      <c r="D208">
        <v>26054</v>
      </c>
      <c r="E208">
        <v>21740</v>
      </c>
      <c r="F208">
        <v>36.299999999999997</v>
      </c>
      <c r="G208">
        <v>3.23</v>
      </c>
      <c r="H208">
        <v>7.68</v>
      </c>
    </row>
    <row r="209" spans="1:11" ht="15.5" x14ac:dyDescent="0.35">
      <c r="A209" s="2">
        <v>42503</v>
      </c>
      <c r="B209" s="61" t="s">
        <v>77</v>
      </c>
      <c r="C209">
        <v>16.2</v>
      </c>
      <c r="D209">
        <v>32985</v>
      </c>
      <c r="E209">
        <v>27532</v>
      </c>
      <c r="F209">
        <v>33</v>
      </c>
      <c r="G209">
        <v>2.86</v>
      </c>
      <c r="H209">
        <v>7.6</v>
      </c>
      <c r="J209">
        <v>2.9</v>
      </c>
      <c r="K209">
        <v>3.1</v>
      </c>
    </row>
    <row r="210" spans="1:11" ht="15.5" x14ac:dyDescent="0.35">
      <c r="A210" s="2">
        <v>42503</v>
      </c>
      <c r="B210" s="61" t="s">
        <v>56</v>
      </c>
      <c r="C210">
        <v>16.489999999999998</v>
      </c>
      <c r="D210">
        <v>25463</v>
      </c>
      <c r="E210">
        <v>21574</v>
      </c>
      <c r="F210">
        <v>48.7</v>
      </c>
      <c r="G210">
        <v>4.3</v>
      </c>
      <c r="H210">
        <v>7.72</v>
      </c>
    </row>
    <row r="211" spans="1:11" s="4" customFormat="1" ht="15.5" x14ac:dyDescent="0.35">
      <c r="A211" s="3">
        <v>42503</v>
      </c>
      <c r="B211" s="62" t="s">
        <v>57</v>
      </c>
      <c r="C211" s="4">
        <v>16.2</v>
      </c>
      <c r="D211" s="4">
        <v>32862</v>
      </c>
      <c r="E211" s="4">
        <v>27461</v>
      </c>
      <c r="F211" s="4">
        <v>40.700000000000003</v>
      </c>
      <c r="G211" s="4">
        <v>3.12</v>
      </c>
      <c r="H211" s="4">
        <v>7.65</v>
      </c>
      <c r="J211" s="4">
        <v>2.7</v>
      </c>
      <c r="K211" s="4">
        <v>2.9</v>
      </c>
    </row>
    <row r="212" spans="1:11" s="22" customFormat="1" ht="15.5" x14ac:dyDescent="0.35">
      <c r="A212" s="19">
        <v>42790</v>
      </c>
      <c r="B212" s="65" t="s">
        <v>48</v>
      </c>
      <c r="C212" s="22">
        <v>8</v>
      </c>
      <c r="D212" s="22">
        <v>2350</v>
      </c>
      <c r="F212" s="22">
        <v>91</v>
      </c>
      <c r="H212" s="22">
        <v>8.43</v>
      </c>
    </row>
    <row r="213" spans="1:11" ht="15.5" x14ac:dyDescent="0.35">
      <c r="A213" s="2">
        <v>42797</v>
      </c>
      <c r="B213" s="61" t="s">
        <v>192</v>
      </c>
      <c r="C213" s="10">
        <v>6.5</v>
      </c>
      <c r="D213" s="10">
        <v>1505</v>
      </c>
      <c r="F213" s="10">
        <v>87</v>
      </c>
      <c r="H213" s="10">
        <v>8.0500000000000007</v>
      </c>
    </row>
    <row r="214" spans="1:11" ht="15.5" x14ac:dyDescent="0.35">
      <c r="A214" s="2">
        <v>42797</v>
      </c>
      <c r="B214" s="61" t="s">
        <v>46</v>
      </c>
      <c r="C214">
        <v>6.4</v>
      </c>
      <c r="D214">
        <v>1744</v>
      </c>
      <c r="F214">
        <v>81.5</v>
      </c>
      <c r="H214">
        <v>8.09</v>
      </c>
      <c r="I214">
        <v>40</v>
      </c>
    </row>
    <row r="215" spans="1:11" ht="15.5" x14ac:dyDescent="0.35">
      <c r="A215" s="2">
        <v>42797</v>
      </c>
      <c r="B215" s="61" t="s">
        <v>47</v>
      </c>
      <c r="C215">
        <v>6.2</v>
      </c>
      <c r="D215">
        <v>1741</v>
      </c>
      <c r="F215">
        <v>80.8</v>
      </c>
      <c r="H215">
        <v>8.09</v>
      </c>
    </row>
    <row r="216" spans="1:11" ht="15.5" x14ac:dyDescent="0.35">
      <c r="A216" s="2">
        <v>42797</v>
      </c>
      <c r="B216" s="61" t="s">
        <v>89</v>
      </c>
    </row>
    <row r="217" spans="1:11" ht="15.5" x14ac:dyDescent="0.35">
      <c r="A217" s="2">
        <v>42797</v>
      </c>
      <c r="B217" s="61" t="s">
        <v>90</v>
      </c>
    </row>
    <row r="218" spans="1:11" ht="15.5" x14ac:dyDescent="0.35">
      <c r="A218" s="2">
        <v>42797</v>
      </c>
      <c r="B218" s="61" t="s">
        <v>48</v>
      </c>
      <c r="C218">
        <v>6.4</v>
      </c>
      <c r="D218">
        <v>1734</v>
      </c>
      <c r="F218">
        <v>83.3</v>
      </c>
      <c r="H218">
        <v>8.0500000000000007</v>
      </c>
      <c r="I218">
        <v>40</v>
      </c>
    </row>
    <row r="219" spans="1:11" ht="15.5" x14ac:dyDescent="0.35">
      <c r="A219" s="2">
        <v>42797</v>
      </c>
      <c r="B219" s="61" t="s">
        <v>49</v>
      </c>
      <c r="C219">
        <v>6.6</v>
      </c>
      <c r="D219">
        <v>1742</v>
      </c>
      <c r="F219">
        <v>81.3</v>
      </c>
      <c r="H219">
        <v>8.08</v>
      </c>
    </row>
    <row r="220" spans="1:11" ht="15.5" x14ac:dyDescent="0.35">
      <c r="A220" s="2">
        <v>42797</v>
      </c>
      <c r="B220" s="61" t="s">
        <v>50</v>
      </c>
      <c r="C220">
        <v>6.4</v>
      </c>
      <c r="D220">
        <v>1752</v>
      </c>
      <c r="F220">
        <v>81.900000000000006</v>
      </c>
      <c r="H220">
        <v>8.08</v>
      </c>
      <c r="I220">
        <v>40</v>
      </c>
    </row>
    <row r="221" spans="1:11" ht="15.5" x14ac:dyDescent="0.35">
      <c r="A221" s="2">
        <v>42797</v>
      </c>
      <c r="B221" s="61" t="s">
        <v>51</v>
      </c>
      <c r="C221">
        <v>6.4</v>
      </c>
      <c r="D221">
        <v>1752</v>
      </c>
      <c r="F221">
        <v>81.599999999999994</v>
      </c>
      <c r="H221">
        <v>8.09</v>
      </c>
    </row>
    <row r="222" spans="1:11" ht="15.5" x14ac:dyDescent="0.35">
      <c r="A222" s="2">
        <v>42797</v>
      </c>
      <c r="B222" s="61" t="s">
        <v>91</v>
      </c>
    </row>
    <row r="223" spans="1:11" ht="15.5" x14ac:dyDescent="0.35">
      <c r="A223" s="2">
        <v>42797</v>
      </c>
      <c r="B223" s="61" t="s">
        <v>92</v>
      </c>
    </row>
    <row r="224" spans="1:11" ht="15.5" x14ac:dyDescent="0.35">
      <c r="A224" s="2">
        <v>42797</v>
      </c>
      <c r="B224" s="61" t="s">
        <v>52</v>
      </c>
      <c r="C224">
        <v>6.3</v>
      </c>
      <c r="D224">
        <v>1746</v>
      </c>
      <c r="F224">
        <v>81.2</v>
      </c>
      <c r="H224">
        <v>8.09</v>
      </c>
      <c r="I224">
        <v>40</v>
      </c>
    </row>
    <row r="225" spans="1:9" ht="15.5" x14ac:dyDescent="0.35">
      <c r="A225" s="2">
        <v>42797</v>
      </c>
      <c r="B225" s="61" t="s">
        <v>53</v>
      </c>
      <c r="C225">
        <v>6.3</v>
      </c>
      <c r="D225">
        <v>1747</v>
      </c>
      <c r="F225">
        <v>80.5</v>
      </c>
      <c r="H225">
        <v>8.09</v>
      </c>
    </row>
    <row r="226" spans="1:9" ht="15.5" x14ac:dyDescent="0.35">
      <c r="A226" s="2">
        <v>42797</v>
      </c>
      <c r="B226" s="61" t="s">
        <v>54</v>
      </c>
      <c r="C226">
        <v>6.3</v>
      </c>
      <c r="D226">
        <v>1751</v>
      </c>
      <c r="F226">
        <v>80.7</v>
      </c>
      <c r="H226">
        <v>8.09</v>
      </c>
      <c r="I226">
        <v>41</v>
      </c>
    </row>
    <row r="227" spans="1:9" ht="15.5" x14ac:dyDescent="0.35">
      <c r="A227" s="2">
        <v>42797</v>
      </c>
      <c r="B227" s="61" t="s">
        <v>55</v>
      </c>
      <c r="C227">
        <v>6.3</v>
      </c>
      <c r="D227">
        <v>1753</v>
      </c>
      <c r="F227">
        <v>80.5</v>
      </c>
      <c r="H227">
        <v>8.09</v>
      </c>
    </row>
    <row r="228" spans="1:9" ht="15.5" x14ac:dyDescent="0.35">
      <c r="A228" s="2">
        <v>42797</v>
      </c>
      <c r="B228" s="61" t="s">
        <v>93</v>
      </c>
    </row>
    <row r="229" spans="1:9" ht="15.5" x14ac:dyDescent="0.35">
      <c r="A229" s="2">
        <v>42797</v>
      </c>
      <c r="B229" s="61" t="s">
        <v>77</v>
      </c>
    </row>
    <row r="230" spans="1:9" ht="15.5" x14ac:dyDescent="0.35">
      <c r="A230" s="2">
        <v>42797</v>
      </c>
      <c r="B230" s="61" t="s">
        <v>56</v>
      </c>
      <c r="C230">
        <v>6.4</v>
      </c>
      <c r="D230">
        <v>1740</v>
      </c>
      <c r="F230">
        <v>82.5</v>
      </c>
      <c r="H230">
        <v>8.09</v>
      </c>
      <c r="I230">
        <v>42</v>
      </c>
    </row>
    <row r="231" spans="1:9" ht="15.5" x14ac:dyDescent="0.35">
      <c r="A231" s="2">
        <v>42797</v>
      </c>
      <c r="B231" s="61" t="s">
        <v>57</v>
      </c>
      <c r="C231">
        <v>6.4</v>
      </c>
      <c r="D231">
        <v>1745</v>
      </c>
      <c r="F231">
        <v>81.900000000000006</v>
      </c>
      <c r="H231">
        <v>8.09</v>
      </c>
    </row>
    <row r="232" spans="1:9" s="4" customFormat="1" ht="15.5" x14ac:dyDescent="0.35">
      <c r="A232" s="3">
        <v>42798</v>
      </c>
      <c r="B232" s="62" t="s">
        <v>20</v>
      </c>
      <c r="C232" s="4">
        <v>6.5</v>
      </c>
      <c r="D232" s="4">
        <v>1748</v>
      </c>
      <c r="F232" s="4">
        <v>81.8</v>
      </c>
      <c r="H232" s="4">
        <v>8.07</v>
      </c>
    </row>
    <row r="233" spans="1:9" ht="15.5" x14ac:dyDescent="0.35">
      <c r="A233" s="2">
        <v>42804</v>
      </c>
      <c r="B233" s="61" t="s">
        <v>192</v>
      </c>
      <c r="C233" s="10">
        <v>9.1</v>
      </c>
      <c r="D233" s="10">
        <v>1570</v>
      </c>
      <c r="F233" s="10">
        <v>76.099999999999994</v>
      </c>
      <c r="H233" s="10">
        <v>7.78</v>
      </c>
    </row>
    <row r="234" spans="1:9" ht="15.5" x14ac:dyDescent="0.35">
      <c r="A234" s="2">
        <v>42804</v>
      </c>
      <c r="B234" s="61" t="s">
        <v>46</v>
      </c>
      <c r="C234" s="10">
        <v>8.9</v>
      </c>
      <c r="D234" s="10">
        <v>1688</v>
      </c>
      <c r="F234" s="10">
        <v>64.5</v>
      </c>
      <c r="H234" s="10">
        <v>7.86</v>
      </c>
      <c r="I234" s="10">
        <v>53</v>
      </c>
    </row>
    <row r="235" spans="1:9" ht="15.5" x14ac:dyDescent="0.35">
      <c r="A235" s="2">
        <v>42804</v>
      </c>
      <c r="B235" s="61" t="s">
        <v>47</v>
      </c>
      <c r="C235" s="10">
        <v>8.6</v>
      </c>
      <c r="D235" s="10">
        <v>1697</v>
      </c>
      <c r="F235" s="10">
        <v>64.2</v>
      </c>
      <c r="H235" s="10">
        <v>7.84</v>
      </c>
    </row>
    <row r="236" spans="1:9" ht="15.5" x14ac:dyDescent="0.35">
      <c r="A236" s="2">
        <v>42804</v>
      </c>
      <c r="B236" s="61" t="s">
        <v>89</v>
      </c>
      <c r="C236" s="10">
        <v>8.8000000000000007</v>
      </c>
      <c r="D236" s="10">
        <v>1690</v>
      </c>
      <c r="F236" s="10">
        <v>62.4</v>
      </c>
      <c r="H236" s="10">
        <v>7.84</v>
      </c>
    </row>
    <row r="237" spans="1:9" ht="15.5" x14ac:dyDescent="0.35">
      <c r="A237" s="2">
        <v>42804</v>
      </c>
      <c r="B237" s="61" t="s">
        <v>90</v>
      </c>
      <c r="C237" s="10">
        <v>8.6</v>
      </c>
      <c r="D237" s="10">
        <v>1702</v>
      </c>
      <c r="F237" s="10">
        <v>62</v>
      </c>
      <c r="H237" s="10">
        <v>7.84</v>
      </c>
    </row>
    <row r="238" spans="1:9" ht="15.5" x14ac:dyDescent="0.35">
      <c r="A238" s="2">
        <v>42804</v>
      </c>
      <c r="B238" s="61" t="s">
        <v>48</v>
      </c>
      <c r="C238">
        <v>8.6</v>
      </c>
      <c r="D238">
        <v>1685</v>
      </c>
      <c r="F238">
        <v>61.6</v>
      </c>
      <c r="H238">
        <v>7.83</v>
      </c>
      <c r="I238">
        <v>52</v>
      </c>
    </row>
    <row r="239" spans="1:9" ht="15.5" x14ac:dyDescent="0.35">
      <c r="A239" s="2">
        <v>42804</v>
      </c>
      <c r="B239" s="61" t="s">
        <v>49</v>
      </c>
      <c r="C239">
        <v>8.6</v>
      </c>
      <c r="D239">
        <v>1695</v>
      </c>
      <c r="F239">
        <v>61.9</v>
      </c>
      <c r="H239">
        <v>7.84</v>
      </c>
    </row>
    <row r="240" spans="1:9" ht="15.5" x14ac:dyDescent="0.35">
      <c r="A240" s="2">
        <v>42804</v>
      </c>
      <c r="B240" s="61" t="s">
        <v>50</v>
      </c>
      <c r="C240">
        <v>8.8000000000000007</v>
      </c>
      <c r="D240">
        <v>1712</v>
      </c>
      <c r="F240">
        <v>66.2</v>
      </c>
      <c r="H240">
        <v>7.86</v>
      </c>
      <c r="I240">
        <v>54</v>
      </c>
    </row>
    <row r="241" spans="1:9" ht="15.5" x14ac:dyDescent="0.35">
      <c r="A241" s="2">
        <v>42804</v>
      </c>
      <c r="B241" s="61" t="s">
        <v>51</v>
      </c>
      <c r="C241">
        <v>8.6</v>
      </c>
      <c r="D241">
        <v>1715</v>
      </c>
      <c r="F241">
        <v>66.099999999999994</v>
      </c>
      <c r="H241">
        <v>7.86</v>
      </c>
    </row>
    <row r="242" spans="1:9" ht="15.5" x14ac:dyDescent="0.35">
      <c r="A242" s="2">
        <v>42804</v>
      </c>
      <c r="B242" s="61" t="s">
        <v>91</v>
      </c>
      <c r="C242">
        <v>8.6999999999999993</v>
      </c>
      <c r="D242">
        <v>1713</v>
      </c>
      <c r="F242">
        <v>65.2</v>
      </c>
      <c r="H242">
        <v>7.86</v>
      </c>
    </row>
    <row r="243" spans="1:9" ht="15.5" x14ac:dyDescent="0.35">
      <c r="A243" s="2">
        <v>42804</v>
      </c>
      <c r="B243" s="61" t="s">
        <v>92</v>
      </c>
      <c r="C243">
        <v>8.6</v>
      </c>
      <c r="D243">
        <v>1714</v>
      </c>
      <c r="F243">
        <v>65.3</v>
      </c>
      <c r="H243">
        <v>7.86</v>
      </c>
    </row>
    <row r="244" spans="1:9" ht="15.5" x14ac:dyDescent="0.35">
      <c r="A244" s="2">
        <v>42804</v>
      </c>
      <c r="B244" s="61" t="s">
        <v>52</v>
      </c>
      <c r="C244">
        <v>8.8000000000000007</v>
      </c>
      <c r="D244">
        <v>1712</v>
      </c>
      <c r="F244">
        <v>65.599999999999994</v>
      </c>
      <c r="H244">
        <v>7.87</v>
      </c>
      <c r="I244">
        <v>52</v>
      </c>
    </row>
    <row r="245" spans="1:9" ht="15.5" x14ac:dyDescent="0.35">
      <c r="A245" s="2">
        <v>42804</v>
      </c>
      <c r="B245" s="61" t="s">
        <v>53</v>
      </c>
      <c r="C245">
        <v>8.6</v>
      </c>
      <c r="D245">
        <v>1713</v>
      </c>
      <c r="F245">
        <v>65.5</v>
      </c>
      <c r="H245">
        <v>7.87</v>
      </c>
    </row>
    <row r="246" spans="1:9" ht="15.5" x14ac:dyDescent="0.35">
      <c r="A246" s="2">
        <v>42804</v>
      </c>
      <c r="B246" s="61" t="s">
        <v>54</v>
      </c>
      <c r="C246">
        <v>8.6</v>
      </c>
      <c r="D246">
        <v>1713</v>
      </c>
      <c r="F246">
        <v>66.8</v>
      </c>
      <c r="H246">
        <v>7.8</v>
      </c>
      <c r="I246">
        <v>53</v>
      </c>
    </row>
    <row r="247" spans="1:9" ht="15.5" x14ac:dyDescent="0.35">
      <c r="A247" s="2">
        <v>42804</v>
      </c>
      <c r="B247" s="61" t="s">
        <v>55</v>
      </c>
      <c r="C247">
        <v>8.6</v>
      </c>
      <c r="D247">
        <v>1718</v>
      </c>
      <c r="F247">
        <v>66.7</v>
      </c>
      <c r="H247">
        <v>7.8</v>
      </c>
    </row>
    <row r="248" spans="1:9" ht="15.5" x14ac:dyDescent="0.35">
      <c r="A248" s="2">
        <v>42804</v>
      </c>
      <c r="B248" s="61" t="s">
        <v>93</v>
      </c>
      <c r="C248">
        <v>8.6999999999999993</v>
      </c>
      <c r="D248">
        <v>1721</v>
      </c>
      <c r="F248">
        <v>66.2</v>
      </c>
      <c r="H248">
        <v>7.87</v>
      </c>
    </row>
    <row r="249" spans="1:9" ht="15.5" x14ac:dyDescent="0.35">
      <c r="A249" s="2">
        <v>42804</v>
      </c>
      <c r="B249" s="61" t="s">
        <v>77</v>
      </c>
      <c r="C249">
        <v>8.6</v>
      </c>
      <c r="D249">
        <v>1718</v>
      </c>
      <c r="F249">
        <v>66.099999999999994</v>
      </c>
      <c r="H249">
        <v>7.8</v>
      </c>
    </row>
    <row r="250" spans="1:9" ht="15.5" x14ac:dyDescent="0.35">
      <c r="A250" s="2">
        <v>42804</v>
      </c>
      <c r="B250" s="61" t="s">
        <v>56</v>
      </c>
      <c r="C250">
        <v>8.6</v>
      </c>
      <c r="D250">
        <v>1713</v>
      </c>
      <c r="F250">
        <v>66.8</v>
      </c>
      <c r="H250">
        <v>7.88</v>
      </c>
      <c r="I250">
        <v>53</v>
      </c>
    </row>
    <row r="251" spans="1:9" ht="15.5" x14ac:dyDescent="0.35">
      <c r="A251" s="2">
        <v>42804</v>
      </c>
      <c r="B251" s="61" t="s">
        <v>57</v>
      </c>
      <c r="C251">
        <v>8.6</v>
      </c>
      <c r="D251">
        <v>1718</v>
      </c>
      <c r="F251">
        <v>66.900000000000006</v>
      </c>
      <c r="H251">
        <v>7.87</v>
      </c>
    </row>
    <row r="252" spans="1:9" s="4" customFormat="1" ht="15.5" x14ac:dyDescent="0.35">
      <c r="A252" s="3">
        <v>42804</v>
      </c>
      <c r="B252" s="62" t="s">
        <v>20</v>
      </c>
      <c r="C252" s="4">
        <v>8.9</v>
      </c>
      <c r="D252" s="4">
        <v>1661</v>
      </c>
      <c r="F252" s="4">
        <v>71.099999999999994</v>
      </c>
      <c r="H252" s="4">
        <v>7.83</v>
      </c>
    </row>
    <row r="253" spans="1:9" s="22" customFormat="1" ht="15.5" x14ac:dyDescent="0.35">
      <c r="A253" s="19">
        <v>42807</v>
      </c>
      <c r="B253" s="65" t="s">
        <v>89</v>
      </c>
      <c r="C253" s="20">
        <v>10.1</v>
      </c>
      <c r="D253" s="20">
        <v>1800</v>
      </c>
      <c r="F253" s="20">
        <v>80.8</v>
      </c>
      <c r="H253" s="20">
        <v>7.87</v>
      </c>
    </row>
    <row r="254" spans="1:9" ht="15.5" x14ac:dyDescent="0.35">
      <c r="A254" s="2">
        <v>42811</v>
      </c>
      <c r="B254" s="61" t="s">
        <v>192</v>
      </c>
      <c r="C254" s="10">
        <v>10.8</v>
      </c>
      <c r="D254" s="10">
        <v>1888</v>
      </c>
      <c r="F254" s="10">
        <v>84.8</v>
      </c>
      <c r="H254" s="10">
        <v>7.92</v>
      </c>
    </row>
    <row r="255" spans="1:9" ht="15.5" x14ac:dyDescent="0.35">
      <c r="A255" s="2">
        <v>42811</v>
      </c>
      <c r="B255" s="61" t="s">
        <v>46</v>
      </c>
      <c r="C255" s="10">
        <v>10.8</v>
      </c>
      <c r="D255" s="10">
        <v>1951</v>
      </c>
      <c r="F255" s="10">
        <v>77.599999999999994</v>
      </c>
      <c r="H255" s="10">
        <v>7.91</v>
      </c>
      <c r="I255" s="10">
        <v>55</v>
      </c>
    </row>
    <row r="256" spans="1:9" ht="15.5" x14ac:dyDescent="0.35">
      <c r="A256" s="2">
        <v>42811</v>
      </c>
      <c r="B256" s="61" t="s">
        <v>47</v>
      </c>
      <c r="C256" s="10">
        <v>10.8</v>
      </c>
      <c r="D256" s="10">
        <v>2160</v>
      </c>
      <c r="F256" s="10">
        <v>74</v>
      </c>
      <c r="H256" s="10">
        <v>7.9</v>
      </c>
    </row>
    <row r="257" spans="1:9" ht="15.5" x14ac:dyDescent="0.35">
      <c r="A257" s="2">
        <v>42811</v>
      </c>
      <c r="B257" s="61" t="s">
        <v>89</v>
      </c>
      <c r="C257">
        <v>10.8</v>
      </c>
      <c r="D257">
        <v>2390</v>
      </c>
      <c r="F257">
        <v>73.7</v>
      </c>
      <c r="H257">
        <v>7.9</v>
      </c>
    </row>
    <row r="258" spans="1:9" ht="15.5" x14ac:dyDescent="0.35">
      <c r="A258" s="2">
        <v>42811</v>
      </c>
      <c r="B258" s="61" t="s">
        <v>90</v>
      </c>
      <c r="C258">
        <v>10.8</v>
      </c>
      <c r="D258">
        <v>2350</v>
      </c>
      <c r="F258">
        <v>73.5</v>
      </c>
      <c r="H258">
        <v>7.91</v>
      </c>
    </row>
    <row r="259" spans="1:9" ht="15.5" x14ac:dyDescent="0.35">
      <c r="A259" s="2">
        <v>42811</v>
      </c>
      <c r="B259" s="61" t="s">
        <v>48</v>
      </c>
      <c r="C259">
        <v>11</v>
      </c>
      <c r="D259">
        <v>1978</v>
      </c>
      <c r="F259">
        <v>77.7</v>
      </c>
      <c r="H259">
        <v>7.93</v>
      </c>
      <c r="I259">
        <v>55</v>
      </c>
    </row>
    <row r="260" spans="1:9" ht="15.5" x14ac:dyDescent="0.35">
      <c r="A260" s="2">
        <v>42811</v>
      </c>
      <c r="B260" s="61" t="s">
        <v>49</v>
      </c>
      <c r="C260">
        <v>11</v>
      </c>
      <c r="D260">
        <v>1978</v>
      </c>
      <c r="F260">
        <v>75.8</v>
      </c>
      <c r="H260">
        <v>7.92</v>
      </c>
    </row>
    <row r="261" spans="1:9" ht="15.5" x14ac:dyDescent="0.35">
      <c r="A261" s="2">
        <v>42811</v>
      </c>
      <c r="B261" s="61" t="s">
        <v>50</v>
      </c>
      <c r="C261">
        <v>11</v>
      </c>
      <c r="D261">
        <v>2290</v>
      </c>
      <c r="F261">
        <v>79.7</v>
      </c>
      <c r="H261">
        <v>7.92</v>
      </c>
      <c r="I261">
        <v>55</v>
      </c>
    </row>
    <row r="262" spans="1:9" ht="15.5" x14ac:dyDescent="0.35">
      <c r="A262" s="2">
        <v>42811</v>
      </c>
      <c r="B262" s="61" t="s">
        <v>51</v>
      </c>
      <c r="C262">
        <v>10.9</v>
      </c>
      <c r="D262">
        <v>2480</v>
      </c>
      <c r="F262">
        <v>75.400000000000006</v>
      </c>
      <c r="H262">
        <v>7.91</v>
      </c>
    </row>
    <row r="263" spans="1:9" ht="15.5" x14ac:dyDescent="0.35">
      <c r="A263" s="2">
        <v>42811</v>
      </c>
      <c r="B263" s="61" t="s">
        <v>91</v>
      </c>
      <c r="C263">
        <v>11</v>
      </c>
      <c r="D263">
        <v>2250</v>
      </c>
      <c r="F263">
        <v>84.1</v>
      </c>
      <c r="H263">
        <v>7.93</v>
      </c>
    </row>
    <row r="264" spans="1:9" ht="15.5" x14ac:dyDescent="0.35">
      <c r="A264" s="2">
        <v>42811</v>
      </c>
      <c r="B264" s="61" t="s">
        <v>92</v>
      </c>
      <c r="C264">
        <v>10.9</v>
      </c>
      <c r="D264">
        <v>2310</v>
      </c>
      <c r="F264">
        <v>77.3</v>
      </c>
      <c r="H264">
        <v>7.91</v>
      </c>
    </row>
    <row r="265" spans="1:9" ht="15.5" x14ac:dyDescent="0.35">
      <c r="A265" s="2">
        <v>42811</v>
      </c>
      <c r="B265" s="61" t="s">
        <v>52</v>
      </c>
      <c r="C265">
        <v>11.1</v>
      </c>
      <c r="D265">
        <v>2280</v>
      </c>
      <c r="F265">
        <v>83.2</v>
      </c>
      <c r="H265">
        <v>7.94</v>
      </c>
      <c r="I265">
        <v>55</v>
      </c>
    </row>
    <row r="266" spans="1:9" ht="15.5" x14ac:dyDescent="0.35">
      <c r="A266" s="2">
        <v>42811</v>
      </c>
      <c r="B266" s="61" t="s">
        <v>53</v>
      </c>
      <c r="C266">
        <v>11</v>
      </c>
      <c r="D266">
        <v>2350</v>
      </c>
      <c r="F266">
        <v>78.099999999999994</v>
      </c>
      <c r="H266">
        <v>7.92</v>
      </c>
    </row>
    <row r="267" spans="1:9" ht="15.5" x14ac:dyDescent="0.35">
      <c r="A267" s="2">
        <v>42811</v>
      </c>
      <c r="B267" s="61" t="s">
        <v>54</v>
      </c>
      <c r="C267">
        <v>11</v>
      </c>
      <c r="D267">
        <v>2640</v>
      </c>
      <c r="F267">
        <v>81</v>
      </c>
      <c r="H267">
        <v>7.92</v>
      </c>
      <c r="I267">
        <v>55</v>
      </c>
    </row>
    <row r="268" spans="1:9" ht="15.5" x14ac:dyDescent="0.35">
      <c r="A268" s="2">
        <v>42811</v>
      </c>
      <c r="B268" s="61" t="s">
        <v>55</v>
      </c>
      <c r="C268">
        <v>11</v>
      </c>
      <c r="D268">
        <v>2760</v>
      </c>
      <c r="F268">
        <v>75.8</v>
      </c>
      <c r="H268">
        <v>7.91</v>
      </c>
    </row>
    <row r="269" spans="1:9" ht="15.5" x14ac:dyDescent="0.35">
      <c r="A269" s="2">
        <v>42811</v>
      </c>
      <c r="B269" s="61" t="s">
        <v>93</v>
      </c>
      <c r="C269">
        <v>11</v>
      </c>
      <c r="D269">
        <v>2580</v>
      </c>
      <c r="F269">
        <v>77</v>
      </c>
      <c r="H269">
        <v>7.92</v>
      </c>
    </row>
    <row r="270" spans="1:9" ht="15.5" x14ac:dyDescent="0.35">
      <c r="A270" s="2">
        <v>42811</v>
      </c>
      <c r="B270" s="61" t="s">
        <v>77</v>
      </c>
      <c r="C270">
        <v>11</v>
      </c>
      <c r="D270">
        <v>2800</v>
      </c>
      <c r="F270">
        <v>75</v>
      </c>
      <c r="H270">
        <v>7.91</v>
      </c>
    </row>
    <row r="271" spans="1:9" ht="15.5" x14ac:dyDescent="0.35">
      <c r="A271" s="2">
        <v>42811</v>
      </c>
      <c r="B271" s="61" t="s">
        <v>56</v>
      </c>
      <c r="C271">
        <v>11.1</v>
      </c>
      <c r="D271">
        <v>2530</v>
      </c>
      <c r="F271">
        <v>74.900000000000006</v>
      </c>
      <c r="H271">
        <v>7.92</v>
      </c>
      <c r="I271">
        <v>54</v>
      </c>
    </row>
    <row r="272" spans="1:9" ht="15.5" x14ac:dyDescent="0.35">
      <c r="A272" s="2">
        <v>42811</v>
      </c>
      <c r="B272" s="61" t="s">
        <v>57</v>
      </c>
      <c r="C272">
        <v>11.1</v>
      </c>
      <c r="D272">
        <v>2580</v>
      </c>
      <c r="F272">
        <v>75.2</v>
      </c>
      <c r="H272">
        <v>7.92</v>
      </c>
    </row>
    <row r="273" spans="1:9" s="4" customFormat="1" ht="15.5" x14ac:dyDescent="0.35">
      <c r="A273" s="3">
        <v>42812</v>
      </c>
      <c r="B273" s="62" t="s">
        <v>20</v>
      </c>
      <c r="C273" s="4">
        <v>10.4</v>
      </c>
      <c r="D273" s="4">
        <v>2250</v>
      </c>
      <c r="F273" s="4">
        <v>83.8</v>
      </c>
      <c r="H273" s="4">
        <v>8.1</v>
      </c>
    </row>
    <row r="274" spans="1:9" s="22" customFormat="1" ht="15.5" x14ac:dyDescent="0.35">
      <c r="A274" s="19">
        <v>42815</v>
      </c>
      <c r="B274" s="65" t="s">
        <v>46</v>
      </c>
      <c r="C274" s="20">
        <v>9.6999999999999993</v>
      </c>
      <c r="D274" s="20">
        <v>3600</v>
      </c>
      <c r="F274" s="20">
        <v>88.1</v>
      </c>
      <c r="H274" s="20">
        <v>8.34</v>
      </c>
    </row>
    <row r="275" spans="1:9" ht="15.5" x14ac:dyDescent="0.35">
      <c r="A275" s="2">
        <v>42818</v>
      </c>
      <c r="B275" s="61" t="s">
        <v>192</v>
      </c>
      <c r="C275" s="10">
        <v>11.1</v>
      </c>
      <c r="D275" s="10">
        <v>2250</v>
      </c>
      <c r="F275" s="10">
        <v>91.3</v>
      </c>
      <c r="H275" s="10">
        <v>8.27</v>
      </c>
    </row>
    <row r="276" spans="1:9" ht="15.5" x14ac:dyDescent="0.35">
      <c r="A276" s="2">
        <v>42818</v>
      </c>
      <c r="B276" s="61" t="s">
        <v>46</v>
      </c>
      <c r="C276" s="10">
        <v>10</v>
      </c>
      <c r="D276" s="10">
        <v>13450</v>
      </c>
      <c r="F276" s="10">
        <v>82.1</v>
      </c>
      <c r="H276" s="10">
        <v>8.4</v>
      </c>
      <c r="I276" s="10">
        <v>89</v>
      </c>
    </row>
    <row r="277" spans="1:9" ht="15.5" x14ac:dyDescent="0.35">
      <c r="A277" s="2">
        <v>42818</v>
      </c>
      <c r="B277" s="61" t="s">
        <v>47</v>
      </c>
      <c r="C277" s="10">
        <v>9.6999999999999993</v>
      </c>
      <c r="D277" s="10">
        <v>25900</v>
      </c>
      <c r="F277" s="10">
        <v>76.3</v>
      </c>
      <c r="H277" s="10">
        <v>8</v>
      </c>
    </row>
    <row r="278" spans="1:9" ht="15.5" x14ac:dyDescent="0.35">
      <c r="A278" s="2">
        <v>42818</v>
      </c>
      <c r="B278" s="61" t="s">
        <v>89</v>
      </c>
      <c r="C278" s="10">
        <v>9.6999999999999993</v>
      </c>
      <c r="D278" s="10">
        <v>4920</v>
      </c>
      <c r="F278" s="10">
        <v>94.9</v>
      </c>
      <c r="H278" s="10">
        <v>8.42</v>
      </c>
    </row>
    <row r="279" spans="1:9" ht="15.5" x14ac:dyDescent="0.35">
      <c r="A279" s="2">
        <v>42818</v>
      </c>
      <c r="B279" s="61" t="s">
        <v>90</v>
      </c>
      <c r="C279" s="10">
        <v>9.6999999999999993</v>
      </c>
      <c r="D279" s="10">
        <v>25100</v>
      </c>
      <c r="F279" s="10">
        <v>89</v>
      </c>
      <c r="H279" s="10">
        <v>8.09</v>
      </c>
    </row>
    <row r="280" spans="1:9" ht="15.5" x14ac:dyDescent="0.35">
      <c r="A280" s="2">
        <v>42818</v>
      </c>
      <c r="B280" s="61" t="s">
        <v>48</v>
      </c>
      <c r="C280" s="10">
        <v>9.4</v>
      </c>
      <c r="D280" s="10">
        <v>5170</v>
      </c>
      <c r="F280" s="10">
        <v>86.4</v>
      </c>
      <c r="H280" s="10">
        <v>8.42</v>
      </c>
      <c r="I280" s="10">
        <v>94</v>
      </c>
    </row>
    <row r="281" spans="1:9" ht="15.5" x14ac:dyDescent="0.35">
      <c r="A281" s="2">
        <v>42818</v>
      </c>
      <c r="B281" s="61" t="s">
        <v>49</v>
      </c>
      <c r="C281" s="10">
        <v>9.6999999999999993</v>
      </c>
      <c r="D281" s="10">
        <v>13380</v>
      </c>
      <c r="F281" s="10">
        <v>83.7</v>
      </c>
      <c r="H281" s="10">
        <v>8.4</v>
      </c>
    </row>
    <row r="282" spans="1:9" ht="15.5" x14ac:dyDescent="0.35">
      <c r="A282" s="2">
        <v>42818</v>
      </c>
      <c r="B282" s="61" t="s">
        <v>50</v>
      </c>
      <c r="C282" s="10">
        <v>9.9</v>
      </c>
      <c r="D282" s="10">
        <v>23000</v>
      </c>
      <c r="F282" s="10">
        <v>71.599999999999994</v>
      </c>
      <c r="H282" s="10">
        <v>8.2200000000000006</v>
      </c>
      <c r="I282" s="10">
        <v>84</v>
      </c>
    </row>
    <row r="283" spans="1:9" ht="15.5" x14ac:dyDescent="0.35">
      <c r="A283" s="2">
        <v>42818</v>
      </c>
      <c r="B283" s="61" t="s">
        <v>51</v>
      </c>
      <c r="C283" s="10">
        <v>9.8000000000000007</v>
      </c>
      <c r="D283" s="10">
        <v>25000</v>
      </c>
      <c r="F283" s="10">
        <v>70.5</v>
      </c>
      <c r="H283" s="10">
        <v>8</v>
      </c>
    </row>
    <row r="284" spans="1:9" ht="15.5" x14ac:dyDescent="0.35">
      <c r="A284" s="2">
        <v>42818</v>
      </c>
      <c r="B284" s="61" t="s">
        <v>91</v>
      </c>
      <c r="C284" s="10">
        <v>10</v>
      </c>
      <c r="D284" s="10">
        <v>20100</v>
      </c>
      <c r="F284" s="10">
        <v>74.3</v>
      </c>
      <c r="H284" s="10">
        <v>8.34</v>
      </c>
    </row>
    <row r="285" spans="1:9" ht="15.5" x14ac:dyDescent="0.35">
      <c r="A285" s="2">
        <v>42818</v>
      </c>
      <c r="B285" s="61" t="s">
        <v>92</v>
      </c>
      <c r="C285" s="10">
        <v>9.6</v>
      </c>
      <c r="D285" s="10">
        <v>25200</v>
      </c>
      <c r="F285" s="10">
        <v>74.900000000000006</v>
      </c>
      <c r="H285" s="10">
        <v>8.01</v>
      </c>
    </row>
    <row r="286" spans="1:9" ht="15.5" x14ac:dyDescent="0.35">
      <c r="A286" s="2">
        <v>42818</v>
      </c>
      <c r="B286" s="61" t="s">
        <v>52</v>
      </c>
      <c r="C286">
        <v>9.9</v>
      </c>
      <c r="D286">
        <v>23300</v>
      </c>
      <c r="F286">
        <v>72.3</v>
      </c>
      <c r="H286">
        <v>8.14</v>
      </c>
      <c r="I286">
        <v>80</v>
      </c>
    </row>
    <row r="287" spans="1:9" ht="15.5" x14ac:dyDescent="0.35">
      <c r="A287" s="2">
        <v>42818</v>
      </c>
      <c r="B287" s="61" t="s">
        <v>53</v>
      </c>
      <c r="C287">
        <v>9.6999999999999993</v>
      </c>
      <c r="D287">
        <v>25100</v>
      </c>
      <c r="F287">
        <v>71.900000000000006</v>
      </c>
      <c r="H287">
        <v>8.0399999999999991</v>
      </c>
    </row>
    <row r="288" spans="1:9" ht="15.5" x14ac:dyDescent="0.35">
      <c r="A288" s="2">
        <v>42818</v>
      </c>
      <c r="B288" s="61" t="s">
        <v>54</v>
      </c>
      <c r="C288">
        <v>10.1</v>
      </c>
      <c r="D288">
        <v>15330</v>
      </c>
      <c r="F288">
        <v>73.2</v>
      </c>
      <c r="H288">
        <v>8.1999999999999993</v>
      </c>
      <c r="I288">
        <v>83</v>
      </c>
    </row>
    <row r="289" spans="1:9" ht="15.5" x14ac:dyDescent="0.35">
      <c r="A289" s="2">
        <v>42818</v>
      </c>
      <c r="B289" s="61" t="s">
        <v>55</v>
      </c>
      <c r="C289">
        <v>9.6999999999999993</v>
      </c>
      <c r="D289">
        <v>23000</v>
      </c>
      <c r="F289">
        <v>73</v>
      </c>
      <c r="H289">
        <v>8.07</v>
      </c>
    </row>
    <row r="290" spans="1:9" ht="15.5" x14ac:dyDescent="0.35">
      <c r="A290" s="2">
        <v>42818</v>
      </c>
      <c r="B290" s="61" t="s">
        <v>93</v>
      </c>
      <c r="C290">
        <v>10.1</v>
      </c>
      <c r="D290">
        <v>19230</v>
      </c>
      <c r="F290">
        <v>73.2</v>
      </c>
      <c r="H290">
        <v>8.1</v>
      </c>
    </row>
    <row r="291" spans="1:9" ht="15.5" x14ac:dyDescent="0.35">
      <c r="A291" s="2">
        <v>42818</v>
      </c>
      <c r="B291" s="61" t="s">
        <v>77</v>
      </c>
      <c r="C291">
        <v>9.6</v>
      </c>
      <c r="D291">
        <v>23500</v>
      </c>
      <c r="F291">
        <v>72.7</v>
      </c>
      <c r="H291">
        <v>8.02</v>
      </c>
    </row>
    <row r="292" spans="1:9" ht="15.5" x14ac:dyDescent="0.35">
      <c r="A292" s="2">
        <v>42818</v>
      </c>
      <c r="B292" s="61" t="s">
        <v>56</v>
      </c>
      <c r="C292">
        <v>10.1</v>
      </c>
      <c r="D292">
        <v>15300</v>
      </c>
      <c r="F292">
        <v>75.3</v>
      </c>
      <c r="H292">
        <v>8.15</v>
      </c>
      <c r="I292">
        <v>86</v>
      </c>
    </row>
    <row r="293" spans="1:9" ht="15.5" x14ac:dyDescent="0.35">
      <c r="A293" s="2">
        <v>42818</v>
      </c>
      <c r="B293" s="61" t="s">
        <v>57</v>
      </c>
      <c r="C293">
        <v>9.6999999999999993</v>
      </c>
      <c r="D293">
        <v>23600</v>
      </c>
      <c r="F293">
        <v>77.7</v>
      </c>
      <c r="H293">
        <v>8.0500000000000007</v>
      </c>
    </row>
    <row r="294" spans="1:9" s="4" customFormat="1" ht="15.5" x14ac:dyDescent="0.35">
      <c r="A294" s="3">
        <v>42818</v>
      </c>
      <c r="B294" s="62" t="s">
        <v>20</v>
      </c>
      <c r="C294" s="4">
        <v>10.3</v>
      </c>
      <c r="D294" s="4">
        <v>5450</v>
      </c>
      <c r="F294" s="4">
        <v>97</v>
      </c>
      <c r="H294" s="4">
        <v>8.43</v>
      </c>
    </row>
    <row r="295" spans="1:9" s="22" customFormat="1" ht="15.5" x14ac:dyDescent="0.35">
      <c r="A295" s="19">
        <v>42821</v>
      </c>
      <c r="B295" s="66" t="s">
        <v>273</v>
      </c>
      <c r="C295" s="22">
        <v>12.4</v>
      </c>
      <c r="D295" s="22">
        <v>31200</v>
      </c>
      <c r="F295" s="22">
        <v>94</v>
      </c>
      <c r="H295" s="22">
        <v>8.08</v>
      </c>
    </row>
    <row r="296" spans="1:9" ht="15.5" x14ac:dyDescent="0.35">
      <c r="A296" s="2">
        <v>42825</v>
      </c>
      <c r="B296" s="61" t="s">
        <v>192</v>
      </c>
      <c r="C296" s="10">
        <v>13.7</v>
      </c>
      <c r="D296" s="10">
        <v>2580</v>
      </c>
      <c r="F296" s="10">
        <v>135</v>
      </c>
      <c r="H296" s="10">
        <v>8.48</v>
      </c>
    </row>
    <row r="297" spans="1:9" ht="15.5" x14ac:dyDescent="0.35">
      <c r="A297" s="2">
        <v>42825</v>
      </c>
      <c r="B297" s="61" t="s">
        <v>46</v>
      </c>
      <c r="C297" s="10">
        <v>11.1</v>
      </c>
      <c r="D297" s="10">
        <v>39300</v>
      </c>
      <c r="F297" s="10">
        <v>115.5</v>
      </c>
      <c r="H297" s="10">
        <v>8.18</v>
      </c>
      <c r="I297" s="10">
        <v>92</v>
      </c>
    </row>
    <row r="298" spans="1:9" ht="15.5" x14ac:dyDescent="0.35">
      <c r="A298" s="2">
        <v>42825</v>
      </c>
      <c r="B298" s="61" t="s">
        <v>47</v>
      </c>
      <c r="C298" s="10">
        <v>11</v>
      </c>
      <c r="D298" s="10">
        <v>41000</v>
      </c>
      <c r="F298" s="10">
        <v>114.8</v>
      </c>
      <c r="H298" s="10">
        <v>8.25</v>
      </c>
    </row>
    <row r="299" spans="1:9" ht="15.5" x14ac:dyDescent="0.35">
      <c r="A299" s="2">
        <v>42825</v>
      </c>
      <c r="B299" s="61" t="s">
        <v>89</v>
      </c>
      <c r="C299" s="10">
        <v>11.6</v>
      </c>
      <c r="D299" s="10">
        <v>39800</v>
      </c>
      <c r="F299" s="10">
        <v>131.19999999999999</v>
      </c>
      <c r="H299" s="10">
        <v>8.3000000000000007</v>
      </c>
    </row>
    <row r="300" spans="1:9" ht="15.5" x14ac:dyDescent="0.35">
      <c r="A300" s="2">
        <v>42825</v>
      </c>
      <c r="B300" s="61" t="s">
        <v>90</v>
      </c>
      <c r="C300" s="10">
        <v>11.2</v>
      </c>
      <c r="D300" s="10">
        <v>40800</v>
      </c>
      <c r="F300" s="10">
        <v>131.6</v>
      </c>
      <c r="H300" s="10">
        <v>8.31</v>
      </c>
    </row>
    <row r="301" spans="1:9" ht="15.5" x14ac:dyDescent="0.35">
      <c r="A301" s="2">
        <v>42825</v>
      </c>
      <c r="B301" s="61" t="s">
        <v>48</v>
      </c>
      <c r="C301">
        <v>11.6</v>
      </c>
      <c r="D301">
        <v>39700</v>
      </c>
      <c r="F301">
        <v>123</v>
      </c>
      <c r="H301">
        <v>8.23</v>
      </c>
      <c r="I301">
        <v>94</v>
      </c>
    </row>
    <row r="302" spans="1:9" ht="15.5" x14ac:dyDescent="0.35">
      <c r="A302" s="2">
        <v>42825</v>
      </c>
      <c r="B302" s="61" t="s">
        <v>49</v>
      </c>
      <c r="C302">
        <v>11.1</v>
      </c>
      <c r="D302">
        <v>41400</v>
      </c>
      <c r="F302">
        <v>126</v>
      </c>
      <c r="H302">
        <v>8.2200000000000006</v>
      </c>
    </row>
    <row r="303" spans="1:9" ht="15.5" x14ac:dyDescent="0.35">
      <c r="A303" s="2">
        <v>42825</v>
      </c>
      <c r="B303" s="61" t="s">
        <v>50</v>
      </c>
      <c r="C303">
        <v>12.6</v>
      </c>
      <c r="D303">
        <v>36100</v>
      </c>
      <c r="F303">
        <v>118.5</v>
      </c>
      <c r="H303">
        <v>8.18</v>
      </c>
      <c r="I303">
        <v>93</v>
      </c>
    </row>
    <row r="304" spans="1:9" ht="15.5" x14ac:dyDescent="0.35">
      <c r="A304" s="2">
        <v>42825</v>
      </c>
      <c r="B304" s="61" t="s">
        <v>51</v>
      </c>
      <c r="C304">
        <v>11.2</v>
      </c>
      <c r="D304">
        <v>40600</v>
      </c>
      <c r="F304">
        <v>116.6</v>
      </c>
      <c r="H304">
        <v>8.23</v>
      </c>
    </row>
    <row r="305" spans="1:9" ht="15.5" x14ac:dyDescent="0.35">
      <c r="A305" s="2">
        <v>42825</v>
      </c>
      <c r="B305" s="61" t="s">
        <v>91</v>
      </c>
      <c r="C305">
        <v>12.6</v>
      </c>
      <c r="D305">
        <v>36600</v>
      </c>
      <c r="F305">
        <v>115.9</v>
      </c>
      <c r="H305">
        <v>8.27</v>
      </c>
    </row>
    <row r="306" spans="1:9" ht="15.5" x14ac:dyDescent="0.35">
      <c r="A306" s="2">
        <v>42825</v>
      </c>
      <c r="B306" s="61" t="s">
        <v>92</v>
      </c>
      <c r="C306">
        <v>11.6</v>
      </c>
      <c r="D306">
        <v>40900</v>
      </c>
      <c r="F306">
        <v>115.9</v>
      </c>
      <c r="H306">
        <v>8.19</v>
      </c>
    </row>
    <row r="307" spans="1:9" ht="15.5" x14ac:dyDescent="0.35">
      <c r="A307" s="2">
        <v>42825</v>
      </c>
      <c r="B307" s="61" t="s">
        <v>52</v>
      </c>
      <c r="C307">
        <v>12.6</v>
      </c>
      <c r="D307">
        <v>36600</v>
      </c>
      <c r="F307">
        <v>124.2</v>
      </c>
      <c r="H307">
        <v>8.27</v>
      </c>
      <c r="I307">
        <v>94</v>
      </c>
    </row>
    <row r="308" spans="1:9" ht="15.5" x14ac:dyDescent="0.35">
      <c r="A308" s="2">
        <v>42825</v>
      </c>
      <c r="B308" s="61" t="s">
        <v>53</v>
      </c>
      <c r="C308">
        <v>11</v>
      </c>
      <c r="D308">
        <v>41600</v>
      </c>
      <c r="F308">
        <v>115.7</v>
      </c>
      <c r="H308">
        <v>8.15</v>
      </c>
    </row>
    <row r="309" spans="1:9" ht="15.5" x14ac:dyDescent="0.35">
      <c r="A309" s="2">
        <v>42825</v>
      </c>
      <c r="B309" s="61" t="s">
        <v>54</v>
      </c>
      <c r="C309">
        <v>13</v>
      </c>
      <c r="D309">
        <v>32100</v>
      </c>
      <c r="F309">
        <v>119.4</v>
      </c>
      <c r="H309">
        <v>8.32</v>
      </c>
      <c r="I309">
        <v>92</v>
      </c>
    </row>
    <row r="310" spans="1:9" ht="15.5" x14ac:dyDescent="0.35">
      <c r="A310" s="2">
        <v>42825</v>
      </c>
      <c r="B310" s="61" t="s">
        <v>55</v>
      </c>
      <c r="C310">
        <v>11.5</v>
      </c>
      <c r="D310">
        <v>40400</v>
      </c>
      <c r="F310">
        <v>115.4</v>
      </c>
      <c r="H310">
        <v>8.16</v>
      </c>
    </row>
    <row r="311" spans="1:9" ht="15.5" x14ac:dyDescent="0.35">
      <c r="A311" s="2">
        <v>42825</v>
      </c>
      <c r="B311" s="61" t="s">
        <v>93</v>
      </c>
      <c r="C311">
        <v>12.8</v>
      </c>
      <c r="D311">
        <v>32500</v>
      </c>
      <c r="F311">
        <v>120.5</v>
      </c>
      <c r="H311">
        <v>8.33</v>
      </c>
    </row>
    <row r="312" spans="1:9" ht="15.5" x14ac:dyDescent="0.35">
      <c r="A312" s="2">
        <v>42825</v>
      </c>
      <c r="B312" s="61" t="s">
        <v>77</v>
      </c>
      <c r="C312">
        <v>11.5</v>
      </c>
      <c r="D312">
        <v>41700</v>
      </c>
      <c r="F312">
        <v>116</v>
      </c>
      <c r="H312">
        <v>8.18</v>
      </c>
    </row>
    <row r="313" spans="1:9" ht="15.5" x14ac:dyDescent="0.35">
      <c r="A313" s="2">
        <v>42825</v>
      </c>
      <c r="B313" s="61" t="s">
        <v>56</v>
      </c>
      <c r="C313">
        <v>12.7</v>
      </c>
      <c r="D313">
        <v>32300</v>
      </c>
      <c r="F313">
        <v>126</v>
      </c>
      <c r="H313">
        <v>8.32</v>
      </c>
      <c r="I313">
        <v>92</v>
      </c>
    </row>
    <row r="314" spans="1:9" ht="15.5" x14ac:dyDescent="0.35">
      <c r="A314" s="2">
        <v>42825</v>
      </c>
      <c r="B314" s="61" t="s">
        <v>57</v>
      </c>
      <c r="C314">
        <v>11.3</v>
      </c>
      <c r="D314">
        <v>40500</v>
      </c>
      <c r="F314">
        <v>116.5</v>
      </c>
      <c r="H314">
        <v>8.17</v>
      </c>
    </row>
    <row r="315" spans="1:9" s="4" customFormat="1" ht="15.5" x14ac:dyDescent="0.35">
      <c r="A315" s="3">
        <v>42826</v>
      </c>
      <c r="B315" s="62" t="s">
        <v>20</v>
      </c>
      <c r="C315" s="4">
        <v>11.7</v>
      </c>
      <c r="D315" s="4">
        <v>32400</v>
      </c>
      <c r="F315" s="4">
        <v>109.1</v>
      </c>
      <c r="H315" s="4">
        <v>8.27</v>
      </c>
    </row>
    <row r="316" spans="1:9" s="22" customFormat="1" ht="15.5" x14ac:dyDescent="0.35">
      <c r="A316" s="19">
        <v>42828</v>
      </c>
      <c r="B316" s="66" t="s">
        <v>273</v>
      </c>
      <c r="C316" s="20">
        <v>12.1</v>
      </c>
      <c r="D316" s="20">
        <v>35900</v>
      </c>
      <c r="F316" s="20">
        <v>115.9</v>
      </c>
      <c r="H316" s="20">
        <v>8.2799999999999994</v>
      </c>
    </row>
    <row r="317" spans="1:9" ht="15.5" x14ac:dyDescent="0.35">
      <c r="A317" s="2">
        <v>42832</v>
      </c>
      <c r="B317" s="61" t="s">
        <v>192</v>
      </c>
      <c r="C317" s="10">
        <v>13.8</v>
      </c>
      <c r="D317" s="10">
        <v>2960</v>
      </c>
      <c r="F317" s="10">
        <v>200</v>
      </c>
      <c r="H317" s="10">
        <v>8.8000000000000007</v>
      </c>
    </row>
    <row r="318" spans="1:9" ht="15.5" x14ac:dyDescent="0.35">
      <c r="A318" s="2">
        <v>42832</v>
      </c>
      <c r="B318" s="61" t="s">
        <v>46</v>
      </c>
      <c r="C318">
        <v>12.8</v>
      </c>
      <c r="D318">
        <v>28700</v>
      </c>
      <c r="F318">
        <v>165.9</v>
      </c>
      <c r="H318">
        <v>8.5399999999999991</v>
      </c>
      <c r="I318">
        <v>135</v>
      </c>
    </row>
    <row r="319" spans="1:9" ht="15.5" x14ac:dyDescent="0.35">
      <c r="A319" s="2">
        <v>42832</v>
      </c>
      <c r="B319" s="61" t="s">
        <v>47</v>
      </c>
      <c r="C319">
        <v>13</v>
      </c>
      <c r="D319">
        <v>42700</v>
      </c>
      <c r="F319">
        <v>200</v>
      </c>
      <c r="H319">
        <v>8.66</v>
      </c>
    </row>
    <row r="320" spans="1:9" ht="15.5" x14ac:dyDescent="0.35">
      <c r="A320" s="2">
        <v>42832</v>
      </c>
      <c r="B320" s="61" t="s">
        <v>89</v>
      </c>
      <c r="C320">
        <v>12.7</v>
      </c>
      <c r="D320">
        <v>28800</v>
      </c>
      <c r="F320">
        <v>162.6</v>
      </c>
      <c r="H320">
        <v>8.5299999999999994</v>
      </c>
    </row>
    <row r="321" spans="1:9" ht="15.5" x14ac:dyDescent="0.35">
      <c r="A321" s="2">
        <v>42832</v>
      </c>
      <c r="B321" s="61" t="s">
        <v>90</v>
      </c>
      <c r="C321">
        <v>13</v>
      </c>
      <c r="D321">
        <v>43100</v>
      </c>
      <c r="F321">
        <v>200</v>
      </c>
      <c r="H321">
        <v>8.59</v>
      </c>
    </row>
    <row r="322" spans="1:9" ht="15.5" x14ac:dyDescent="0.35">
      <c r="A322" s="2">
        <v>42832</v>
      </c>
      <c r="B322" s="61" t="s">
        <v>48</v>
      </c>
      <c r="C322">
        <v>13.1</v>
      </c>
      <c r="D322">
        <v>28100</v>
      </c>
      <c r="F322">
        <v>163.30000000000001</v>
      </c>
      <c r="H322">
        <v>8.5399999999999991</v>
      </c>
      <c r="I322">
        <v>135</v>
      </c>
    </row>
    <row r="323" spans="1:9" ht="15.5" x14ac:dyDescent="0.35">
      <c r="A323" s="2">
        <v>42832</v>
      </c>
      <c r="B323" s="61" t="s">
        <v>49</v>
      </c>
      <c r="C323">
        <v>12.9</v>
      </c>
      <c r="D323">
        <v>42800</v>
      </c>
      <c r="F323">
        <v>200</v>
      </c>
      <c r="H323">
        <v>8.6199999999999992</v>
      </c>
    </row>
    <row r="324" spans="1:9" ht="15.5" x14ac:dyDescent="0.35">
      <c r="A324" s="2">
        <v>42832</v>
      </c>
      <c r="B324" s="61" t="s">
        <v>50</v>
      </c>
      <c r="C324">
        <v>12.4</v>
      </c>
      <c r="D324">
        <v>29100</v>
      </c>
      <c r="F324">
        <v>168.7</v>
      </c>
      <c r="H324">
        <v>8.57</v>
      </c>
      <c r="I324">
        <v>127</v>
      </c>
    </row>
    <row r="325" spans="1:9" ht="15.5" x14ac:dyDescent="0.35">
      <c r="A325" s="2">
        <v>42832</v>
      </c>
      <c r="B325" s="61" t="s">
        <v>51</v>
      </c>
      <c r="C325">
        <v>13.2</v>
      </c>
      <c r="D325">
        <v>42300</v>
      </c>
      <c r="F325">
        <v>186.7</v>
      </c>
      <c r="H325">
        <v>8.6</v>
      </c>
    </row>
    <row r="326" spans="1:9" ht="15.5" x14ac:dyDescent="0.35">
      <c r="A326" s="2">
        <v>42832</v>
      </c>
      <c r="B326" s="61" t="s">
        <v>91</v>
      </c>
      <c r="C326">
        <v>12.4</v>
      </c>
      <c r="D326">
        <v>28800</v>
      </c>
      <c r="F326">
        <v>191</v>
      </c>
      <c r="H326">
        <v>8.58</v>
      </c>
    </row>
    <row r="327" spans="1:9" ht="15.5" x14ac:dyDescent="0.35">
      <c r="A327" s="2">
        <v>42832</v>
      </c>
      <c r="B327" s="61" t="s">
        <v>92</v>
      </c>
      <c r="C327">
        <v>12.4</v>
      </c>
      <c r="D327">
        <v>42900</v>
      </c>
      <c r="F327">
        <v>175.3</v>
      </c>
      <c r="H327">
        <v>8.5399999999999991</v>
      </c>
    </row>
    <row r="328" spans="1:9" ht="15.5" x14ac:dyDescent="0.35">
      <c r="A328" s="2">
        <v>42832</v>
      </c>
      <c r="B328" s="61" t="s">
        <v>52</v>
      </c>
      <c r="C328">
        <v>12.3</v>
      </c>
      <c r="D328">
        <v>28400</v>
      </c>
      <c r="F328">
        <v>167.6</v>
      </c>
      <c r="H328">
        <v>8.6</v>
      </c>
      <c r="I328">
        <v>125</v>
      </c>
    </row>
    <row r="329" spans="1:9" ht="15.5" x14ac:dyDescent="0.35">
      <c r="A329" s="2">
        <v>42832</v>
      </c>
      <c r="B329" s="61" t="s">
        <v>53</v>
      </c>
      <c r="C329">
        <v>13.1</v>
      </c>
      <c r="D329">
        <v>42500</v>
      </c>
      <c r="F329">
        <v>174.3</v>
      </c>
      <c r="H329">
        <v>8.57</v>
      </c>
    </row>
    <row r="330" spans="1:9" ht="15.5" x14ac:dyDescent="0.35">
      <c r="A330" s="2">
        <v>42832</v>
      </c>
      <c r="B330" s="61" t="s">
        <v>54</v>
      </c>
      <c r="C330">
        <v>12.7</v>
      </c>
      <c r="D330">
        <v>29600</v>
      </c>
      <c r="F330">
        <v>188.2</v>
      </c>
      <c r="H330">
        <v>8.59</v>
      </c>
      <c r="I330">
        <v>130</v>
      </c>
    </row>
    <row r="331" spans="1:9" ht="15.5" x14ac:dyDescent="0.35">
      <c r="A331" s="2">
        <v>42832</v>
      </c>
      <c r="B331" s="61" t="s">
        <v>55</v>
      </c>
      <c r="C331">
        <v>13</v>
      </c>
      <c r="D331">
        <v>41900</v>
      </c>
      <c r="F331">
        <v>191.5</v>
      </c>
      <c r="H331">
        <v>8.6300000000000008</v>
      </c>
    </row>
    <row r="332" spans="1:9" ht="15.5" x14ac:dyDescent="0.35">
      <c r="A332" s="2">
        <v>42832</v>
      </c>
      <c r="B332" s="61" t="s">
        <v>93</v>
      </c>
      <c r="C332">
        <v>12.8</v>
      </c>
      <c r="D332">
        <v>29400</v>
      </c>
      <c r="F332">
        <v>176.3</v>
      </c>
      <c r="H332">
        <v>8.6</v>
      </c>
    </row>
    <row r="333" spans="1:9" ht="15.5" x14ac:dyDescent="0.35">
      <c r="A333" s="2">
        <v>42832</v>
      </c>
      <c r="B333" s="61" t="s">
        <v>77</v>
      </c>
      <c r="C333">
        <v>12.6</v>
      </c>
      <c r="D333">
        <v>41500</v>
      </c>
      <c r="F333">
        <v>180.3</v>
      </c>
      <c r="H333">
        <v>8.5299999999999994</v>
      </c>
    </row>
    <row r="334" spans="1:9" ht="15.5" x14ac:dyDescent="0.35">
      <c r="A334" s="2">
        <v>42832</v>
      </c>
      <c r="B334" s="61" t="s">
        <v>56</v>
      </c>
      <c r="C334">
        <v>12.7</v>
      </c>
      <c r="D334">
        <v>29500</v>
      </c>
      <c r="F334">
        <v>195</v>
      </c>
      <c r="H334">
        <v>8.59</v>
      </c>
      <c r="I334">
        <v>130</v>
      </c>
    </row>
    <row r="335" spans="1:9" ht="15.5" x14ac:dyDescent="0.35">
      <c r="A335" s="2">
        <v>42832</v>
      </c>
      <c r="B335" s="61" t="s">
        <v>57</v>
      </c>
      <c r="C335">
        <v>13.1</v>
      </c>
      <c r="D335">
        <v>41200</v>
      </c>
      <c r="F335">
        <v>190</v>
      </c>
      <c r="H335">
        <v>8.64</v>
      </c>
    </row>
    <row r="336" spans="1:9" s="4" customFormat="1" ht="15.5" x14ac:dyDescent="0.35">
      <c r="A336" s="3">
        <v>42832</v>
      </c>
      <c r="B336" s="62" t="s">
        <v>20</v>
      </c>
      <c r="C336" s="4">
        <v>13</v>
      </c>
      <c r="D336" s="4">
        <v>26300</v>
      </c>
      <c r="F336" s="4">
        <v>160.80000000000001</v>
      </c>
      <c r="H336" s="4">
        <v>8.5399999999999991</v>
      </c>
    </row>
    <row r="337" spans="1:9" ht="15.5" x14ac:dyDescent="0.35">
      <c r="A337" s="2">
        <v>42839</v>
      </c>
      <c r="B337" s="61" t="s">
        <v>192</v>
      </c>
      <c r="C337" s="10">
        <v>13.7</v>
      </c>
      <c r="D337" s="10">
        <v>3050</v>
      </c>
      <c r="F337" s="10">
        <v>163.5</v>
      </c>
      <c r="H337" s="10">
        <v>8.7899999999999991</v>
      </c>
    </row>
    <row r="338" spans="1:9" ht="15.5" x14ac:dyDescent="0.35">
      <c r="A338" s="2">
        <v>42839</v>
      </c>
      <c r="B338" s="61" t="s">
        <v>46</v>
      </c>
      <c r="C338" s="10">
        <v>14.1</v>
      </c>
      <c r="D338" s="10">
        <v>17450</v>
      </c>
      <c r="F338" s="10">
        <v>151.5</v>
      </c>
      <c r="H338" s="10">
        <v>8.5399999999999991</v>
      </c>
    </row>
    <row r="339" spans="1:9" ht="15.5" x14ac:dyDescent="0.35">
      <c r="A339" s="2">
        <v>42839</v>
      </c>
      <c r="B339" s="61" t="s">
        <v>47</v>
      </c>
      <c r="C339" s="10">
        <v>13.6</v>
      </c>
      <c r="D339" s="10">
        <v>28200</v>
      </c>
      <c r="F339" s="10">
        <v>156</v>
      </c>
      <c r="H339" s="10">
        <v>8.4499999999999993</v>
      </c>
    </row>
    <row r="340" spans="1:9" ht="15.5" x14ac:dyDescent="0.35">
      <c r="A340" s="2">
        <v>42839</v>
      </c>
      <c r="B340" s="61" t="s">
        <v>89</v>
      </c>
      <c r="C340">
        <v>14</v>
      </c>
      <c r="D340">
        <v>19160</v>
      </c>
      <c r="F340">
        <v>150</v>
      </c>
      <c r="H340">
        <v>8.5399999999999991</v>
      </c>
    </row>
    <row r="341" spans="1:9" ht="15.5" x14ac:dyDescent="0.35">
      <c r="A341" s="2">
        <v>42839</v>
      </c>
      <c r="B341" s="61" t="s">
        <v>90</v>
      </c>
      <c r="C341">
        <v>13.7</v>
      </c>
      <c r="D341">
        <v>29500</v>
      </c>
      <c r="F341">
        <v>155.19999999999999</v>
      </c>
      <c r="H341">
        <v>8.4499999999999993</v>
      </c>
    </row>
    <row r="342" spans="1:9" ht="15.5" x14ac:dyDescent="0.35">
      <c r="A342" s="2">
        <v>42839</v>
      </c>
      <c r="B342" s="61" t="s">
        <v>48</v>
      </c>
      <c r="C342">
        <v>14.1</v>
      </c>
      <c r="D342">
        <v>17770</v>
      </c>
      <c r="F342">
        <v>158.4</v>
      </c>
      <c r="H342">
        <v>8.56</v>
      </c>
      <c r="I342">
        <v>79</v>
      </c>
    </row>
    <row r="343" spans="1:9" ht="15.5" x14ac:dyDescent="0.35">
      <c r="A343" s="2">
        <v>42839</v>
      </c>
      <c r="B343" s="61" t="s">
        <v>49</v>
      </c>
      <c r="C343">
        <v>13.6</v>
      </c>
      <c r="D343">
        <v>30200</v>
      </c>
      <c r="F343">
        <v>154.80000000000001</v>
      </c>
      <c r="H343">
        <v>8.44</v>
      </c>
    </row>
    <row r="344" spans="1:9" ht="15.5" x14ac:dyDescent="0.35">
      <c r="A344" s="2">
        <v>42839</v>
      </c>
      <c r="B344" s="61" t="s">
        <v>50</v>
      </c>
      <c r="C344">
        <v>13.5</v>
      </c>
      <c r="D344">
        <v>17980</v>
      </c>
      <c r="F344">
        <v>142.5</v>
      </c>
      <c r="H344">
        <v>8.59</v>
      </c>
    </row>
    <row r="345" spans="1:9" ht="15.5" x14ac:dyDescent="0.35">
      <c r="A345" s="2">
        <v>42839</v>
      </c>
      <c r="B345" s="61" t="s">
        <v>51</v>
      </c>
      <c r="C345">
        <v>14</v>
      </c>
      <c r="D345">
        <v>28600</v>
      </c>
      <c r="F345">
        <v>146.80000000000001</v>
      </c>
      <c r="H345">
        <v>8.4</v>
      </c>
    </row>
    <row r="346" spans="1:9" ht="15.5" x14ac:dyDescent="0.35">
      <c r="A346" s="2">
        <v>42839</v>
      </c>
      <c r="B346" s="61" t="s">
        <v>91</v>
      </c>
      <c r="C346">
        <v>13.1</v>
      </c>
      <c r="D346">
        <v>15930</v>
      </c>
      <c r="F346">
        <v>148.9</v>
      </c>
      <c r="H346">
        <v>8.6199999999999992</v>
      </c>
      <c r="I346">
        <v>80</v>
      </c>
    </row>
    <row r="347" spans="1:9" ht="15.5" x14ac:dyDescent="0.35">
      <c r="A347" s="2">
        <v>42839</v>
      </c>
      <c r="B347" s="61" t="s">
        <v>92</v>
      </c>
      <c r="C347">
        <v>14</v>
      </c>
      <c r="D347">
        <v>29600</v>
      </c>
      <c r="F347">
        <v>159.4</v>
      </c>
      <c r="H347">
        <v>8.49</v>
      </c>
    </row>
    <row r="348" spans="1:9" ht="15.5" x14ac:dyDescent="0.35">
      <c r="A348" s="2">
        <v>42839</v>
      </c>
      <c r="B348" s="61" t="s">
        <v>52</v>
      </c>
      <c r="C348">
        <v>12.9</v>
      </c>
      <c r="D348">
        <v>15610</v>
      </c>
      <c r="F348">
        <v>154.69999999999999</v>
      </c>
      <c r="H348">
        <v>8.61</v>
      </c>
    </row>
    <row r="349" spans="1:9" ht="15.5" x14ac:dyDescent="0.35">
      <c r="A349" s="2">
        <v>42839</v>
      </c>
      <c r="B349" s="61" t="s">
        <v>53</v>
      </c>
      <c r="C349">
        <v>14.1</v>
      </c>
      <c r="D349">
        <v>30000</v>
      </c>
      <c r="F349">
        <v>161.69999999999999</v>
      </c>
      <c r="H349">
        <v>8.4600000000000009</v>
      </c>
    </row>
    <row r="350" spans="1:9" ht="15.5" x14ac:dyDescent="0.35">
      <c r="A350" s="2">
        <v>42839</v>
      </c>
      <c r="B350" s="61" t="s">
        <v>54</v>
      </c>
      <c r="C350">
        <v>12.2</v>
      </c>
      <c r="D350">
        <v>14510</v>
      </c>
      <c r="F350">
        <v>143.9</v>
      </c>
      <c r="H350">
        <v>8.67</v>
      </c>
    </row>
    <row r="351" spans="1:9" ht="15.5" x14ac:dyDescent="0.35">
      <c r="A351" s="2">
        <v>42839</v>
      </c>
      <c r="B351" s="61" t="s">
        <v>55</v>
      </c>
      <c r="C351">
        <v>13.9</v>
      </c>
      <c r="D351">
        <v>28900</v>
      </c>
      <c r="F351">
        <v>152.19999999999999</v>
      </c>
      <c r="H351">
        <v>8.51</v>
      </c>
      <c r="I351">
        <v>78</v>
      </c>
    </row>
    <row r="352" spans="1:9" ht="15.5" x14ac:dyDescent="0.35">
      <c r="A352" s="2">
        <v>42839</v>
      </c>
      <c r="B352" s="61" t="s">
        <v>93</v>
      </c>
      <c r="C352">
        <v>12.2</v>
      </c>
      <c r="D352">
        <v>14500</v>
      </c>
      <c r="F352">
        <v>151.6</v>
      </c>
      <c r="H352">
        <v>8.68</v>
      </c>
    </row>
    <row r="353" spans="1:9" ht="15.5" x14ac:dyDescent="0.35">
      <c r="A353" s="2">
        <v>42839</v>
      </c>
      <c r="B353" s="61" t="s">
        <v>77</v>
      </c>
      <c r="C353">
        <v>13.9</v>
      </c>
      <c r="D353">
        <v>29000</v>
      </c>
      <c r="F353">
        <v>162.5</v>
      </c>
      <c r="H353">
        <v>8.51</v>
      </c>
    </row>
    <row r="354" spans="1:9" ht="15.5" x14ac:dyDescent="0.35">
      <c r="A354" s="2">
        <v>42839</v>
      </c>
      <c r="B354" s="61" t="s">
        <v>56</v>
      </c>
      <c r="C354">
        <v>12.3</v>
      </c>
      <c r="D354">
        <v>14830</v>
      </c>
      <c r="F354">
        <v>141.30000000000001</v>
      </c>
      <c r="H354">
        <v>8.65</v>
      </c>
    </row>
    <row r="355" spans="1:9" ht="15.5" x14ac:dyDescent="0.35">
      <c r="A355" s="2">
        <v>42839</v>
      </c>
      <c r="B355" s="61" t="s">
        <v>57</v>
      </c>
      <c r="C355">
        <v>13.9</v>
      </c>
      <c r="D355">
        <v>27200</v>
      </c>
      <c r="F355">
        <v>151.5</v>
      </c>
      <c r="H355">
        <v>8.48</v>
      </c>
      <c r="I355">
        <v>78</v>
      </c>
    </row>
    <row r="356" spans="1:9" s="4" customFormat="1" ht="15.5" x14ac:dyDescent="0.35">
      <c r="A356" s="3">
        <v>42840</v>
      </c>
      <c r="B356" s="62" t="s">
        <v>20</v>
      </c>
      <c r="C356" s="4">
        <v>13.1</v>
      </c>
      <c r="D356" s="4">
        <v>16250</v>
      </c>
      <c r="F356" s="4">
        <v>139.1</v>
      </c>
      <c r="H356" s="4">
        <v>8.6</v>
      </c>
    </row>
    <row r="357" spans="1:9" ht="15.5" x14ac:dyDescent="0.35">
      <c r="A357" s="2">
        <v>42846</v>
      </c>
      <c r="B357" s="61" t="s">
        <v>192</v>
      </c>
      <c r="C357" s="10">
        <v>12.9</v>
      </c>
      <c r="D357" s="10">
        <v>2840</v>
      </c>
      <c r="F357" s="10">
        <v>148.9</v>
      </c>
      <c r="H357" s="10">
        <v>8.9499999999999993</v>
      </c>
    </row>
    <row r="358" spans="1:9" ht="15.5" x14ac:dyDescent="0.35">
      <c r="A358" s="2">
        <v>42846</v>
      </c>
      <c r="B358" s="61" t="s">
        <v>46</v>
      </c>
      <c r="C358">
        <v>13.4</v>
      </c>
      <c r="D358">
        <v>18250</v>
      </c>
      <c r="F358">
        <v>140.1</v>
      </c>
      <c r="H358">
        <v>8.65</v>
      </c>
      <c r="I358">
        <v>74</v>
      </c>
    </row>
    <row r="359" spans="1:9" ht="15.5" x14ac:dyDescent="0.35">
      <c r="A359" s="2">
        <v>42846</v>
      </c>
      <c r="B359" s="61" t="s">
        <v>47</v>
      </c>
      <c r="C359">
        <v>13.3</v>
      </c>
      <c r="D359">
        <v>19950</v>
      </c>
      <c r="F359">
        <v>135.19999999999999</v>
      </c>
      <c r="H359">
        <v>8.7100000000000009</v>
      </c>
    </row>
    <row r="360" spans="1:9" ht="15.5" x14ac:dyDescent="0.35">
      <c r="A360" s="2">
        <v>42846</v>
      </c>
      <c r="B360" s="61" t="s">
        <v>89</v>
      </c>
      <c r="C360">
        <v>13.3</v>
      </c>
      <c r="D360">
        <v>17970</v>
      </c>
      <c r="F360">
        <v>134.9</v>
      </c>
      <c r="H360">
        <v>8.6300000000000008</v>
      </c>
      <c r="I360">
        <v>73</v>
      </c>
    </row>
    <row r="361" spans="1:9" ht="15.5" x14ac:dyDescent="0.35">
      <c r="A361" s="2">
        <v>42846</v>
      </c>
      <c r="B361" s="61" t="s">
        <v>90</v>
      </c>
      <c r="C361">
        <v>13.3</v>
      </c>
      <c r="D361">
        <v>23400</v>
      </c>
      <c r="F361">
        <v>126.3</v>
      </c>
      <c r="H361">
        <v>8.4499999999999993</v>
      </c>
    </row>
    <row r="362" spans="1:9" ht="15.5" x14ac:dyDescent="0.35">
      <c r="A362" s="2">
        <v>42846</v>
      </c>
      <c r="B362" s="61" t="s">
        <v>48</v>
      </c>
      <c r="C362">
        <v>13.3</v>
      </c>
      <c r="D362">
        <v>16710</v>
      </c>
      <c r="F362">
        <v>134.5</v>
      </c>
      <c r="H362">
        <v>8.64</v>
      </c>
      <c r="I362">
        <v>74</v>
      </c>
    </row>
    <row r="363" spans="1:9" ht="15.5" x14ac:dyDescent="0.35">
      <c r="A363" s="2">
        <v>42846</v>
      </c>
      <c r="B363" s="61" t="s">
        <v>49</v>
      </c>
      <c r="C363">
        <v>13.3</v>
      </c>
      <c r="D363">
        <v>23000</v>
      </c>
      <c r="F363">
        <v>119.9</v>
      </c>
      <c r="H363">
        <v>8.4499999999999993</v>
      </c>
    </row>
    <row r="364" spans="1:9" ht="15.5" x14ac:dyDescent="0.35">
      <c r="A364" s="2">
        <v>42846</v>
      </c>
      <c r="B364" s="61" t="s">
        <v>50</v>
      </c>
      <c r="C364">
        <v>13.4</v>
      </c>
      <c r="D364">
        <v>18880</v>
      </c>
      <c r="F364">
        <v>154.1</v>
      </c>
      <c r="H364">
        <v>8.68</v>
      </c>
      <c r="I364">
        <v>74</v>
      </c>
    </row>
    <row r="365" spans="1:9" ht="15.5" x14ac:dyDescent="0.35">
      <c r="A365" s="2">
        <v>42846</v>
      </c>
      <c r="B365" s="61" t="s">
        <v>51</v>
      </c>
      <c r="C365">
        <v>13.7</v>
      </c>
      <c r="D365">
        <v>22400</v>
      </c>
      <c r="F365">
        <v>150.30000000000001</v>
      </c>
      <c r="H365">
        <v>8.64</v>
      </c>
    </row>
    <row r="366" spans="1:9" ht="15.5" x14ac:dyDescent="0.35">
      <c r="A366" s="2">
        <v>42846</v>
      </c>
      <c r="B366" s="61" t="s">
        <v>91</v>
      </c>
      <c r="C366">
        <v>13.4</v>
      </c>
      <c r="D366">
        <v>18890</v>
      </c>
      <c r="F366">
        <v>153.4</v>
      </c>
      <c r="H366">
        <v>8.7100000000000009</v>
      </c>
      <c r="I366">
        <v>75</v>
      </c>
    </row>
    <row r="367" spans="1:9" ht="15.5" x14ac:dyDescent="0.35">
      <c r="A367" s="2">
        <v>42846</v>
      </c>
      <c r="B367" s="61" t="s">
        <v>92</v>
      </c>
      <c r="C367">
        <v>13.7</v>
      </c>
      <c r="D367">
        <v>23100</v>
      </c>
      <c r="F367">
        <v>140.19999999999999</v>
      </c>
      <c r="H367">
        <v>8.6</v>
      </c>
    </row>
    <row r="368" spans="1:9" ht="15.5" x14ac:dyDescent="0.35">
      <c r="A368" s="2">
        <v>42846</v>
      </c>
      <c r="B368" s="61" t="s">
        <v>52</v>
      </c>
      <c r="C368">
        <v>13.5</v>
      </c>
      <c r="D368">
        <v>18710</v>
      </c>
      <c r="F368">
        <v>151.80000000000001</v>
      </c>
      <c r="H368">
        <v>8.6999999999999993</v>
      </c>
      <c r="I368">
        <v>76</v>
      </c>
    </row>
    <row r="369" spans="1:9" ht="15.5" x14ac:dyDescent="0.35">
      <c r="A369" s="2">
        <v>42846</v>
      </c>
      <c r="B369" s="61" t="s">
        <v>53</v>
      </c>
      <c r="C369">
        <v>13.7</v>
      </c>
      <c r="D369">
        <v>21700</v>
      </c>
      <c r="F369">
        <v>144.30000000000001</v>
      </c>
      <c r="H369">
        <v>8.6</v>
      </c>
    </row>
    <row r="370" spans="1:9" ht="15.5" x14ac:dyDescent="0.35">
      <c r="A370" s="2">
        <v>42846</v>
      </c>
      <c r="B370" s="61" t="s">
        <v>54</v>
      </c>
      <c r="C370">
        <v>13.3</v>
      </c>
      <c r="D370">
        <v>19020</v>
      </c>
      <c r="F370">
        <v>169.8</v>
      </c>
      <c r="H370">
        <v>8.7799999999999994</v>
      </c>
      <c r="I370">
        <v>75</v>
      </c>
    </row>
    <row r="371" spans="1:9" ht="15.5" x14ac:dyDescent="0.35">
      <c r="A371" s="2">
        <v>42846</v>
      </c>
      <c r="B371" s="61" t="s">
        <v>55</v>
      </c>
      <c r="C371">
        <v>13.7</v>
      </c>
      <c r="D371">
        <v>23500</v>
      </c>
      <c r="F371">
        <v>163.6</v>
      </c>
      <c r="H371">
        <v>8.56</v>
      </c>
    </row>
    <row r="372" spans="1:9" ht="15.5" x14ac:dyDescent="0.35">
      <c r="A372" s="2">
        <v>42846</v>
      </c>
      <c r="B372" s="61" t="s">
        <v>93</v>
      </c>
      <c r="C372">
        <v>13.3</v>
      </c>
      <c r="D372">
        <v>19000</v>
      </c>
      <c r="F372">
        <v>157</v>
      </c>
      <c r="H372">
        <v>8.82</v>
      </c>
      <c r="I372">
        <v>75</v>
      </c>
    </row>
    <row r="373" spans="1:9" ht="15.5" x14ac:dyDescent="0.35">
      <c r="A373" s="2">
        <v>42846</v>
      </c>
      <c r="B373" s="61" t="s">
        <v>77</v>
      </c>
      <c r="C373">
        <v>13.7</v>
      </c>
      <c r="D373">
        <v>23600</v>
      </c>
      <c r="F373">
        <v>158.80000000000001</v>
      </c>
      <c r="H373">
        <v>8.5299999999999994</v>
      </c>
    </row>
    <row r="374" spans="1:9" ht="15.5" x14ac:dyDescent="0.35">
      <c r="A374" s="2">
        <v>42846</v>
      </c>
      <c r="B374" s="61" t="s">
        <v>56</v>
      </c>
      <c r="C374">
        <v>13.2</v>
      </c>
      <c r="D374">
        <v>18760</v>
      </c>
      <c r="F374">
        <v>170.3</v>
      </c>
      <c r="H374">
        <v>8.7799999999999994</v>
      </c>
      <c r="I374">
        <v>76</v>
      </c>
    </row>
    <row r="375" spans="1:9" ht="15.5" x14ac:dyDescent="0.35">
      <c r="A375" s="2">
        <v>42846</v>
      </c>
      <c r="B375" s="61" t="s">
        <v>57</v>
      </c>
      <c r="C375">
        <v>13.7</v>
      </c>
      <c r="D375">
        <v>22600</v>
      </c>
      <c r="F375">
        <v>128.1</v>
      </c>
      <c r="H375">
        <v>8.6300000000000008</v>
      </c>
    </row>
    <row r="376" spans="1:9" s="4" customFormat="1" ht="15.5" x14ac:dyDescent="0.35">
      <c r="A376" s="3">
        <v>42847</v>
      </c>
      <c r="B376" s="62" t="s">
        <v>20</v>
      </c>
      <c r="C376" s="4">
        <v>13.1</v>
      </c>
      <c r="D376" s="48">
        <v>3690</v>
      </c>
      <c r="F376" s="4">
        <v>138.5</v>
      </c>
      <c r="H376" s="4">
        <v>8.81</v>
      </c>
    </row>
    <row r="377" spans="1:9" ht="15.5" x14ac:dyDescent="0.35">
      <c r="A377" s="2">
        <v>42853</v>
      </c>
      <c r="B377" s="61" t="s">
        <v>192</v>
      </c>
      <c r="C377" s="10">
        <v>13</v>
      </c>
      <c r="D377">
        <v>2850</v>
      </c>
      <c r="F377" s="10">
        <v>126.9</v>
      </c>
      <c r="H377" s="10">
        <v>8.83</v>
      </c>
    </row>
    <row r="378" spans="1:9" ht="15.5" x14ac:dyDescent="0.35">
      <c r="A378" s="2">
        <v>42853</v>
      </c>
      <c r="B378" s="61" t="s">
        <v>46</v>
      </c>
      <c r="C378" s="10">
        <v>11.7</v>
      </c>
      <c r="D378">
        <v>7210</v>
      </c>
      <c r="F378" s="10">
        <v>159.4</v>
      </c>
      <c r="H378" s="10">
        <v>9.01</v>
      </c>
      <c r="I378" s="10">
        <v>69</v>
      </c>
    </row>
    <row r="379" spans="1:9" ht="15.5" x14ac:dyDescent="0.35">
      <c r="A379" s="2">
        <v>42853</v>
      </c>
      <c r="B379" s="61" t="s">
        <v>47</v>
      </c>
      <c r="C379" s="10">
        <v>12.7</v>
      </c>
      <c r="D379">
        <v>21600</v>
      </c>
      <c r="F379" s="10">
        <v>31</v>
      </c>
      <c r="H379" s="10">
        <v>8.23</v>
      </c>
    </row>
    <row r="380" spans="1:9" ht="15.5" x14ac:dyDescent="0.35">
      <c r="A380" s="2">
        <v>42853</v>
      </c>
      <c r="B380" s="61" t="s">
        <v>89</v>
      </c>
      <c r="C380">
        <v>11.9</v>
      </c>
      <c r="D380">
        <v>7250</v>
      </c>
      <c r="F380">
        <v>163.30000000000001</v>
      </c>
      <c r="H380">
        <v>9.01</v>
      </c>
    </row>
    <row r="381" spans="1:9" ht="15.5" x14ac:dyDescent="0.35">
      <c r="A381" s="2">
        <v>42853</v>
      </c>
      <c r="B381" s="61" t="s">
        <v>90</v>
      </c>
      <c r="C381">
        <v>12.9</v>
      </c>
      <c r="D381">
        <v>22100</v>
      </c>
      <c r="F381">
        <v>33.200000000000003</v>
      </c>
      <c r="H381">
        <v>8.2200000000000006</v>
      </c>
    </row>
    <row r="382" spans="1:9" ht="15.5" x14ac:dyDescent="0.35">
      <c r="A382" s="2">
        <v>42853</v>
      </c>
      <c r="B382" s="61" t="s">
        <v>48</v>
      </c>
      <c r="C382">
        <v>11.9</v>
      </c>
      <c r="D382">
        <v>7150</v>
      </c>
      <c r="F382">
        <v>168.4</v>
      </c>
      <c r="H382">
        <v>9.0399999999999991</v>
      </c>
      <c r="I382">
        <v>69</v>
      </c>
    </row>
    <row r="383" spans="1:9" ht="15.5" x14ac:dyDescent="0.35">
      <c r="A383" s="2">
        <v>42853</v>
      </c>
      <c r="B383" s="61" t="s">
        <v>49</v>
      </c>
      <c r="C383">
        <v>12.9</v>
      </c>
      <c r="D383">
        <v>21300</v>
      </c>
      <c r="F383">
        <v>29</v>
      </c>
      <c r="H383">
        <v>8.25</v>
      </c>
    </row>
    <row r="384" spans="1:9" ht="15.5" x14ac:dyDescent="0.35">
      <c r="A384" s="2">
        <v>42853</v>
      </c>
      <c r="B384" s="61" t="s">
        <v>50</v>
      </c>
      <c r="C384">
        <v>12.4</v>
      </c>
      <c r="D384">
        <v>8500</v>
      </c>
      <c r="F384">
        <v>195.5</v>
      </c>
      <c r="H384">
        <v>9.1199999999999992</v>
      </c>
      <c r="I384">
        <v>70</v>
      </c>
    </row>
    <row r="385" spans="1:9" ht="15.5" x14ac:dyDescent="0.35">
      <c r="A385" s="2">
        <v>42853</v>
      </c>
      <c r="B385" s="61" t="s">
        <v>51</v>
      </c>
      <c r="C385">
        <v>13.2</v>
      </c>
      <c r="D385">
        <v>18750</v>
      </c>
      <c r="F385">
        <v>45.9</v>
      </c>
      <c r="H385">
        <v>8.11</v>
      </c>
    </row>
    <row r="386" spans="1:9" ht="15.5" x14ac:dyDescent="0.35">
      <c r="A386" s="2">
        <v>42853</v>
      </c>
      <c r="B386" s="61" t="s">
        <v>91</v>
      </c>
      <c r="C386">
        <v>12.5</v>
      </c>
      <c r="D386">
        <v>7720</v>
      </c>
      <c r="F386">
        <v>191.7</v>
      </c>
      <c r="H386">
        <v>9.1300000000000008</v>
      </c>
    </row>
    <row r="387" spans="1:9" ht="15.5" x14ac:dyDescent="0.35">
      <c r="A387" s="2">
        <v>42853</v>
      </c>
      <c r="B387" s="61" t="s">
        <v>92</v>
      </c>
      <c r="C387">
        <v>13.1</v>
      </c>
      <c r="D387">
        <v>20900</v>
      </c>
      <c r="F387">
        <v>79.900000000000006</v>
      </c>
      <c r="H387">
        <v>8.39</v>
      </c>
    </row>
    <row r="388" spans="1:9" ht="15.5" x14ac:dyDescent="0.35">
      <c r="A388" s="2">
        <v>42853</v>
      </c>
      <c r="B388" s="61" t="s">
        <v>52</v>
      </c>
      <c r="C388">
        <v>12.5</v>
      </c>
      <c r="D388">
        <v>7750</v>
      </c>
      <c r="F388">
        <v>200</v>
      </c>
      <c r="H388">
        <v>9.15</v>
      </c>
      <c r="I388">
        <v>70</v>
      </c>
    </row>
    <row r="389" spans="1:9" ht="15.5" x14ac:dyDescent="0.35">
      <c r="A389" s="2">
        <v>42853</v>
      </c>
      <c r="B389" s="61" t="s">
        <v>53</v>
      </c>
      <c r="C389">
        <v>13.1</v>
      </c>
      <c r="D389">
        <v>20700</v>
      </c>
      <c r="F389">
        <v>70</v>
      </c>
      <c r="H389">
        <v>8.31</v>
      </c>
    </row>
    <row r="390" spans="1:9" ht="15.5" x14ac:dyDescent="0.35">
      <c r="A390" s="2">
        <v>42853</v>
      </c>
      <c r="B390" s="61" t="s">
        <v>54</v>
      </c>
      <c r="C390">
        <v>12.7</v>
      </c>
      <c r="D390">
        <v>9420</v>
      </c>
      <c r="F390">
        <v>186</v>
      </c>
      <c r="H390">
        <v>9.01</v>
      </c>
      <c r="I390">
        <v>69</v>
      </c>
    </row>
    <row r="391" spans="1:9" ht="15.5" x14ac:dyDescent="0.35">
      <c r="A391" s="2">
        <v>42853</v>
      </c>
      <c r="B391" s="61" t="s">
        <v>55</v>
      </c>
      <c r="C391">
        <v>13</v>
      </c>
      <c r="D391">
        <v>20600</v>
      </c>
      <c r="F391">
        <v>63</v>
      </c>
      <c r="H391">
        <v>8.33</v>
      </c>
    </row>
    <row r="392" spans="1:9" ht="15.5" x14ac:dyDescent="0.35">
      <c r="A392" s="2">
        <v>42853</v>
      </c>
      <c r="B392" s="61" t="s">
        <v>93</v>
      </c>
      <c r="C392">
        <v>12.9</v>
      </c>
      <c r="D392">
        <v>9890</v>
      </c>
      <c r="F392">
        <v>184.7</v>
      </c>
      <c r="H392">
        <v>8.9600000000000009</v>
      </c>
    </row>
    <row r="393" spans="1:9" ht="15.5" x14ac:dyDescent="0.35">
      <c r="A393" s="2">
        <v>42853</v>
      </c>
      <c r="B393" s="61" t="s">
        <v>77</v>
      </c>
      <c r="C393">
        <v>12.8</v>
      </c>
      <c r="D393">
        <v>22600</v>
      </c>
      <c r="F393">
        <v>84.1</v>
      </c>
      <c r="H393">
        <v>8.44</v>
      </c>
    </row>
    <row r="394" spans="1:9" ht="15.5" x14ac:dyDescent="0.35">
      <c r="A394" s="2">
        <v>42853</v>
      </c>
      <c r="B394" s="61" t="s">
        <v>56</v>
      </c>
      <c r="C394">
        <v>12.9</v>
      </c>
      <c r="D394">
        <v>10850</v>
      </c>
      <c r="F394">
        <v>173.8</v>
      </c>
      <c r="H394">
        <v>8.4499999999999993</v>
      </c>
      <c r="I394">
        <v>70</v>
      </c>
    </row>
    <row r="395" spans="1:9" s="4" customFormat="1" ht="15.5" x14ac:dyDescent="0.35">
      <c r="A395" s="3">
        <v>42853</v>
      </c>
      <c r="B395" s="62" t="s">
        <v>57</v>
      </c>
      <c r="C395" s="4">
        <v>12.8</v>
      </c>
      <c r="D395" s="4">
        <v>21900</v>
      </c>
      <c r="F395" s="4">
        <v>54.2</v>
      </c>
      <c r="H395" s="4">
        <v>8.39</v>
      </c>
    </row>
    <row r="396" spans="1:9" ht="15.5" x14ac:dyDescent="0.35">
      <c r="A396" s="2">
        <v>42860</v>
      </c>
      <c r="B396" s="61" t="s">
        <v>192</v>
      </c>
      <c r="C396" s="10">
        <v>14.2</v>
      </c>
      <c r="D396" s="10">
        <v>2780</v>
      </c>
      <c r="F396" s="10">
        <v>129.6</v>
      </c>
      <c r="H396" s="10">
        <v>8.83</v>
      </c>
    </row>
    <row r="397" spans="1:9" ht="15.5" x14ac:dyDescent="0.35">
      <c r="A397" s="2">
        <v>42860</v>
      </c>
      <c r="B397" s="61" t="s">
        <v>46</v>
      </c>
      <c r="C397" s="10">
        <v>12.9</v>
      </c>
      <c r="D397" s="10">
        <v>15000</v>
      </c>
      <c r="F397" s="10">
        <v>62.8</v>
      </c>
      <c r="H397" s="10">
        <v>8.42</v>
      </c>
    </row>
    <row r="398" spans="1:9" ht="15.5" x14ac:dyDescent="0.35">
      <c r="A398" s="2">
        <v>42860</v>
      </c>
      <c r="B398" s="61" t="s">
        <v>47</v>
      </c>
      <c r="C398" s="10">
        <v>13.5</v>
      </c>
      <c r="D398" s="10">
        <v>22800</v>
      </c>
      <c r="F398" s="10">
        <v>3.8</v>
      </c>
      <c r="H398" s="10">
        <v>8.08</v>
      </c>
    </row>
    <row r="399" spans="1:9" ht="15.5" x14ac:dyDescent="0.35">
      <c r="A399" s="2">
        <v>42860</v>
      </c>
      <c r="B399" s="61" t="s">
        <v>89</v>
      </c>
      <c r="C399" s="10">
        <v>12.9</v>
      </c>
      <c r="D399" s="10">
        <v>14450</v>
      </c>
      <c r="F399" s="10">
        <v>64.400000000000006</v>
      </c>
      <c r="H399" s="10">
        <v>8.43</v>
      </c>
    </row>
    <row r="400" spans="1:9" ht="15.5" x14ac:dyDescent="0.35">
      <c r="A400" s="2">
        <v>42860</v>
      </c>
      <c r="B400" s="61" t="s">
        <v>90</v>
      </c>
      <c r="C400" s="10">
        <v>13.4</v>
      </c>
      <c r="D400" s="10">
        <v>23300</v>
      </c>
      <c r="F400" s="10">
        <v>6</v>
      </c>
      <c r="H400" s="10">
        <v>8.08</v>
      </c>
    </row>
    <row r="401" spans="1:9" ht="15.5" x14ac:dyDescent="0.35">
      <c r="A401" s="2">
        <v>42860</v>
      </c>
      <c r="B401" s="61" t="s">
        <v>48</v>
      </c>
      <c r="C401">
        <v>13.1</v>
      </c>
      <c r="D401">
        <v>13750</v>
      </c>
      <c r="F401">
        <v>78.2</v>
      </c>
      <c r="H401">
        <v>8.5399999999999991</v>
      </c>
      <c r="I401">
        <v>72</v>
      </c>
    </row>
    <row r="402" spans="1:9" ht="15.5" x14ac:dyDescent="0.35">
      <c r="A402" s="2">
        <v>42860</v>
      </c>
      <c r="B402" s="61" t="s">
        <v>49</v>
      </c>
      <c r="C402">
        <v>13.3</v>
      </c>
      <c r="D402">
        <v>24300</v>
      </c>
      <c r="F402">
        <v>2.9</v>
      </c>
      <c r="H402">
        <v>8.08</v>
      </c>
    </row>
    <row r="403" spans="1:9" ht="15.5" x14ac:dyDescent="0.35">
      <c r="A403" s="2">
        <v>42860</v>
      </c>
      <c r="B403" s="61" t="s">
        <v>50</v>
      </c>
      <c r="C403">
        <v>13.2</v>
      </c>
      <c r="D403">
        <v>16810</v>
      </c>
      <c r="F403">
        <v>72</v>
      </c>
      <c r="H403">
        <v>8.4499999999999993</v>
      </c>
      <c r="I403">
        <v>73</v>
      </c>
    </row>
    <row r="404" spans="1:9" ht="15.5" x14ac:dyDescent="0.35">
      <c r="A404" s="2">
        <v>42860</v>
      </c>
      <c r="B404" s="61" t="s">
        <v>51</v>
      </c>
      <c r="C404">
        <v>13.9</v>
      </c>
      <c r="D404">
        <v>23700</v>
      </c>
      <c r="F404">
        <v>1</v>
      </c>
      <c r="H404">
        <v>8.0500000000000007</v>
      </c>
    </row>
    <row r="405" spans="1:9" ht="15.5" x14ac:dyDescent="0.35">
      <c r="A405" s="2">
        <v>42860</v>
      </c>
      <c r="B405" s="61" t="s">
        <v>91</v>
      </c>
      <c r="C405">
        <v>13.1</v>
      </c>
      <c r="D405">
        <v>16690</v>
      </c>
      <c r="F405">
        <v>78</v>
      </c>
      <c r="H405">
        <v>8.42</v>
      </c>
      <c r="I405">
        <v>73</v>
      </c>
    </row>
    <row r="406" spans="1:9" ht="15.5" x14ac:dyDescent="0.35">
      <c r="A406" s="2">
        <v>42860</v>
      </c>
      <c r="B406" s="61" t="s">
        <v>92</v>
      </c>
      <c r="C406">
        <v>13.7</v>
      </c>
      <c r="D406">
        <v>24300</v>
      </c>
      <c r="F406">
        <v>1</v>
      </c>
      <c r="H406">
        <v>8.09</v>
      </c>
    </row>
    <row r="407" spans="1:9" ht="15.5" x14ac:dyDescent="0.35">
      <c r="A407" s="2">
        <v>42860</v>
      </c>
      <c r="B407" s="61" t="s">
        <v>52</v>
      </c>
      <c r="C407">
        <v>13.2</v>
      </c>
      <c r="D407">
        <v>16790</v>
      </c>
      <c r="F407">
        <v>72</v>
      </c>
      <c r="H407">
        <v>8.41</v>
      </c>
      <c r="I407">
        <v>71</v>
      </c>
    </row>
    <row r="408" spans="1:9" ht="15.5" x14ac:dyDescent="0.35">
      <c r="A408" s="2">
        <v>42860</v>
      </c>
      <c r="B408" s="61" t="s">
        <v>53</v>
      </c>
      <c r="C408">
        <v>13.7</v>
      </c>
      <c r="D408">
        <v>23900</v>
      </c>
      <c r="F408">
        <v>1.1000000000000001</v>
      </c>
      <c r="H408">
        <v>8</v>
      </c>
    </row>
    <row r="409" spans="1:9" ht="15.5" x14ac:dyDescent="0.35">
      <c r="A409" s="2">
        <v>42860</v>
      </c>
      <c r="B409" s="61" t="s">
        <v>54</v>
      </c>
      <c r="C409">
        <v>13.7</v>
      </c>
      <c r="D409">
        <v>17410</v>
      </c>
      <c r="F409">
        <v>83.9</v>
      </c>
      <c r="H409">
        <v>8.5</v>
      </c>
    </row>
    <row r="410" spans="1:9" ht="15.5" x14ac:dyDescent="0.35">
      <c r="A410" s="2">
        <v>42860</v>
      </c>
      <c r="B410" s="61" t="s">
        <v>55</v>
      </c>
      <c r="C410">
        <v>13.7</v>
      </c>
      <c r="D410">
        <v>23600</v>
      </c>
      <c r="F410">
        <v>33.299999999999997</v>
      </c>
      <c r="H410">
        <v>8.08</v>
      </c>
      <c r="I410">
        <v>73</v>
      </c>
    </row>
    <row r="411" spans="1:9" ht="15.5" x14ac:dyDescent="0.35">
      <c r="A411" s="2">
        <v>42860</v>
      </c>
      <c r="B411" s="61" t="s">
        <v>93</v>
      </c>
      <c r="C411">
        <v>13.2</v>
      </c>
      <c r="D411">
        <v>17330</v>
      </c>
      <c r="F411">
        <v>88</v>
      </c>
      <c r="H411">
        <v>8.5</v>
      </c>
    </row>
    <row r="412" spans="1:9" ht="15.5" x14ac:dyDescent="0.35">
      <c r="A412" s="2">
        <v>42860</v>
      </c>
      <c r="B412" s="61" t="s">
        <v>77</v>
      </c>
      <c r="C412">
        <v>13.8</v>
      </c>
      <c r="D412">
        <v>23800</v>
      </c>
      <c r="F412">
        <v>55.5</v>
      </c>
      <c r="H412">
        <v>8.11</v>
      </c>
    </row>
    <row r="413" spans="1:9" ht="15.5" x14ac:dyDescent="0.35">
      <c r="A413" s="2">
        <v>42860</v>
      </c>
      <c r="B413" s="61" t="s">
        <v>56</v>
      </c>
      <c r="C413">
        <v>13.5</v>
      </c>
      <c r="D413">
        <v>17630</v>
      </c>
      <c r="F413">
        <v>92.1</v>
      </c>
      <c r="H413">
        <v>8.4700000000000006</v>
      </c>
      <c r="I413">
        <v>72</v>
      </c>
    </row>
    <row r="414" spans="1:9" s="4" customFormat="1" ht="15.5" x14ac:dyDescent="0.35">
      <c r="A414" s="3">
        <v>42860</v>
      </c>
      <c r="B414" s="62" t="s">
        <v>57</v>
      </c>
      <c r="C414" s="4">
        <v>13.9</v>
      </c>
      <c r="D414" s="4">
        <v>23800</v>
      </c>
      <c r="F414" s="4">
        <v>52.6</v>
      </c>
      <c r="H414" s="4">
        <v>8.0399999999999991</v>
      </c>
    </row>
    <row r="415" spans="1:9" ht="15.5" x14ac:dyDescent="0.35">
      <c r="A415" s="2">
        <v>42867</v>
      </c>
      <c r="B415" s="61" t="s">
        <v>192</v>
      </c>
      <c r="C415" s="10">
        <v>16.5</v>
      </c>
      <c r="D415" s="10">
        <v>2710</v>
      </c>
      <c r="F415" s="10">
        <v>153.6</v>
      </c>
      <c r="H415" s="10">
        <v>8.91</v>
      </c>
    </row>
    <row r="416" spans="1:9" ht="15.5" x14ac:dyDescent="0.35">
      <c r="A416" s="2">
        <v>42867</v>
      </c>
      <c r="B416" s="61" t="s">
        <v>46</v>
      </c>
      <c r="C416">
        <v>15.9</v>
      </c>
      <c r="D416">
        <v>22200</v>
      </c>
      <c r="F416">
        <v>164</v>
      </c>
      <c r="H416">
        <v>8.5299999999999994</v>
      </c>
    </row>
    <row r="417" spans="1:9" ht="15.5" x14ac:dyDescent="0.35">
      <c r="A417" s="2">
        <v>42867</v>
      </c>
      <c r="B417" s="61" t="s">
        <v>47</v>
      </c>
      <c r="C417">
        <v>14.8</v>
      </c>
      <c r="D417">
        <v>26600</v>
      </c>
      <c r="F417">
        <v>16.2</v>
      </c>
      <c r="H417">
        <v>8.2200000000000006</v>
      </c>
      <c r="I417">
        <v>81</v>
      </c>
    </row>
    <row r="418" spans="1:9" ht="15.5" x14ac:dyDescent="0.35">
      <c r="A418" s="2">
        <v>42867</v>
      </c>
      <c r="B418" s="61" t="s">
        <v>89</v>
      </c>
      <c r="C418">
        <v>15.7</v>
      </c>
      <c r="D418">
        <v>20900</v>
      </c>
      <c r="F418">
        <v>152.9</v>
      </c>
      <c r="H418">
        <v>8.39</v>
      </c>
    </row>
    <row r="419" spans="1:9" ht="15.5" x14ac:dyDescent="0.35">
      <c r="A419" s="2">
        <v>42867</v>
      </c>
      <c r="B419" s="61" t="s">
        <v>90</v>
      </c>
      <c r="C419">
        <v>14.6</v>
      </c>
      <c r="D419">
        <v>26800</v>
      </c>
      <c r="F419">
        <v>15.3</v>
      </c>
      <c r="H419">
        <v>8.1999999999999993</v>
      </c>
    </row>
    <row r="420" spans="1:9" ht="15.5" x14ac:dyDescent="0.35">
      <c r="A420" s="2">
        <v>42867</v>
      </c>
      <c r="B420" s="61" t="s">
        <v>48</v>
      </c>
      <c r="C420">
        <v>14.9</v>
      </c>
      <c r="D420">
        <v>20400</v>
      </c>
      <c r="F420">
        <v>70.7</v>
      </c>
      <c r="H420">
        <v>8.4</v>
      </c>
      <c r="I420">
        <v>80</v>
      </c>
    </row>
    <row r="421" spans="1:9" ht="15.5" x14ac:dyDescent="0.35">
      <c r="A421" s="2">
        <v>42867</v>
      </c>
      <c r="B421" s="61" t="s">
        <v>49</v>
      </c>
      <c r="C421">
        <v>14.4</v>
      </c>
      <c r="D421">
        <v>28700</v>
      </c>
      <c r="F421">
        <v>34.1</v>
      </c>
      <c r="H421">
        <v>8.08</v>
      </c>
    </row>
    <row r="422" spans="1:9" ht="15.5" x14ac:dyDescent="0.35">
      <c r="A422" s="2">
        <v>42867</v>
      </c>
      <c r="B422" s="61" t="s">
        <v>50</v>
      </c>
      <c r="C422">
        <v>16</v>
      </c>
      <c r="D422">
        <v>20100</v>
      </c>
      <c r="F422">
        <v>140.6</v>
      </c>
      <c r="H422">
        <v>8.2200000000000006</v>
      </c>
      <c r="I422">
        <v>80</v>
      </c>
    </row>
    <row r="423" spans="1:9" ht="15.5" x14ac:dyDescent="0.35">
      <c r="A423" s="2">
        <v>42867</v>
      </c>
      <c r="B423" s="61" t="s">
        <v>51</v>
      </c>
      <c r="C423">
        <v>15.3</v>
      </c>
      <c r="D423">
        <v>27800</v>
      </c>
      <c r="F423">
        <v>113.4</v>
      </c>
      <c r="H423">
        <v>8.4700000000000006</v>
      </c>
    </row>
    <row r="424" spans="1:9" ht="15.5" x14ac:dyDescent="0.35">
      <c r="A424" s="2">
        <v>42867</v>
      </c>
      <c r="B424" s="61" t="s">
        <v>91</v>
      </c>
      <c r="C424">
        <v>16.100000000000001</v>
      </c>
      <c r="D424">
        <v>20200</v>
      </c>
      <c r="F424">
        <v>149.19999999999999</v>
      </c>
      <c r="H424">
        <v>8.5399999999999991</v>
      </c>
    </row>
    <row r="425" spans="1:9" ht="15.5" x14ac:dyDescent="0.35">
      <c r="A425" s="2">
        <v>42867</v>
      </c>
      <c r="B425" s="61" t="s">
        <v>92</v>
      </c>
      <c r="C425">
        <v>15.4</v>
      </c>
      <c r="D425">
        <v>26800</v>
      </c>
      <c r="F425">
        <v>162.19999999999999</v>
      </c>
      <c r="H425">
        <v>8.6300000000000008</v>
      </c>
    </row>
    <row r="426" spans="1:9" ht="15.5" x14ac:dyDescent="0.35">
      <c r="A426" s="2">
        <v>42867</v>
      </c>
      <c r="B426" s="61" t="s">
        <v>52</v>
      </c>
      <c r="C426">
        <v>16.2</v>
      </c>
      <c r="D426">
        <v>20300</v>
      </c>
      <c r="F426">
        <v>147</v>
      </c>
      <c r="H426">
        <v>8.5399999999999991</v>
      </c>
      <c r="I426">
        <v>81</v>
      </c>
    </row>
    <row r="427" spans="1:9" ht="15.5" x14ac:dyDescent="0.35">
      <c r="A427" s="2">
        <v>42867</v>
      </c>
      <c r="B427" s="61" t="s">
        <v>53</v>
      </c>
      <c r="C427">
        <v>15.2</v>
      </c>
      <c r="D427">
        <v>27300</v>
      </c>
      <c r="F427">
        <v>116.3</v>
      </c>
      <c r="H427">
        <v>8.4</v>
      </c>
    </row>
    <row r="428" spans="1:9" ht="15.5" x14ac:dyDescent="0.35">
      <c r="A428" s="2">
        <v>42867</v>
      </c>
      <c r="B428" s="61" t="s">
        <v>54</v>
      </c>
      <c r="C428">
        <v>16.100000000000001</v>
      </c>
      <c r="D428">
        <v>19090</v>
      </c>
      <c r="F428">
        <v>140.69999999999999</v>
      </c>
      <c r="H428">
        <v>8.57</v>
      </c>
      <c r="I428">
        <v>80</v>
      </c>
    </row>
    <row r="429" spans="1:9" ht="15.5" x14ac:dyDescent="0.35">
      <c r="A429" s="2">
        <v>42867</v>
      </c>
      <c r="B429" s="61" t="s">
        <v>55</v>
      </c>
      <c r="C429">
        <v>15.1</v>
      </c>
      <c r="D429">
        <v>28200</v>
      </c>
      <c r="F429">
        <v>121.5</v>
      </c>
      <c r="H429">
        <v>8.58</v>
      </c>
    </row>
    <row r="430" spans="1:9" ht="15.5" x14ac:dyDescent="0.35">
      <c r="A430" s="2">
        <v>42867</v>
      </c>
      <c r="B430" s="61" t="s">
        <v>93</v>
      </c>
      <c r="C430">
        <v>16.100000000000001</v>
      </c>
      <c r="D430">
        <v>19120</v>
      </c>
      <c r="F430">
        <v>139.4</v>
      </c>
      <c r="H430">
        <v>8.57</v>
      </c>
      <c r="I430">
        <v>80</v>
      </c>
    </row>
    <row r="431" spans="1:9" ht="15.5" x14ac:dyDescent="0.35">
      <c r="A431" s="2">
        <v>42867</v>
      </c>
      <c r="B431" s="61" t="s">
        <v>77</v>
      </c>
      <c r="C431">
        <v>15.3</v>
      </c>
      <c r="D431">
        <v>27700</v>
      </c>
      <c r="F431">
        <v>147</v>
      </c>
      <c r="H431">
        <v>8.6199999999999992</v>
      </c>
    </row>
    <row r="432" spans="1:9" ht="15.5" x14ac:dyDescent="0.35">
      <c r="A432" s="2">
        <v>42867</v>
      </c>
      <c r="B432" s="61" t="s">
        <v>56</v>
      </c>
      <c r="C432">
        <v>16</v>
      </c>
      <c r="D432">
        <v>19150</v>
      </c>
      <c r="F432">
        <v>138.80000000000001</v>
      </c>
      <c r="H432">
        <v>8.56</v>
      </c>
    </row>
    <row r="433" spans="1:9" s="4" customFormat="1" ht="15.5" x14ac:dyDescent="0.35">
      <c r="A433" s="3">
        <v>42867</v>
      </c>
      <c r="B433" s="62" t="s">
        <v>57</v>
      </c>
      <c r="C433" s="4">
        <v>15</v>
      </c>
      <c r="D433" s="4">
        <v>28900</v>
      </c>
      <c r="F433" s="4">
        <v>96</v>
      </c>
      <c r="H433" s="4">
        <v>8.25</v>
      </c>
    </row>
    <row r="434" spans="1:9" s="5" customFormat="1" ht="15.5" x14ac:dyDescent="0.35">
      <c r="A434" s="13">
        <v>42874</v>
      </c>
      <c r="B434" s="61" t="s">
        <v>192</v>
      </c>
      <c r="C434" s="10">
        <v>17.7</v>
      </c>
      <c r="D434" s="10">
        <v>2780</v>
      </c>
      <c r="F434" s="10">
        <v>63.5</v>
      </c>
      <c r="H434" s="10">
        <v>8.59</v>
      </c>
    </row>
    <row r="435" spans="1:9" s="5" customFormat="1" ht="15.5" x14ac:dyDescent="0.35">
      <c r="A435" s="13">
        <v>42874</v>
      </c>
      <c r="B435" s="61" t="s">
        <v>46</v>
      </c>
      <c r="C435" s="10">
        <v>16.7</v>
      </c>
      <c r="D435" s="10">
        <v>19200</v>
      </c>
      <c r="F435" s="10">
        <v>110.5</v>
      </c>
      <c r="H435" s="10">
        <v>8.6999999999999993</v>
      </c>
      <c r="I435" s="10">
        <v>63</v>
      </c>
    </row>
    <row r="436" spans="1:9" s="5" customFormat="1" ht="15.5" x14ac:dyDescent="0.35">
      <c r="A436" s="13">
        <v>42874</v>
      </c>
      <c r="B436" s="61" t="s">
        <v>47</v>
      </c>
      <c r="C436" s="10">
        <v>16.100000000000001</v>
      </c>
      <c r="D436" s="10">
        <v>26400</v>
      </c>
      <c r="F436" s="10">
        <v>2.6</v>
      </c>
      <c r="H436" s="10">
        <v>8.1999999999999993</v>
      </c>
    </row>
    <row r="437" spans="1:9" s="5" customFormat="1" ht="15.5" x14ac:dyDescent="0.35">
      <c r="A437" s="13">
        <v>42874</v>
      </c>
      <c r="B437" s="61" t="s">
        <v>89</v>
      </c>
      <c r="C437" s="10">
        <v>16.600000000000001</v>
      </c>
      <c r="D437" s="10">
        <v>19850</v>
      </c>
      <c r="F437" s="10">
        <v>111.7</v>
      </c>
      <c r="H437" s="10">
        <v>8.74</v>
      </c>
      <c r="I437" s="10">
        <v>65</v>
      </c>
    </row>
    <row r="438" spans="1:9" s="5" customFormat="1" ht="15.5" x14ac:dyDescent="0.35">
      <c r="A438" s="13">
        <v>42874</v>
      </c>
      <c r="B438" s="61" t="s">
        <v>90</v>
      </c>
      <c r="C438" s="10">
        <v>16.100000000000001</v>
      </c>
      <c r="D438" s="10">
        <v>26400</v>
      </c>
      <c r="F438" s="10">
        <v>3.7</v>
      </c>
      <c r="H438" s="10">
        <v>8.11</v>
      </c>
    </row>
    <row r="439" spans="1:9" s="5" customFormat="1" ht="15.5" x14ac:dyDescent="0.35">
      <c r="A439" s="13">
        <v>42874</v>
      </c>
      <c r="B439" s="61" t="s">
        <v>48</v>
      </c>
      <c r="C439" s="5">
        <v>16.7</v>
      </c>
      <c r="D439" s="5">
        <v>19590</v>
      </c>
      <c r="F439" s="10">
        <v>109</v>
      </c>
      <c r="H439" s="10">
        <v>8.69</v>
      </c>
      <c r="I439" s="10">
        <v>62</v>
      </c>
    </row>
    <row r="440" spans="1:9" s="5" customFormat="1" ht="15.5" x14ac:dyDescent="0.35">
      <c r="A440" s="13">
        <v>42874</v>
      </c>
      <c r="B440" s="61" t="s">
        <v>49</v>
      </c>
      <c r="C440" s="5">
        <v>15.9</v>
      </c>
      <c r="D440" s="5">
        <v>26500</v>
      </c>
      <c r="F440" s="10">
        <v>3.4</v>
      </c>
      <c r="H440" s="10">
        <v>8</v>
      </c>
    </row>
    <row r="441" spans="1:9" s="5" customFormat="1" ht="15.5" x14ac:dyDescent="0.35">
      <c r="A441" s="13">
        <v>42874</v>
      </c>
      <c r="B441" s="61" t="s">
        <v>50</v>
      </c>
      <c r="C441" s="10">
        <v>16.399999999999999</v>
      </c>
      <c r="D441" s="10">
        <v>19740</v>
      </c>
      <c r="F441" s="10">
        <v>171.3</v>
      </c>
      <c r="H441" s="10">
        <v>9.0299999999999994</v>
      </c>
      <c r="I441" s="10">
        <v>61</v>
      </c>
    </row>
    <row r="442" spans="1:9" s="5" customFormat="1" ht="15.5" x14ac:dyDescent="0.35">
      <c r="A442" s="13">
        <v>42874</v>
      </c>
      <c r="B442" s="61" t="s">
        <v>51</v>
      </c>
      <c r="C442" s="10">
        <v>17</v>
      </c>
      <c r="D442" s="10">
        <v>26500</v>
      </c>
      <c r="F442" s="10">
        <v>134.1</v>
      </c>
      <c r="H442" s="10">
        <v>8.6199999999999992</v>
      </c>
    </row>
    <row r="443" spans="1:9" s="5" customFormat="1" ht="15.5" x14ac:dyDescent="0.35">
      <c r="A443" s="13">
        <v>42874</v>
      </c>
      <c r="B443" s="61" t="s">
        <v>91</v>
      </c>
      <c r="C443" s="10">
        <v>16.5</v>
      </c>
      <c r="D443" s="10">
        <v>19850</v>
      </c>
      <c r="F443" s="10">
        <v>162.9</v>
      </c>
      <c r="H443" s="10">
        <v>9.02</v>
      </c>
      <c r="I443" s="5">
        <v>63</v>
      </c>
    </row>
    <row r="444" spans="1:9" s="5" customFormat="1" ht="15.5" x14ac:dyDescent="0.35">
      <c r="A444" s="13">
        <v>42874</v>
      </c>
      <c r="B444" s="61" t="s">
        <v>92</v>
      </c>
      <c r="C444" s="10">
        <v>16.899999999999999</v>
      </c>
      <c r="D444" s="10">
        <v>25400</v>
      </c>
      <c r="F444" s="10">
        <v>136.69999999999999</v>
      </c>
      <c r="H444" s="10">
        <v>8.65</v>
      </c>
    </row>
    <row r="445" spans="1:9" s="5" customFormat="1" ht="15.5" x14ac:dyDescent="0.35">
      <c r="A445" s="13">
        <v>42874</v>
      </c>
      <c r="B445" s="61" t="s">
        <v>52</v>
      </c>
      <c r="C445" s="5">
        <v>16.5</v>
      </c>
      <c r="D445" s="5">
        <v>19770</v>
      </c>
      <c r="F445" s="10">
        <v>168.5</v>
      </c>
      <c r="H445" s="10">
        <v>9.01</v>
      </c>
      <c r="I445" s="10">
        <v>64</v>
      </c>
    </row>
    <row r="446" spans="1:9" s="5" customFormat="1" ht="15.5" x14ac:dyDescent="0.35">
      <c r="A446" s="13">
        <v>42874</v>
      </c>
      <c r="B446" s="61" t="s">
        <v>53</v>
      </c>
      <c r="C446" s="5">
        <v>16.100000000000001</v>
      </c>
      <c r="D446" s="5">
        <v>26600</v>
      </c>
      <c r="F446" s="10">
        <v>28.8</v>
      </c>
      <c r="H446" s="10">
        <v>8.06</v>
      </c>
    </row>
    <row r="447" spans="1:9" s="5" customFormat="1" ht="15.5" x14ac:dyDescent="0.35">
      <c r="A447" s="13">
        <v>42874</v>
      </c>
      <c r="B447" s="61" t="s">
        <v>54</v>
      </c>
      <c r="C447" s="10">
        <v>16.600000000000001</v>
      </c>
      <c r="D447" s="10">
        <v>19580</v>
      </c>
      <c r="F447" s="10">
        <v>175.3</v>
      </c>
      <c r="H447" s="10">
        <v>9.0399999999999991</v>
      </c>
      <c r="I447" s="10">
        <v>63</v>
      </c>
    </row>
    <row r="448" spans="1:9" s="5" customFormat="1" ht="15.5" x14ac:dyDescent="0.35">
      <c r="A448" s="13">
        <v>42874</v>
      </c>
      <c r="B448" s="61" t="s">
        <v>55</v>
      </c>
      <c r="C448" s="10">
        <v>16.7</v>
      </c>
      <c r="D448" s="10">
        <v>27800</v>
      </c>
      <c r="F448" s="10">
        <v>80.099999999999994</v>
      </c>
      <c r="H448" s="10">
        <v>8.3800000000000008</v>
      </c>
    </row>
    <row r="449" spans="1:9" s="5" customFormat="1" ht="15.5" x14ac:dyDescent="0.35">
      <c r="A449" s="13">
        <v>42874</v>
      </c>
      <c r="B449" s="61" t="s">
        <v>93</v>
      </c>
      <c r="C449" s="10">
        <v>16.600000000000001</v>
      </c>
      <c r="D449" s="10">
        <v>19610</v>
      </c>
      <c r="F449" s="10">
        <v>166.08</v>
      </c>
      <c r="H449" s="10">
        <v>9.0299999999999994</v>
      </c>
      <c r="I449" s="10">
        <v>63</v>
      </c>
    </row>
    <row r="450" spans="1:9" s="5" customFormat="1" ht="15.5" x14ac:dyDescent="0.35">
      <c r="A450" s="13">
        <v>42874</v>
      </c>
      <c r="B450" s="61" t="s">
        <v>77</v>
      </c>
      <c r="C450" s="10">
        <v>16.7</v>
      </c>
      <c r="D450" s="10">
        <v>27010</v>
      </c>
      <c r="F450" s="10">
        <v>150</v>
      </c>
      <c r="H450" s="10">
        <v>8.6199999999999992</v>
      </c>
    </row>
    <row r="451" spans="1:9" s="5" customFormat="1" ht="15.5" x14ac:dyDescent="0.35">
      <c r="A451" s="13">
        <v>42874</v>
      </c>
      <c r="B451" s="61" t="s">
        <v>56</v>
      </c>
      <c r="C451" s="5">
        <v>16.5</v>
      </c>
      <c r="D451" s="5">
        <v>19530</v>
      </c>
      <c r="F451" s="10">
        <v>173.3</v>
      </c>
      <c r="H451" s="10">
        <v>9.0500000000000007</v>
      </c>
      <c r="I451" s="10">
        <v>64</v>
      </c>
    </row>
    <row r="452" spans="1:9" s="4" customFormat="1" ht="15.5" x14ac:dyDescent="0.35">
      <c r="A452" s="3">
        <v>42874</v>
      </c>
      <c r="B452" s="62" t="s">
        <v>57</v>
      </c>
      <c r="C452" s="4">
        <v>16.399999999999999</v>
      </c>
      <c r="D452" s="4">
        <v>26600</v>
      </c>
      <c r="F452" s="4">
        <v>78.31</v>
      </c>
      <c r="H452" s="4">
        <v>8.56</v>
      </c>
    </row>
    <row r="453" spans="1:9" s="5" customFormat="1" ht="15.5" x14ac:dyDescent="0.35">
      <c r="A453" s="13">
        <v>42879</v>
      </c>
      <c r="B453" s="61" t="s">
        <v>192</v>
      </c>
      <c r="C453" s="10">
        <v>19.600000000000001</v>
      </c>
      <c r="D453" s="10">
        <v>2850</v>
      </c>
      <c r="F453" s="10">
        <v>62</v>
      </c>
      <c r="H453" s="10">
        <v>8.4700000000000006</v>
      </c>
    </row>
    <row r="454" spans="1:9" s="5" customFormat="1" ht="15.5" x14ac:dyDescent="0.35">
      <c r="A454" s="13">
        <v>42879</v>
      </c>
      <c r="B454" s="61" t="s">
        <v>46</v>
      </c>
      <c r="C454" s="10">
        <v>19.3</v>
      </c>
      <c r="D454" s="10">
        <v>15810</v>
      </c>
      <c r="F454" s="10">
        <v>168.7</v>
      </c>
      <c r="H454" s="10">
        <v>8.6199999999999992</v>
      </c>
    </row>
    <row r="455" spans="1:9" s="5" customFormat="1" ht="15.5" x14ac:dyDescent="0.35">
      <c r="A455" s="13">
        <v>42879</v>
      </c>
      <c r="B455" s="61" t="s">
        <v>47</v>
      </c>
      <c r="C455" s="10">
        <v>17.5</v>
      </c>
      <c r="D455" s="10">
        <v>23300</v>
      </c>
      <c r="F455" s="10">
        <v>123.6</v>
      </c>
      <c r="H455" s="10">
        <v>8.34</v>
      </c>
      <c r="I455" s="10">
        <v>71</v>
      </c>
    </row>
    <row r="456" spans="1:9" s="5" customFormat="1" ht="15.5" x14ac:dyDescent="0.35">
      <c r="A456" s="13">
        <v>42879</v>
      </c>
      <c r="B456" s="61" t="s">
        <v>89</v>
      </c>
      <c r="C456" s="10">
        <v>19</v>
      </c>
      <c r="D456" s="10">
        <v>15770</v>
      </c>
      <c r="F456" s="10">
        <v>132.30000000000001</v>
      </c>
      <c r="H456" s="10">
        <v>8.5</v>
      </c>
    </row>
    <row r="457" spans="1:9" s="5" customFormat="1" ht="15.5" x14ac:dyDescent="0.35">
      <c r="A457" s="13">
        <v>42879</v>
      </c>
      <c r="B457" s="61" t="s">
        <v>90</v>
      </c>
      <c r="C457" s="10">
        <v>17.7</v>
      </c>
      <c r="D457" s="10">
        <v>22200</v>
      </c>
      <c r="F457" s="10">
        <v>119.7</v>
      </c>
      <c r="H457" s="10">
        <v>8.3699999999999992</v>
      </c>
    </row>
    <row r="458" spans="1:9" s="5" customFormat="1" ht="15.5" x14ac:dyDescent="0.35">
      <c r="A458" s="13">
        <v>42879</v>
      </c>
      <c r="B458" s="61" t="s">
        <v>48</v>
      </c>
      <c r="C458" s="10">
        <v>19.8</v>
      </c>
      <c r="D458" s="10">
        <v>16060</v>
      </c>
      <c r="F458" s="10">
        <v>171.8</v>
      </c>
      <c r="H458" s="10">
        <v>8.3800000000000008</v>
      </c>
      <c r="I458" s="10">
        <v>71</v>
      </c>
    </row>
    <row r="459" spans="1:9" s="5" customFormat="1" ht="15.5" x14ac:dyDescent="0.35">
      <c r="A459" s="13">
        <v>42879</v>
      </c>
      <c r="B459" s="61" t="s">
        <v>49</v>
      </c>
      <c r="C459" s="10">
        <v>17.600000000000001</v>
      </c>
      <c r="D459" s="10">
        <v>23030</v>
      </c>
      <c r="F459" s="10">
        <v>112.4</v>
      </c>
      <c r="H459" s="10">
        <v>8.26</v>
      </c>
    </row>
    <row r="460" spans="1:9" s="5" customFormat="1" ht="15.5" x14ac:dyDescent="0.35">
      <c r="A460" s="13">
        <v>42879</v>
      </c>
      <c r="B460" s="61" t="s">
        <v>50</v>
      </c>
      <c r="C460" s="5">
        <v>19.7</v>
      </c>
      <c r="D460" s="5">
        <v>16600</v>
      </c>
      <c r="F460" s="10">
        <v>200</v>
      </c>
      <c r="H460" s="10">
        <v>8.91</v>
      </c>
      <c r="I460" s="5">
        <v>72</v>
      </c>
    </row>
    <row r="461" spans="1:9" s="5" customFormat="1" ht="15.5" x14ac:dyDescent="0.35">
      <c r="A461" s="13">
        <v>42879</v>
      </c>
      <c r="B461" s="61" t="s">
        <v>51</v>
      </c>
      <c r="C461" s="5">
        <v>18.100000000000001</v>
      </c>
      <c r="D461" s="5">
        <v>22800</v>
      </c>
      <c r="F461" s="10">
        <v>200</v>
      </c>
      <c r="H461" s="10">
        <v>8.33</v>
      </c>
    </row>
    <row r="462" spans="1:9" s="5" customFormat="1" ht="15.5" x14ac:dyDescent="0.35">
      <c r="A462" s="13">
        <v>42879</v>
      </c>
      <c r="B462" s="61" t="s">
        <v>91</v>
      </c>
      <c r="C462" s="5">
        <v>19.8</v>
      </c>
      <c r="D462" s="5">
        <v>16640</v>
      </c>
      <c r="F462" s="10">
        <v>200</v>
      </c>
      <c r="H462" s="10">
        <v>8.9499999999999993</v>
      </c>
    </row>
    <row r="463" spans="1:9" s="5" customFormat="1" ht="15.5" x14ac:dyDescent="0.35">
      <c r="A463" s="13">
        <v>42879</v>
      </c>
      <c r="B463" s="61" t="s">
        <v>92</v>
      </c>
      <c r="C463" s="10">
        <v>18</v>
      </c>
      <c r="D463" s="10">
        <v>23500</v>
      </c>
      <c r="F463" s="10">
        <v>200</v>
      </c>
      <c r="H463" s="10">
        <v>8.5399999999999991</v>
      </c>
    </row>
    <row r="464" spans="1:9" s="5" customFormat="1" ht="15.5" x14ac:dyDescent="0.35">
      <c r="A464" s="13">
        <v>42879</v>
      </c>
      <c r="B464" s="61" t="s">
        <v>52</v>
      </c>
      <c r="C464" s="10">
        <v>19.5</v>
      </c>
      <c r="D464" s="10">
        <v>16600</v>
      </c>
      <c r="F464" s="10">
        <v>200</v>
      </c>
      <c r="H464" s="10">
        <v>8.91</v>
      </c>
      <c r="I464" s="10">
        <v>74</v>
      </c>
    </row>
    <row r="465" spans="1:9" s="5" customFormat="1" ht="15.5" x14ac:dyDescent="0.35">
      <c r="A465" s="13">
        <v>42879</v>
      </c>
      <c r="B465" s="61" t="s">
        <v>53</v>
      </c>
      <c r="C465" s="10">
        <v>18.2</v>
      </c>
      <c r="D465" s="10">
        <v>23200</v>
      </c>
      <c r="F465" s="10">
        <v>200</v>
      </c>
      <c r="H465" s="10">
        <v>8.5299999999999994</v>
      </c>
    </row>
    <row r="466" spans="1:9" s="5" customFormat="1" ht="15.5" x14ac:dyDescent="0.35">
      <c r="A466" s="13">
        <v>42879</v>
      </c>
      <c r="B466" s="61" t="s">
        <v>54</v>
      </c>
      <c r="C466" s="5">
        <v>20</v>
      </c>
      <c r="D466" s="5">
        <v>16700</v>
      </c>
      <c r="F466" s="10">
        <v>200</v>
      </c>
      <c r="H466" s="10">
        <v>9</v>
      </c>
      <c r="I466" s="10">
        <v>72</v>
      </c>
    </row>
    <row r="467" spans="1:9" s="5" customFormat="1" ht="15.5" x14ac:dyDescent="0.35">
      <c r="A467" s="13">
        <v>42879</v>
      </c>
      <c r="B467" s="61" t="s">
        <v>55</v>
      </c>
      <c r="C467" s="5">
        <v>18.899999999999999</v>
      </c>
      <c r="D467" s="5">
        <v>23200</v>
      </c>
      <c r="F467" s="10">
        <v>200</v>
      </c>
      <c r="H467" s="10">
        <v>8.9</v>
      </c>
    </row>
    <row r="468" spans="1:9" ht="15.5" x14ac:dyDescent="0.35">
      <c r="A468" s="13">
        <v>42879</v>
      </c>
      <c r="B468" s="61" t="s">
        <v>93</v>
      </c>
      <c r="C468">
        <v>19.600000000000001</v>
      </c>
      <c r="D468">
        <v>18010</v>
      </c>
      <c r="F468">
        <v>200</v>
      </c>
      <c r="H468">
        <v>8.8800000000000008</v>
      </c>
    </row>
    <row r="469" spans="1:9" ht="15.5" x14ac:dyDescent="0.35">
      <c r="A469" s="13">
        <v>42879</v>
      </c>
      <c r="B469" s="61" t="s">
        <v>77</v>
      </c>
      <c r="C469">
        <v>19</v>
      </c>
      <c r="D469">
        <v>23600</v>
      </c>
      <c r="F469">
        <v>200</v>
      </c>
      <c r="H469">
        <v>8.84</v>
      </c>
    </row>
    <row r="470" spans="1:9" ht="15.5" x14ac:dyDescent="0.35">
      <c r="A470" s="13">
        <v>42879</v>
      </c>
      <c r="B470" s="61" t="s">
        <v>56</v>
      </c>
      <c r="C470">
        <v>19.899999999999999</v>
      </c>
      <c r="D470">
        <v>17120</v>
      </c>
      <c r="F470">
        <v>200</v>
      </c>
      <c r="H470">
        <v>8.9600000000000009</v>
      </c>
      <c r="I470">
        <v>71</v>
      </c>
    </row>
    <row r="471" spans="1:9" s="4" customFormat="1" ht="15.5" x14ac:dyDescent="0.35">
      <c r="A471" s="3">
        <v>42879</v>
      </c>
      <c r="B471" s="62" t="s">
        <v>57</v>
      </c>
      <c r="C471" s="4">
        <v>19.399999999999999</v>
      </c>
      <c r="D471" s="4">
        <v>22800</v>
      </c>
      <c r="F471" s="4">
        <v>200</v>
      </c>
      <c r="H471" s="4">
        <v>8.85</v>
      </c>
    </row>
    <row r="472" spans="1:9" s="22" customFormat="1" ht="15.5" x14ac:dyDescent="0.35">
      <c r="A472" s="19">
        <v>43168</v>
      </c>
      <c r="B472" s="65" t="s">
        <v>46</v>
      </c>
      <c r="C472" s="20">
        <v>3.9</v>
      </c>
      <c r="D472" s="20">
        <v>15170</v>
      </c>
      <c r="F472" s="20">
        <v>105.2</v>
      </c>
      <c r="G472" s="20">
        <v>13.56</v>
      </c>
      <c r="H472" s="20">
        <v>8</v>
      </c>
    </row>
    <row r="473" spans="1:9" ht="15.5" x14ac:dyDescent="0.35">
      <c r="A473" s="13">
        <v>43171</v>
      </c>
      <c r="B473" s="61" t="s">
        <v>192</v>
      </c>
    </row>
    <row r="474" spans="1:9" ht="15.5" x14ac:dyDescent="0.35">
      <c r="A474" s="13">
        <v>43171</v>
      </c>
      <c r="B474" s="61" t="s">
        <v>46</v>
      </c>
      <c r="C474">
        <v>7.2</v>
      </c>
      <c r="D474">
        <v>2040</v>
      </c>
      <c r="F474">
        <v>88.1</v>
      </c>
      <c r="G474">
        <v>10.37</v>
      </c>
      <c r="H474">
        <v>7.8</v>
      </c>
      <c r="I474">
        <v>55</v>
      </c>
    </row>
    <row r="475" spans="1:9" ht="15.5" x14ac:dyDescent="0.35">
      <c r="A475" s="13">
        <v>43171</v>
      </c>
      <c r="B475" s="61" t="s">
        <v>47</v>
      </c>
      <c r="C475">
        <v>7.2</v>
      </c>
      <c r="D475">
        <v>2040</v>
      </c>
      <c r="F475">
        <v>83.6</v>
      </c>
      <c r="G475">
        <v>9.85</v>
      </c>
      <c r="H475">
        <v>7.8</v>
      </c>
    </row>
    <row r="476" spans="1:9" ht="15.5" x14ac:dyDescent="0.35">
      <c r="A476" s="13">
        <v>43171</v>
      </c>
      <c r="B476" s="61" t="s">
        <v>89</v>
      </c>
      <c r="C476">
        <v>7.2</v>
      </c>
      <c r="D476">
        <v>2050</v>
      </c>
      <c r="F476">
        <v>86.9</v>
      </c>
      <c r="G476">
        <v>10.220000000000001</v>
      </c>
      <c r="H476">
        <v>7.8</v>
      </c>
      <c r="I476">
        <v>55</v>
      </c>
    </row>
    <row r="477" spans="1:9" ht="15.5" x14ac:dyDescent="0.35">
      <c r="A477" s="13">
        <v>43171</v>
      </c>
      <c r="B477" s="61" t="s">
        <v>90</v>
      </c>
      <c r="C477">
        <v>7.2</v>
      </c>
      <c r="D477">
        <v>2040</v>
      </c>
      <c r="F477">
        <v>85</v>
      </c>
      <c r="G477">
        <v>10.01</v>
      </c>
      <c r="H477">
        <v>7.8</v>
      </c>
    </row>
    <row r="478" spans="1:9" ht="15.5" x14ac:dyDescent="0.35">
      <c r="A478" s="13">
        <v>43171</v>
      </c>
      <c r="B478" s="61" t="s">
        <v>48</v>
      </c>
      <c r="C478">
        <v>7.2</v>
      </c>
      <c r="D478">
        <v>2040</v>
      </c>
      <c r="F478">
        <v>87.5</v>
      </c>
      <c r="G478">
        <v>10.27</v>
      </c>
      <c r="H478">
        <v>7.8</v>
      </c>
      <c r="I478">
        <v>55</v>
      </c>
    </row>
    <row r="479" spans="1:9" ht="15.5" x14ac:dyDescent="0.35">
      <c r="A479" s="13">
        <v>43171</v>
      </c>
      <c r="B479" s="61" t="s">
        <v>49</v>
      </c>
      <c r="C479">
        <v>7.1</v>
      </c>
      <c r="D479">
        <v>2130</v>
      </c>
      <c r="F479">
        <v>84.4</v>
      </c>
      <c r="G479">
        <v>9.9600000000000009</v>
      </c>
      <c r="H479">
        <v>7.8</v>
      </c>
    </row>
    <row r="480" spans="1:9" ht="15.5" x14ac:dyDescent="0.35">
      <c r="A480" s="13">
        <v>43171</v>
      </c>
      <c r="B480" s="61" t="s">
        <v>50</v>
      </c>
      <c r="C480">
        <v>7</v>
      </c>
      <c r="D480">
        <v>2090</v>
      </c>
      <c r="F480">
        <v>88.2</v>
      </c>
      <c r="G480">
        <v>10.42</v>
      </c>
      <c r="H480">
        <v>7.8</v>
      </c>
    </row>
    <row r="481" spans="1:9" ht="15.5" x14ac:dyDescent="0.35">
      <c r="A481" s="13">
        <v>43171</v>
      </c>
      <c r="B481" s="61" t="s">
        <v>51</v>
      </c>
      <c r="C481">
        <v>7</v>
      </c>
      <c r="D481">
        <v>2190</v>
      </c>
      <c r="F481">
        <v>86.7</v>
      </c>
      <c r="G481">
        <v>10.27</v>
      </c>
      <c r="H481">
        <v>7.8</v>
      </c>
    </row>
    <row r="482" spans="1:9" ht="15.5" x14ac:dyDescent="0.35">
      <c r="A482" s="13">
        <v>43171</v>
      </c>
      <c r="B482" s="61" t="s">
        <v>91</v>
      </c>
      <c r="C482">
        <v>7</v>
      </c>
      <c r="D482">
        <v>2160</v>
      </c>
      <c r="F482">
        <v>88</v>
      </c>
      <c r="G482">
        <v>10.39</v>
      </c>
      <c r="H482">
        <v>7.8</v>
      </c>
    </row>
    <row r="483" spans="1:9" ht="15.5" x14ac:dyDescent="0.35">
      <c r="A483" s="13">
        <v>43171</v>
      </c>
      <c r="B483" s="61" t="s">
        <v>92</v>
      </c>
      <c r="C483">
        <v>7</v>
      </c>
      <c r="D483">
        <v>2130</v>
      </c>
      <c r="F483">
        <v>86.2</v>
      </c>
      <c r="G483">
        <v>10.25</v>
      </c>
      <c r="H483">
        <v>7.8</v>
      </c>
    </row>
    <row r="484" spans="1:9" ht="15.5" x14ac:dyDescent="0.35">
      <c r="A484" s="13">
        <v>43171</v>
      </c>
      <c r="B484" s="61" t="s">
        <v>52</v>
      </c>
      <c r="C484">
        <v>7</v>
      </c>
      <c r="D484">
        <v>2010</v>
      </c>
      <c r="F484">
        <v>88.3</v>
      </c>
      <c r="G484">
        <v>10.42</v>
      </c>
      <c r="H484">
        <v>7.8</v>
      </c>
    </row>
    <row r="485" spans="1:9" ht="15.5" x14ac:dyDescent="0.35">
      <c r="A485" s="13">
        <v>43171</v>
      </c>
      <c r="B485" s="61" t="s">
        <v>53</v>
      </c>
      <c r="C485">
        <v>7</v>
      </c>
      <c r="D485">
        <v>2200</v>
      </c>
      <c r="F485">
        <v>86.2</v>
      </c>
      <c r="G485">
        <v>10.199999999999999</v>
      </c>
      <c r="H485">
        <v>7.8</v>
      </c>
    </row>
    <row r="486" spans="1:9" ht="15.5" x14ac:dyDescent="0.35">
      <c r="A486" s="13">
        <v>43171</v>
      </c>
      <c r="B486" s="61" t="s">
        <v>54</v>
      </c>
      <c r="C486">
        <v>7</v>
      </c>
      <c r="D486">
        <v>2260</v>
      </c>
      <c r="F486">
        <v>86.7</v>
      </c>
      <c r="G486">
        <v>10.39</v>
      </c>
      <c r="H486">
        <v>7.8</v>
      </c>
    </row>
    <row r="487" spans="1:9" ht="15.5" x14ac:dyDescent="0.35">
      <c r="A487" s="13">
        <v>43171</v>
      </c>
      <c r="B487" s="61" t="s">
        <v>55</v>
      </c>
      <c r="C487">
        <v>7</v>
      </c>
      <c r="D487">
        <v>2310</v>
      </c>
      <c r="F487">
        <v>84.5</v>
      </c>
      <c r="G487">
        <v>9.92</v>
      </c>
      <c r="H487">
        <v>7.8</v>
      </c>
    </row>
    <row r="488" spans="1:9" ht="15.5" x14ac:dyDescent="0.35">
      <c r="A488" s="13">
        <v>43171</v>
      </c>
      <c r="B488" s="61" t="s">
        <v>93</v>
      </c>
      <c r="C488">
        <v>7</v>
      </c>
      <c r="D488">
        <v>2250</v>
      </c>
      <c r="F488">
        <v>88.1</v>
      </c>
      <c r="G488">
        <v>10.42</v>
      </c>
      <c r="H488">
        <v>7.8</v>
      </c>
    </row>
    <row r="489" spans="1:9" ht="15.5" x14ac:dyDescent="0.35">
      <c r="A489" s="13">
        <v>43171</v>
      </c>
      <c r="B489" s="61" t="s">
        <v>77</v>
      </c>
      <c r="C489">
        <v>7</v>
      </c>
      <c r="D489">
        <v>2290</v>
      </c>
      <c r="F489">
        <v>86.1</v>
      </c>
      <c r="G489">
        <v>10.19</v>
      </c>
      <c r="H489">
        <v>7.8</v>
      </c>
    </row>
    <row r="490" spans="1:9" ht="15.5" x14ac:dyDescent="0.35">
      <c r="A490" s="13">
        <v>43171</v>
      </c>
      <c r="B490" s="61" t="s">
        <v>56</v>
      </c>
      <c r="C490">
        <v>7</v>
      </c>
      <c r="D490">
        <v>2190</v>
      </c>
      <c r="F490">
        <v>87.9</v>
      </c>
      <c r="G490">
        <v>10.39</v>
      </c>
      <c r="H490">
        <v>7.8</v>
      </c>
    </row>
    <row r="491" spans="1:9" s="4" customFormat="1" ht="15.5" x14ac:dyDescent="0.35">
      <c r="A491" s="3">
        <v>43171</v>
      </c>
      <c r="B491" s="62" t="s">
        <v>57</v>
      </c>
      <c r="C491" s="4">
        <v>7</v>
      </c>
      <c r="D491" s="4">
        <v>2220</v>
      </c>
      <c r="F491" s="4">
        <v>87.7</v>
      </c>
      <c r="G491" s="4">
        <v>10.37</v>
      </c>
      <c r="H491" s="4">
        <v>7.8</v>
      </c>
    </row>
    <row r="492" spans="1:9" ht="15.5" x14ac:dyDescent="0.35">
      <c r="A492" s="13">
        <v>43178</v>
      </c>
      <c r="B492" s="61" t="s">
        <v>192</v>
      </c>
    </row>
    <row r="493" spans="1:9" ht="15.5" x14ac:dyDescent="0.35">
      <c r="A493" s="13">
        <v>43178</v>
      </c>
      <c r="B493" s="61" t="s">
        <v>46</v>
      </c>
      <c r="C493">
        <v>4.9000000000000004</v>
      </c>
      <c r="D493">
        <v>2050</v>
      </c>
      <c r="F493">
        <v>88.1</v>
      </c>
      <c r="G493">
        <v>11.33</v>
      </c>
      <c r="H493">
        <v>8.0670000000000002</v>
      </c>
    </row>
    <row r="494" spans="1:9" ht="15.5" x14ac:dyDescent="0.35">
      <c r="A494" s="13">
        <v>43178</v>
      </c>
      <c r="B494" s="61" t="s">
        <v>47</v>
      </c>
      <c r="C494">
        <v>4.9000000000000004</v>
      </c>
      <c r="D494">
        <v>2050</v>
      </c>
      <c r="F494">
        <v>87.5</v>
      </c>
      <c r="G494">
        <v>11.19</v>
      </c>
      <c r="H494">
        <v>8.0370000000000008</v>
      </c>
    </row>
    <row r="495" spans="1:9" ht="15.5" x14ac:dyDescent="0.35">
      <c r="A495" s="13">
        <v>43178</v>
      </c>
      <c r="B495" s="61" t="s">
        <v>89</v>
      </c>
      <c r="C495">
        <v>4.7</v>
      </c>
      <c r="D495">
        <v>1932</v>
      </c>
      <c r="F495">
        <v>86.7</v>
      </c>
      <c r="G495">
        <v>11.11</v>
      </c>
      <c r="H495">
        <v>8.0640000000000001</v>
      </c>
      <c r="I495">
        <v>71</v>
      </c>
    </row>
    <row r="496" spans="1:9" ht="15.5" x14ac:dyDescent="0.35">
      <c r="A496" s="13">
        <v>43178</v>
      </c>
      <c r="B496" s="61" t="s">
        <v>90</v>
      </c>
      <c r="C496">
        <v>4.8</v>
      </c>
      <c r="D496">
        <v>2070</v>
      </c>
      <c r="F496">
        <v>86.1</v>
      </c>
      <c r="G496">
        <v>11.07</v>
      </c>
      <c r="H496">
        <v>8.0619999999999994</v>
      </c>
    </row>
    <row r="497" spans="1:9" ht="15.5" x14ac:dyDescent="0.35">
      <c r="A497" s="13">
        <v>43178</v>
      </c>
      <c r="B497" s="61" t="s">
        <v>48</v>
      </c>
      <c r="C497">
        <v>4.5</v>
      </c>
      <c r="D497">
        <v>1964</v>
      </c>
      <c r="F497">
        <v>85.6</v>
      </c>
      <c r="G497">
        <v>11.02</v>
      </c>
      <c r="H497">
        <v>8.0630000000000006</v>
      </c>
    </row>
    <row r="498" spans="1:9" ht="15.5" x14ac:dyDescent="0.35">
      <c r="A498" s="13">
        <v>43178</v>
      </c>
      <c r="B498" s="61" t="s">
        <v>49</v>
      </c>
      <c r="C498">
        <v>4.7</v>
      </c>
      <c r="D498">
        <v>2070</v>
      </c>
      <c r="F498">
        <v>85.3</v>
      </c>
      <c r="G498">
        <v>10.97</v>
      </c>
      <c r="H498">
        <v>8.0579999999999998</v>
      </c>
    </row>
    <row r="499" spans="1:9" ht="15.5" x14ac:dyDescent="0.35">
      <c r="A499" s="13">
        <v>43178</v>
      </c>
      <c r="B499" s="61" t="s">
        <v>50</v>
      </c>
      <c r="C499">
        <v>4.9000000000000004</v>
      </c>
      <c r="D499">
        <v>2280</v>
      </c>
      <c r="F499">
        <v>86.1</v>
      </c>
      <c r="G499">
        <v>11</v>
      </c>
      <c r="H499">
        <v>8.0489999999999995</v>
      </c>
      <c r="I499">
        <v>72</v>
      </c>
    </row>
    <row r="500" spans="1:9" ht="15.5" x14ac:dyDescent="0.35">
      <c r="A500" s="13">
        <v>43178</v>
      </c>
      <c r="B500" s="61" t="s">
        <v>51</v>
      </c>
      <c r="C500">
        <v>4.9000000000000004</v>
      </c>
      <c r="D500">
        <v>2310</v>
      </c>
      <c r="F500">
        <v>85.7</v>
      </c>
      <c r="G500">
        <v>10.99</v>
      </c>
      <c r="H500">
        <v>8.0269999999999992</v>
      </c>
    </row>
    <row r="501" spans="1:9" ht="15.5" x14ac:dyDescent="0.35">
      <c r="A501" s="13">
        <v>43178</v>
      </c>
      <c r="B501" s="61" t="s">
        <v>91</v>
      </c>
      <c r="C501">
        <v>4.9000000000000004</v>
      </c>
      <c r="D501">
        <v>2270</v>
      </c>
      <c r="F501">
        <v>85.5</v>
      </c>
      <c r="G501">
        <v>10.95</v>
      </c>
      <c r="H501">
        <v>8.06</v>
      </c>
    </row>
    <row r="502" spans="1:9" ht="15.5" x14ac:dyDescent="0.35">
      <c r="A502" s="13">
        <v>43178</v>
      </c>
      <c r="B502" s="61" t="s">
        <v>92</v>
      </c>
      <c r="C502">
        <v>4.8</v>
      </c>
      <c r="D502">
        <v>2280</v>
      </c>
      <c r="F502">
        <v>85.3</v>
      </c>
      <c r="G502">
        <v>10.94</v>
      </c>
      <c r="H502">
        <v>8.0429999999999993</v>
      </c>
    </row>
    <row r="503" spans="1:9" ht="15.5" x14ac:dyDescent="0.35">
      <c r="A503" s="13">
        <v>43178</v>
      </c>
      <c r="B503" s="61" t="s">
        <v>52</v>
      </c>
      <c r="C503">
        <v>4.8</v>
      </c>
      <c r="D503">
        <v>2280</v>
      </c>
      <c r="F503">
        <v>86.3</v>
      </c>
      <c r="G503">
        <v>11.05</v>
      </c>
      <c r="H503">
        <v>8.0489999999999995</v>
      </c>
      <c r="I503">
        <v>72</v>
      </c>
    </row>
    <row r="504" spans="1:9" ht="15.5" x14ac:dyDescent="0.35">
      <c r="A504" s="13">
        <v>43178</v>
      </c>
      <c r="B504" s="61" t="s">
        <v>53</v>
      </c>
      <c r="C504">
        <v>4.8</v>
      </c>
      <c r="D504">
        <v>2280</v>
      </c>
      <c r="F504">
        <v>85.8</v>
      </c>
      <c r="G504">
        <v>11.02</v>
      </c>
      <c r="H504">
        <v>8.0220000000000002</v>
      </c>
    </row>
    <row r="505" spans="1:9" ht="15.5" x14ac:dyDescent="0.35">
      <c r="A505" s="13">
        <v>43178</v>
      </c>
      <c r="B505" s="61" t="s">
        <v>54</v>
      </c>
      <c r="C505">
        <v>4.9000000000000004</v>
      </c>
      <c r="D505">
        <v>2510</v>
      </c>
      <c r="F505">
        <v>87.7</v>
      </c>
      <c r="G505">
        <v>11.61</v>
      </c>
      <c r="H505">
        <v>8.01</v>
      </c>
    </row>
    <row r="506" spans="1:9" ht="15.5" x14ac:dyDescent="0.35">
      <c r="A506" s="13">
        <v>43178</v>
      </c>
      <c r="B506" s="61" t="s">
        <v>55</v>
      </c>
      <c r="C506">
        <v>4.8</v>
      </c>
      <c r="D506">
        <v>2530</v>
      </c>
      <c r="F506">
        <v>84.5</v>
      </c>
      <c r="G506">
        <v>10.54</v>
      </c>
      <c r="H506">
        <v>8.016</v>
      </c>
    </row>
    <row r="507" spans="1:9" ht="15.5" x14ac:dyDescent="0.35">
      <c r="A507" s="13">
        <v>43178</v>
      </c>
      <c r="B507" s="61" t="s">
        <v>93</v>
      </c>
      <c r="C507">
        <v>4.9000000000000004</v>
      </c>
      <c r="D507">
        <v>2450</v>
      </c>
      <c r="F507">
        <v>86.5</v>
      </c>
      <c r="G507">
        <v>11.02</v>
      </c>
      <c r="H507">
        <v>8.0850000000000009</v>
      </c>
    </row>
    <row r="508" spans="1:9" ht="15.5" x14ac:dyDescent="0.35">
      <c r="A508" s="13">
        <v>43178</v>
      </c>
      <c r="B508" s="61" t="s">
        <v>77</v>
      </c>
      <c r="C508">
        <v>4.9000000000000004</v>
      </c>
      <c r="D508">
        <v>2490</v>
      </c>
      <c r="F508">
        <v>84.7</v>
      </c>
      <c r="G508">
        <v>10.86</v>
      </c>
      <c r="H508">
        <v>8.0229999999999997</v>
      </c>
    </row>
    <row r="509" spans="1:9" ht="15.5" x14ac:dyDescent="0.35">
      <c r="A509" s="13">
        <v>43178</v>
      </c>
      <c r="B509" s="61" t="s">
        <v>56</v>
      </c>
      <c r="C509">
        <v>4.9000000000000004</v>
      </c>
      <c r="D509">
        <v>2510</v>
      </c>
      <c r="F509">
        <v>84.9</v>
      </c>
      <c r="G509">
        <v>10.86</v>
      </c>
      <c r="H509">
        <v>8.0589999999999993</v>
      </c>
      <c r="I509">
        <v>75</v>
      </c>
    </row>
    <row r="510" spans="1:9" s="5" customFormat="1" ht="15.5" x14ac:dyDescent="0.35">
      <c r="A510" s="13">
        <v>43178</v>
      </c>
      <c r="B510" s="61" t="s">
        <v>57</v>
      </c>
      <c r="C510">
        <v>4.8</v>
      </c>
      <c r="D510">
        <v>2530</v>
      </c>
      <c r="E510"/>
      <c r="F510">
        <v>84.8</v>
      </c>
      <c r="G510">
        <v>10.89</v>
      </c>
      <c r="H510">
        <v>8.0289999999999999</v>
      </c>
      <c r="I510"/>
    </row>
    <row r="511" spans="1:9" s="4" customFormat="1" ht="15.5" x14ac:dyDescent="0.35">
      <c r="A511" s="3">
        <v>43179</v>
      </c>
      <c r="B511" s="62" t="s">
        <v>20</v>
      </c>
      <c r="C511" s="4">
        <v>0.9</v>
      </c>
      <c r="D511" s="4">
        <v>4170</v>
      </c>
      <c r="F511" s="4">
        <v>89.3</v>
      </c>
      <c r="G511" s="4">
        <v>12.76</v>
      </c>
      <c r="H511" s="4">
        <v>8.093</v>
      </c>
    </row>
    <row r="512" spans="1:9" ht="15.5" x14ac:dyDescent="0.35">
      <c r="A512" s="13">
        <v>43185</v>
      </c>
      <c r="B512" s="61" t="s">
        <v>192</v>
      </c>
      <c r="C512" s="10">
        <v>7.7</v>
      </c>
      <c r="D512" s="10">
        <v>1846</v>
      </c>
      <c r="F512" s="10">
        <v>120.3</v>
      </c>
      <c r="G512" s="10">
        <v>14.45</v>
      </c>
      <c r="H512" s="10">
        <v>8.5050000000000008</v>
      </c>
    </row>
    <row r="513" spans="1:9" ht="15.5" x14ac:dyDescent="0.35">
      <c r="A513" s="13">
        <v>43185</v>
      </c>
      <c r="B513" s="61" t="s">
        <v>46</v>
      </c>
      <c r="C513" s="10">
        <v>6.6</v>
      </c>
      <c r="D513" s="10">
        <v>26500</v>
      </c>
      <c r="F513" s="10">
        <v>99</v>
      </c>
      <c r="G513" s="10">
        <v>12.2</v>
      </c>
      <c r="H513" s="10">
        <v>8.0619999999999994</v>
      </c>
    </row>
    <row r="514" spans="1:9" ht="15.5" x14ac:dyDescent="0.35">
      <c r="A514" s="13">
        <v>43185</v>
      </c>
      <c r="B514" s="61" t="s">
        <v>47</v>
      </c>
      <c r="C514" s="10">
        <v>6.5</v>
      </c>
      <c r="D514" s="10">
        <v>36600</v>
      </c>
      <c r="F514" s="10">
        <v>100.2</v>
      </c>
      <c r="G514" s="10">
        <v>12.35</v>
      </c>
      <c r="H514" s="10">
        <v>8.1080000000000005</v>
      </c>
    </row>
    <row r="515" spans="1:9" ht="15.5" x14ac:dyDescent="0.35">
      <c r="A515" s="13">
        <v>43185</v>
      </c>
      <c r="B515" s="61" t="s">
        <v>89</v>
      </c>
      <c r="C515" s="10">
        <v>6.6</v>
      </c>
      <c r="D515" s="10">
        <v>28800</v>
      </c>
      <c r="F515" s="10">
        <v>98.4</v>
      </c>
      <c r="G515" s="10">
        <v>12.12</v>
      </c>
      <c r="H515" s="10">
        <v>8.0640000000000001</v>
      </c>
      <c r="I515" s="10">
        <v>70</v>
      </c>
    </row>
    <row r="516" spans="1:9" ht="15.5" x14ac:dyDescent="0.35">
      <c r="A516" s="13">
        <v>43185</v>
      </c>
      <c r="B516" s="61" t="s">
        <v>90</v>
      </c>
      <c r="C516" s="10">
        <v>6.5</v>
      </c>
      <c r="D516" s="10">
        <v>37300</v>
      </c>
      <c r="F516" s="10">
        <v>100.4</v>
      </c>
      <c r="G516" s="10">
        <v>12.38</v>
      </c>
      <c r="H516" s="10">
        <v>8.1059999999999999</v>
      </c>
    </row>
    <row r="517" spans="1:9" ht="15.5" x14ac:dyDescent="0.35">
      <c r="A517" s="13">
        <v>43185</v>
      </c>
      <c r="B517" s="61" t="s">
        <v>48</v>
      </c>
      <c r="C517">
        <v>6.6</v>
      </c>
      <c r="D517">
        <v>28600</v>
      </c>
      <c r="F517">
        <v>98.8</v>
      </c>
      <c r="G517">
        <v>12.18</v>
      </c>
      <c r="H517">
        <v>8.0679999999999996</v>
      </c>
    </row>
    <row r="518" spans="1:9" ht="15.5" x14ac:dyDescent="0.35">
      <c r="A518" s="13">
        <v>43185</v>
      </c>
      <c r="B518" s="61" t="s">
        <v>49</v>
      </c>
      <c r="C518">
        <v>6.5</v>
      </c>
      <c r="D518">
        <v>37500</v>
      </c>
      <c r="F518">
        <v>99.7</v>
      </c>
      <c r="G518">
        <v>12.33</v>
      </c>
      <c r="H518">
        <v>8.1</v>
      </c>
    </row>
    <row r="519" spans="1:9" ht="15.5" x14ac:dyDescent="0.35">
      <c r="A519" s="13">
        <v>43185</v>
      </c>
      <c r="B519" s="61" t="s">
        <v>50</v>
      </c>
      <c r="C519">
        <v>6.5</v>
      </c>
      <c r="D519">
        <v>22400</v>
      </c>
      <c r="F519">
        <v>98.5</v>
      </c>
      <c r="G519">
        <v>12.09</v>
      </c>
      <c r="H519">
        <v>8.0530000000000008</v>
      </c>
    </row>
    <row r="520" spans="1:9" ht="15.5" x14ac:dyDescent="0.35">
      <c r="A520" s="13">
        <v>43185</v>
      </c>
      <c r="B520" s="61" t="s">
        <v>51</v>
      </c>
      <c r="C520">
        <v>6.7</v>
      </c>
      <c r="D520">
        <v>32700</v>
      </c>
      <c r="F520">
        <v>99.4</v>
      </c>
      <c r="G520">
        <v>12.2</v>
      </c>
      <c r="H520">
        <v>8.09</v>
      </c>
    </row>
    <row r="521" spans="1:9" ht="15.5" x14ac:dyDescent="0.35">
      <c r="A521" s="13">
        <v>43185</v>
      </c>
      <c r="B521" s="61" t="s">
        <v>91</v>
      </c>
      <c r="C521">
        <v>6.6</v>
      </c>
      <c r="D521">
        <v>22800</v>
      </c>
      <c r="F521">
        <v>99.8</v>
      </c>
      <c r="G521">
        <v>12.31</v>
      </c>
      <c r="H521">
        <v>8.0820000000000007</v>
      </c>
      <c r="I521">
        <v>92</v>
      </c>
    </row>
    <row r="522" spans="1:9" ht="15.5" x14ac:dyDescent="0.35">
      <c r="A522" s="13">
        <v>43185</v>
      </c>
      <c r="B522" s="61" t="s">
        <v>92</v>
      </c>
      <c r="C522">
        <v>6.7</v>
      </c>
      <c r="D522">
        <v>30800</v>
      </c>
      <c r="F522">
        <v>100.5</v>
      </c>
      <c r="G522">
        <v>12.47</v>
      </c>
      <c r="H522">
        <v>8.1199999999999992</v>
      </c>
    </row>
    <row r="523" spans="1:9" ht="15.5" x14ac:dyDescent="0.35">
      <c r="A523" s="13">
        <v>43185</v>
      </c>
      <c r="B523" s="61" t="s">
        <v>52</v>
      </c>
      <c r="C523">
        <v>6.6</v>
      </c>
      <c r="D523">
        <v>23500</v>
      </c>
      <c r="F523">
        <v>98.3</v>
      </c>
      <c r="G523">
        <v>12.11</v>
      </c>
      <c r="H523">
        <v>8.0719999999999992</v>
      </c>
    </row>
    <row r="524" spans="1:9" ht="15.5" x14ac:dyDescent="0.35">
      <c r="A524" s="13">
        <v>43185</v>
      </c>
      <c r="B524" s="61" t="s">
        <v>53</v>
      </c>
      <c r="C524">
        <v>6.7</v>
      </c>
      <c r="D524">
        <v>31200</v>
      </c>
      <c r="F524">
        <v>99.4</v>
      </c>
      <c r="G524">
        <v>12.27</v>
      </c>
      <c r="H524">
        <v>8.0920000000000005</v>
      </c>
    </row>
    <row r="525" spans="1:9" ht="15.5" x14ac:dyDescent="0.35">
      <c r="A525" s="13">
        <v>43185</v>
      </c>
      <c r="B525" s="61" t="s">
        <v>54</v>
      </c>
      <c r="C525">
        <v>6.6</v>
      </c>
      <c r="D525">
        <v>25700</v>
      </c>
      <c r="F525">
        <v>99</v>
      </c>
      <c r="G525">
        <v>12.17</v>
      </c>
      <c r="H525">
        <v>8.0449999999999999</v>
      </c>
    </row>
    <row r="526" spans="1:9" ht="15.5" x14ac:dyDescent="0.35">
      <c r="A526" s="13">
        <v>43185</v>
      </c>
      <c r="B526" s="61" t="s">
        <v>55</v>
      </c>
      <c r="C526">
        <v>6.5</v>
      </c>
      <c r="D526">
        <v>35100</v>
      </c>
      <c r="F526">
        <v>100.8</v>
      </c>
      <c r="G526">
        <v>12.47</v>
      </c>
      <c r="H526">
        <v>8.1</v>
      </c>
    </row>
    <row r="527" spans="1:9" ht="15.5" x14ac:dyDescent="0.35">
      <c r="A527" s="13">
        <v>43185</v>
      </c>
      <c r="B527" s="61" t="s">
        <v>93</v>
      </c>
      <c r="C527">
        <v>6.5</v>
      </c>
      <c r="D527">
        <v>23400</v>
      </c>
      <c r="F527">
        <v>100.2</v>
      </c>
      <c r="G527">
        <v>12.35</v>
      </c>
      <c r="H527">
        <v>8.0709999999999997</v>
      </c>
      <c r="I527">
        <v>71</v>
      </c>
    </row>
    <row r="528" spans="1:9" ht="15.5" x14ac:dyDescent="0.35">
      <c r="A528" s="13">
        <v>43185</v>
      </c>
      <c r="B528" s="61" t="s">
        <v>77</v>
      </c>
      <c r="C528">
        <v>6.3</v>
      </c>
      <c r="D528">
        <v>36900</v>
      </c>
      <c r="F528">
        <v>101.6</v>
      </c>
      <c r="G528">
        <v>12.61</v>
      </c>
      <c r="H528">
        <v>8.11</v>
      </c>
    </row>
    <row r="529" spans="1:9" ht="15.5" x14ac:dyDescent="0.35">
      <c r="A529" s="13">
        <v>43185</v>
      </c>
      <c r="B529" s="61" t="s">
        <v>56</v>
      </c>
      <c r="C529">
        <v>6.2</v>
      </c>
      <c r="D529">
        <v>22100</v>
      </c>
      <c r="F529">
        <v>97.8</v>
      </c>
      <c r="G529">
        <v>12.18</v>
      </c>
      <c r="H529">
        <v>8.07</v>
      </c>
    </row>
    <row r="530" spans="1:9" ht="15.5" x14ac:dyDescent="0.35">
      <c r="A530" s="13">
        <v>43185</v>
      </c>
      <c r="B530" s="61" t="s">
        <v>57</v>
      </c>
      <c r="C530">
        <v>6.3</v>
      </c>
      <c r="D530">
        <v>37400</v>
      </c>
      <c r="F530">
        <v>100.8</v>
      </c>
      <c r="G530">
        <v>12.55</v>
      </c>
      <c r="H530">
        <v>8.1020000000000003</v>
      </c>
    </row>
    <row r="531" spans="1:9" s="4" customFormat="1" ht="15.5" x14ac:dyDescent="0.35">
      <c r="A531" s="13">
        <v>43185</v>
      </c>
      <c r="B531" s="62" t="s">
        <v>20</v>
      </c>
      <c r="C531" s="4">
        <v>7.4</v>
      </c>
      <c r="D531" s="4">
        <v>2400</v>
      </c>
      <c r="F531" s="4">
        <v>113.6</v>
      </c>
      <c r="G531" s="4">
        <v>13.65</v>
      </c>
      <c r="H531" s="4">
        <v>8.3049999999999997</v>
      </c>
    </row>
    <row r="532" spans="1:9" s="22" customFormat="1" ht="15.5" x14ac:dyDescent="0.35">
      <c r="A532" s="19">
        <v>43186</v>
      </c>
      <c r="B532" s="65" t="s">
        <v>89</v>
      </c>
      <c r="C532" s="20">
        <v>6.5</v>
      </c>
      <c r="D532" s="20">
        <v>9390</v>
      </c>
      <c r="F532" s="20">
        <v>107</v>
      </c>
      <c r="G532" s="20">
        <v>13.09</v>
      </c>
      <c r="H532" s="20">
        <v>8.2620000000000005</v>
      </c>
    </row>
    <row r="533" spans="1:9" s="22" customFormat="1" ht="15.5" x14ac:dyDescent="0.35">
      <c r="A533" s="19">
        <v>43188</v>
      </c>
      <c r="B533" s="65" t="s">
        <v>89</v>
      </c>
      <c r="C533" s="20">
        <v>7.6</v>
      </c>
      <c r="D533" s="20">
        <v>1984</v>
      </c>
      <c r="F533" s="20">
        <v>95.7</v>
      </c>
      <c r="G533" s="20">
        <v>11.37</v>
      </c>
      <c r="H533" s="20">
        <v>8.1319999999999997</v>
      </c>
    </row>
    <row r="534" spans="1:9" ht="15.5" x14ac:dyDescent="0.35">
      <c r="A534" s="13">
        <v>43193</v>
      </c>
      <c r="B534" s="61" t="s">
        <v>192</v>
      </c>
      <c r="C534" s="10">
        <v>9.9</v>
      </c>
      <c r="D534" s="10">
        <v>2080</v>
      </c>
      <c r="F534" s="10">
        <v>99.8</v>
      </c>
      <c r="G534" s="10">
        <v>11.18</v>
      </c>
      <c r="H534" s="10">
        <v>8.14</v>
      </c>
      <c r="I534" s="10"/>
    </row>
    <row r="535" spans="1:9" ht="15.5" x14ac:dyDescent="0.35">
      <c r="A535" s="13">
        <v>43193</v>
      </c>
      <c r="B535" s="61" t="s">
        <v>46</v>
      </c>
      <c r="C535" s="10">
        <v>9.1999999999999993</v>
      </c>
      <c r="D535" s="10">
        <v>7830</v>
      </c>
      <c r="F535" s="10">
        <v>96.7</v>
      </c>
      <c r="G535" s="10">
        <v>11.04</v>
      </c>
      <c r="H535" s="50">
        <v>8.1</v>
      </c>
      <c r="I535" s="10">
        <v>79</v>
      </c>
    </row>
    <row r="536" spans="1:9" ht="15.5" x14ac:dyDescent="0.35">
      <c r="A536" s="13">
        <v>43193</v>
      </c>
      <c r="B536" s="61" t="s">
        <v>47</v>
      </c>
      <c r="C536" s="10">
        <v>9</v>
      </c>
      <c r="D536" s="10">
        <v>9480</v>
      </c>
      <c r="F536" s="10">
        <v>96</v>
      </c>
      <c r="G536" s="10">
        <v>11.09</v>
      </c>
      <c r="H536" s="50">
        <v>8.1</v>
      </c>
    </row>
    <row r="537" spans="1:9" ht="15.5" x14ac:dyDescent="0.35">
      <c r="A537" s="13">
        <v>43193</v>
      </c>
      <c r="B537" s="61" t="s">
        <v>89</v>
      </c>
      <c r="C537" s="10">
        <v>9.4</v>
      </c>
      <c r="D537" s="10">
        <v>7740</v>
      </c>
      <c r="F537" s="10">
        <v>97.3</v>
      </c>
      <c r="G537" s="10">
        <v>10.99</v>
      </c>
      <c r="H537" s="50">
        <v>8.1</v>
      </c>
      <c r="I537" s="10">
        <v>78</v>
      </c>
    </row>
    <row r="538" spans="1:9" ht="15.5" x14ac:dyDescent="0.35">
      <c r="A538" s="13">
        <v>43193</v>
      </c>
      <c r="B538" s="61" t="s">
        <v>90</v>
      </c>
      <c r="C538" s="10">
        <v>8.8000000000000007</v>
      </c>
      <c r="D538" s="10">
        <v>10090</v>
      </c>
      <c r="F538" s="10">
        <v>96.1</v>
      </c>
      <c r="G538" s="10">
        <v>11.1</v>
      </c>
      <c r="H538" s="50">
        <v>8.1</v>
      </c>
    </row>
    <row r="539" spans="1:9" ht="15.5" x14ac:dyDescent="0.35">
      <c r="A539" s="13">
        <v>43193</v>
      </c>
      <c r="B539" s="61" t="s">
        <v>48</v>
      </c>
      <c r="C539">
        <v>8.9</v>
      </c>
      <c r="D539">
        <v>9250</v>
      </c>
      <c r="F539">
        <v>95.5</v>
      </c>
      <c r="G539">
        <v>10.91</v>
      </c>
      <c r="H539" s="42">
        <v>8.1</v>
      </c>
      <c r="I539">
        <v>79</v>
      </c>
    </row>
    <row r="540" spans="1:9" ht="15.5" x14ac:dyDescent="0.35">
      <c r="A540" s="13">
        <v>43193</v>
      </c>
      <c r="B540" s="61" t="s">
        <v>49</v>
      </c>
      <c r="C540">
        <v>8.8000000000000007</v>
      </c>
      <c r="D540">
        <v>10070</v>
      </c>
      <c r="F540">
        <v>94.5</v>
      </c>
      <c r="G540">
        <v>10.79</v>
      </c>
      <c r="H540" s="42">
        <v>8.1</v>
      </c>
    </row>
    <row r="541" spans="1:9" ht="15.5" x14ac:dyDescent="0.35">
      <c r="A541" s="13">
        <v>43193</v>
      </c>
      <c r="B541" s="61" t="s">
        <v>50</v>
      </c>
      <c r="C541">
        <v>9.3000000000000007</v>
      </c>
      <c r="D541">
        <v>6700</v>
      </c>
      <c r="F541">
        <v>102.4</v>
      </c>
      <c r="G541">
        <v>11.57</v>
      </c>
      <c r="H541" s="42">
        <v>8.1</v>
      </c>
      <c r="I541">
        <v>77</v>
      </c>
    </row>
    <row r="542" spans="1:9" ht="15.5" x14ac:dyDescent="0.35">
      <c r="A542" s="13">
        <v>43193</v>
      </c>
      <c r="B542" s="61" t="s">
        <v>51</v>
      </c>
      <c r="C542">
        <v>9.1999999999999993</v>
      </c>
      <c r="D542">
        <v>6730</v>
      </c>
      <c r="F542">
        <v>100.8</v>
      </c>
      <c r="G542">
        <v>11.45</v>
      </c>
      <c r="H542" s="42">
        <v>8.1</v>
      </c>
    </row>
    <row r="543" spans="1:9" ht="15.5" x14ac:dyDescent="0.35">
      <c r="A543" s="13">
        <v>43193</v>
      </c>
      <c r="B543" s="61" t="s">
        <v>91</v>
      </c>
      <c r="C543">
        <v>9.4</v>
      </c>
      <c r="D543">
        <v>6740</v>
      </c>
      <c r="F543">
        <v>102.9</v>
      </c>
      <c r="G543">
        <v>11.63</v>
      </c>
      <c r="H543" s="42">
        <v>8.1</v>
      </c>
      <c r="I543">
        <v>78</v>
      </c>
    </row>
    <row r="544" spans="1:9" ht="15.5" x14ac:dyDescent="0.35">
      <c r="A544" s="13">
        <v>43193</v>
      </c>
      <c r="B544" s="61" t="s">
        <v>92</v>
      </c>
      <c r="C544">
        <v>9.4</v>
      </c>
      <c r="D544">
        <v>6810</v>
      </c>
      <c r="F544">
        <v>101.5</v>
      </c>
      <c r="G544">
        <v>11.59</v>
      </c>
      <c r="H544" s="42">
        <v>8.1</v>
      </c>
    </row>
    <row r="545" spans="1:9" ht="15.5" x14ac:dyDescent="0.35">
      <c r="A545" s="13">
        <v>43193</v>
      </c>
      <c r="B545" s="61" t="s">
        <v>52</v>
      </c>
      <c r="C545">
        <v>9.5</v>
      </c>
      <c r="D545">
        <v>6810</v>
      </c>
      <c r="F545">
        <v>102.3</v>
      </c>
      <c r="G545">
        <v>11.6</v>
      </c>
      <c r="H545" s="42">
        <v>8.1</v>
      </c>
      <c r="I545">
        <v>77</v>
      </c>
    </row>
    <row r="546" spans="1:9" ht="15.5" x14ac:dyDescent="0.35">
      <c r="A546" s="13">
        <v>43193</v>
      </c>
      <c r="B546" s="61" t="s">
        <v>53</v>
      </c>
      <c r="C546">
        <v>9.4</v>
      </c>
      <c r="D546">
        <v>6900</v>
      </c>
      <c r="F546">
        <v>102</v>
      </c>
      <c r="G546">
        <v>11.51</v>
      </c>
      <c r="H546" s="42">
        <v>8.1</v>
      </c>
    </row>
    <row r="547" spans="1:9" ht="15.5" x14ac:dyDescent="0.35">
      <c r="A547" s="13">
        <v>43193</v>
      </c>
      <c r="B547" s="61" t="s">
        <v>54</v>
      </c>
      <c r="C547">
        <v>9.3000000000000007</v>
      </c>
      <c r="D547">
        <v>6160</v>
      </c>
      <c r="F547">
        <v>102.7</v>
      </c>
      <c r="G547">
        <v>11.63</v>
      </c>
      <c r="H547" s="42">
        <v>8.1</v>
      </c>
    </row>
    <row r="548" spans="1:9" ht="15.5" x14ac:dyDescent="0.35">
      <c r="A548" s="13">
        <v>43193</v>
      </c>
      <c r="B548" s="61" t="s">
        <v>55</v>
      </c>
      <c r="C548">
        <v>9.4</v>
      </c>
      <c r="D548">
        <v>6080</v>
      </c>
      <c r="F548">
        <v>102.8</v>
      </c>
      <c r="G548">
        <v>11.62</v>
      </c>
      <c r="H548" s="42">
        <v>8.1</v>
      </c>
      <c r="I548">
        <v>79</v>
      </c>
    </row>
    <row r="549" spans="1:9" ht="15.5" x14ac:dyDescent="0.35">
      <c r="A549" s="13">
        <v>43193</v>
      </c>
      <c r="B549" s="61" t="s">
        <v>93</v>
      </c>
      <c r="C549">
        <v>9.4</v>
      </c>
      <c r="D549">
        <v>6040</v>
      </c>
      <c r="F549">
        <v>102.7</v>
      </c>
      <c r="G549">
        <v>11.55</v>
      </c>
      <c r="H549" s="42">
        <v>8.1</v>
      </c>
    </row>
    <row r="550" spans="1:9" ht="15.5" x14ac:dyDescent="0.35">
      <c r="A550" s="13">
        <v>43193</v>
      </c>
      <c r="B550" s="61" t="s">
        <v>77</v>
      </c>
      <c r="C550">
        <v>9.4</v>
      </c>
      <c r="D550">
        <v>6020</v>
      </c>
      <c r="F550">
        <v>102.4</v>
      </c>
      <c r="G550">
        <v>11.58</v>
      </c>
      <c r="H550" s="42">
        <v>8.1</v>
      </c>
      <c r="I550">
        <v>78</v>
      </c>
    </row>
    <row r="551" spans="1:9" ht="15.5" x14ac:dyDescent="0.35">
      <c r="A551" s="13">
        <v>43193</v>
      </c>
      <c r="B551" s="61" t="s">
        <v>56</v>
      </c>
      <c r="C551">
        <v>9.5</v>
      </c>
      <c r="D551">
        <v>6080</v>
      </c>
      <c r="F551">
        <v>103.1</v>
      </c>
      <c r="G551">
        <v>11.58</v>
      </c>
      <c r="H551" s="42">
        <v>8.1</v>
      </c>
      <c r="I551">
        <v>79</v>
      </c>
    </row>
    <row r="552" spans="1:9" ht="15.5" x14ac:dyDescent="0.35">
      <c r="A552" s="13">
        <v>43193</v>
      </c>
      <c r="B552" s="61" t="s">
        <v>57</v>
      </c>
      <c r="C552">
        <v>9.4</v>
      </c>
      <c r="D552">
        <v>6120</v>
      </c>
      <c r="F552">
        <v>102.9</v>
      </c>
      <c r="G552">
        <v>11.61</v>
      </c>
      <c r="H552" s="42">
        <v>8.1</v>
      </c>
    </row>
    <row r="553" spans="1:9" s="4" customFormat="1" ht="15.5" x14ac:dyDescent="0.35">
      <c r="A553" s="3">
        <v>43193</v>
      </c>
      <c r="B553" s="62" t="s">
        <v>20</v>
      </c>
      <c r="C553" s="4">
        <v>8.9</v>
      </c>
      <c r="D553" s="4">
        <v>5430</v>
      </c>
      <c r="F553" s="4">
        <v>98.9</v>
      </c>
      <c r="G553" s="4">
        <v>11.26</v>
      </c>
      <c r="H553" s="4">
        <v>8.1359999999999992</v>
      </c>
    </row>
    <row r="554" spans="1:9" s="22" customFormat="1" ht="15.5" x14ac:dyDescent="0.35">
      <c r="A554" s="19">
        <v>43196</v>
      </c>
      <c r="B554" s="66" t="s">
        <v>89</v>
      </c>
      <c r="C554" s="20">
        <v>9.6999999999999993</v>
      </c>
      <c r="D554" s="20">
        <v>2020</v>
      </c>
      <c r="F554" s="20">
        <v>94</v>
      </c>
      <c r="G554" s="20">
        <v>10.67</v>
      </c>
      <c r="H554" s="20">
        <v>8.1199999999999992</v>
      </c>
    </row>
    <row r="555" spans="1:9" ht="15.5" x14ac:dyDescent="0.35">
      <c r="A555" s="13">
        <v>43199</v>
      </c>
      <c r="B555" s="61" t="s">
        <v>192</v>
      </c>
      <c r="C555" s="10">
        <v>12.2</v>
      </c>
      <c r="D555" s="10">
        <v>2020</v>
      </c>
      <c r="F555" s="10">
        <v>110.8</v>
      </c>
      <c r="G555" s="10">
        <v>11.81</v>
      </c>
      <c r="H555" s="10">
        <v>8.2479999999999993</v>
      </c>
    </row>
    <row r="556" spans="1:9" ht="15.5" x14ac:dyDescent="0.35">
      <c r="A556" s="13">
        <v>43199</v>
      </c>
      <c r="B556" s="61" t="s">
        <v>46</v>
      </c>
      <c r="C556" s="10">
        <v>11.9</v>
      </c>
      <c r="D556" s="10">
        <v>2910</v>
      </c>
      <c r="F556" s="10">
        <v>118.2</v>
      </c>
      <c r="G556" s="10">
        <v>12.64</v>
      </c>
      <c r="H556" s="10">
        <v>8.3789999999999996</v>
      </c>
      <c r="I556" s="10">
        <v>71</v>
      </c>
    </row>
    <row r="557" spans="1:9" ht="15.5" x14ac:dyDescent="0.35">
      <c r="A557" s="13">
        <v>43199</v>
      </c>
      <c r="B557" s="61" t="s">
        <v>47</v>
      </c>
      <c r="C557" s="55">
        <v>11.1</v>
      </c>
      <c r="D557" s="55">
        <v>12400</v>
      </c>
      <c r="E557" s="23"/>
      <c r="F557" s="55">
        <v>93</v>
      </c>
      <c r="G557" s="55">
        <v>10.19</v>
      </c>
      <c r="H557" s="55">
        <v>8.0129999999999999</v>
      </c>
    </row>
    <row r="558" spans="1:9" ht="15.5" x14ac:dyDescent="0.35">
      <c r="A558" s="13">
        <v>43199</v>
      </c>
      <c r="B558" s="61" t="s">
        <v>89</v>
      </c>
      <c r="C558" s="10">
        <v>11.8</v>
      </c>
      <c r="D558" s="10">
        <v>2970</v>
      </c>
      <c r="F558" s="10">
        <v>127.7</v>
      </c>
      <c r="G558" s="10">
        <v>13.65</v>
      </c>
      <c r="H558" s="10">
        <v>8.3719999999999999</v>
      </c>
    </row>
    <row r="559" spans="1:9" ht="15.5" x14ac:dyDescent="0.35">
      <c r="A559" s="13">
        <v>43199</v>
      </c>
      <c r="B559" s="61" t="s">
        <v>90</v>
      </c>
      <c r="C559" s="55">
        <v>11</v>
      </c>
      <c r="D559" s="55">
        <v>6200</v>
      </c>
      <c r="E559" s="23"/>
      <c r="F559" s="55">
        <v>101.2</v>
      </c>
      <c r="G559" s="55">
        <v>10.98</v>
      </c>
      <c r="H559" s="55">
        <v>7.992</v>
      </c>
    </row>
    <row r="560" spans="1:9" ht="15.5" x14ac:dyDescent="0.35">
      <c r="A560" s="13">
        <v>43199</v>
      </c>
      <c r="B560" s="61" t="s">
        <v>48</v>
      </c>
      <c r="C560" s="10">
        <v>11.9</v>
      </c>
      <c r="D560" s="10">
        <v>3000</v>
      </c>
      <c r="F560" s="10">
        <v>126.6</v>
      </c>
      <c r="G560" s="10">
        <v>13.49</v>
      </c>
      <c r="H560" s="10">
        <v>8.3469999999999995</v>
      </c>
    </row>
    <row r="561" spans="1:9" ht="15.5" x14ac:dyDescent="0.35">
      <c r="A561" s="13">
        <v>43199</v>
      </c>
      <c r="B561" s="61" t="s">
        <v>49</v>
      </c>
      <c r="C561" s="10">
        <v>11.3</v>
      </c>
      <c r="D561" s="10">
        <v>21300</v>
      </c>
      <c r="F561" s="10">
        <v>95.8</v>
      </c>
      <c r="G561" s="10">
        <v>10.49</v>
      </c>
      <c r="H561" s="10">
        <v>8.0299999999999994</v>
      </c>
    </row>
    <row r="562" spans="1:9" ht="15.5" x14ac:dyDescent="0.35">
      <c r="A562" s="13">
        <v>43199</v>
      </c>
      <c r="B562" s="61" t="s">
        <v>50</v>
      </c>
      <c r="C562">
        <v>11.9</v>
      </c>
      <c r="D562">
        <v>4320</v>
      </c>
      <c r="F562">
        <v>120.8</v>
      </c>
      <c r="G562">
        <v>12.97</v>
      </c>
      <c r="H562">
        <v>8.3109999999999999</v>
      </c>
      <c r="I562">
        <v>82</v>
      </c>
    </row>
    <row r="563" spans="1:9" ht="15.5" x14ac:dyDescent="0.35">
      <c r="A563" s="13">
        <v>43199</v>
      </c>
      <c r="B563" s="61" t="s">
        <v>51</v>
      </c>
      <c r="C563">
        <v>11.3</v>
      </c>
      <c r="D563">
        <v>21300</v>
      </c>
      <c r="F563">
        <v>110.6</v>
      </c>
      <c r="G563">
        <v>12.08</v>
      </c>
      <c r="H563">
        <v>8.1170000000000009</v>
      </c>
    </row>
    <row r="564" spans="1:9" ht="15.5" x14ac:dyDescent="0.35">
      <c r="A564" s="13">
        <v>43199</v>
      </c>
      <c r="B564" s="61" t="s">
        <v>91</v>
      </c>
      <c r="C564">
        <v>11.9</v>
      </c>
      <c r="D564">
        <v>4070</v>
      </c>
      <c r="F564">
        <v>123.5</v>
      </c>
      <c r="G564">
        <v>13.21</v>
      </c>
      <c r="H564">
        <v>8.3049999999999997</v>
      </c>
    </row>
    <row r="565" spans="1:9" ht="15.5" x14ac:dyDescent="0.35">
      <c r="A565" s="13">
        <v>43199</v>
      </c>
      <c r="B565" s="61" t="s">
        <v>92</v>
      </c>
      <c r="C565">
        <v>11.3</v>
      </c>
      <c r="D565">
        <v>20300</v>
      </c>
      <c r="F565">
        <v>111.8</v>
      </c>
      <c r="G565">
        <v>12.24</v>
      </c>
      <c r="H565">
        <v>8.1219999999999999</v>
      </c>
    </row>
    <row r="566" spans="1:9" ht="15.5" x14ac:dyDescent="0.35">
      <c r="A566" s="13">
        <v>43199</v>
      </c>
      <c r="B566" s="61" t="s">
        <v>52</v>
      </c>
      <c r="C566">
        <v>11.9</v>
      </c>
      <c r="D566">
        <v>4200</v>
      </c>
      <c r="F566">
        <v>122.1</v>
      </c>
      <c r="G566">
        <v>13.05</v>
      </c>
      <c r="H566">
        <v>8.3239999999999998</v>
      </c>
    </row>
    <row r="567" spans="1:9" ht="15.5" x14ac:dyDescent="0.35">
      <c r="A567" s="13">
        <v>43199</v>
      </c>
      <c r="B567" s="61" t="s">
        <v>53</v>
      </c>
      <c r="C567">
        <v>11.3</v>
      </c>
      <c r="D567">
        <v>20300</v>
      </c>
      <c r="F567">
        <v>106.9</v>
      </c>
      <c r="G567">
        <v>11.71</v>
      </c>
      <c r="H567">
        <v>8.1140000000000008</v>
      </c>
    </row>
    <row r="568" spans="1:9" ht="15.5" x14ac:dyDescent="0.35">
      <c r="A568" s="13">
        <v>43199</v>
      </c>
      <c r="B568" s="61" t="s">
        <v>54</v>
      </c>
      <c r="C568">
        <v>11.8</v>
      </c>
      <c r="D568">
        <v>5760</v>
      </c>
      <c r="F568">
        <v>117</v>
      </c>
      <c r="G568">
        <v>12.54</v>
      </c>
      <c r="H568">
        <v>8.1300000000000008</v>
      </c>
      <c r="I568">
        <v>80</v>
      </c>
    </row>
    <row r="569" spans="1:9" ht="15.5" x14ac:dyDescent="0.35">
      <c r="A569" s="13">
        <v>43199</v>
      </c>
      <c r="B569" s="61" t="s">
        <v>55</v>
      </c>
      <c r="C569">
        <v>11.7</v>
      </c>
      <c r="D569">
        <v>14070</v>
      </c>
      <c r="F569">
        <v>109.6</v>
      </c>
      <c r="G569">
        <v>12</v>
      </c>
      <c r="H569">
        <v>8.0950000000000006</v>
      </c>
    </row>
    <row r="570" spans="1:9" ht="15.5" x14ac:dyDescent="0.35">
      <c r="A570" s="13">
        <v>43199</v>
      </c>
      <c r="B570" s="61" t="s">
        <v>93</v>
      </c>
      <c r="C570">
        <v>11.9</v>
      </c>
      <c r="D570">
        <v>4850</v>
      </c>
      <c r="F570">
        <v>116.5</v>
      </c>
      <c r="G570">
        <v>12.53</v>
      </c>
      <c r="H570">
        <v>8.2560000000000002</v>
      </c>
    </row>
    <row r="571" spans="1:9" ht="15.5" x14ac:dyDescent="0.35">
      <c r="A571" s="13">
        <v>43199</v>
      </c>
      <c r="B571" s="61" t="s">
        <v>77</v>
      </c>
      <c r="C571">
        <v>11.6</v>
      </c>
      <c r="D571">
        <v>14570</v>
      </c>
      <c r="F571">
        <v>110.9</v>
      </c>
      <c r="G571">
        <v>12.16</v>
      </c>
      <c r="H571">
        <v>8.1379999999999999</v>
      </c>
    </row>
    <row r="572" spans="1:9" ht="15.5" x14ac:dyDescent="0.35">
      <c r="A572" s="13">
        <v>43199</v>
      </c>
      <c r="B572" s="61" t="s">
        <v>56</v>
      </c>
      <c r="C572">
        <v>12</v>
      </c>
      <c r="D572">
        <v>4810</v>
      </c>
      <c r="F572">
        <v>117.7</v>
      </c>
      <c r="G572">
        <v>12.54</v>
      </c>
      <c r="H572">
        <v>8.2129999999999992</v>
      </c>
      <c r="I572">
        <v>80</v>
      </c>
    </row>
    <row r="573" spans="1:9" ht="15.5" x14ac:dyDescent="0.35">
      <c r="A573" s="13">
        <v>43199</v>
      </c>
      <c r="B573" s="61" t="s">
        <v>57</v>
      </c>
      <c r="C573">
        <v>11.5</v>
      </c>
      <c r="D573">
        <v>20600</v>
      </c>
      <c r="F573">
        <v>111</v>
      </c>
      <c r="G573">
        <v>12.01</v>
      </c>
      <c r="H573">
        <v>8.1140000000000008</v>
      </c>
    </row>
    <row r="574" spans="1:9" s="4" customFormat="1" ht="15.5" x14ac:dyDescent="0.35">
      <c r="A574" s="3">
        <v>43199</v>
      </c>
      <c r="B574" s="62" t="s">
        <v>20</v>
      </c>
      <c r="C574" s="4">
        <v>11.7</v>
      </c>
      <c r="D574" s="4">
        <v>2160</v>
      </c>
      <c r="F574" s="4">
        <v>104</v>
      </c>
      <c r="G574" s="4">
        <v>11.12</v>
      </c>
      <c r="H574" s="51">
        <v>8.1999999999999993</v>
      </c>
    </row>
    <row r="575" spans="1:9" ht="15.5" x14ac:dyDescent="0.35">
      <c r="A575" s="13">
        <v>43203</v>
      </c>
      <c r="B575" s="61" t="s">
        <v>192</v>
      </c>
      <c r="C575" s="10">
        <v>12.8</v>
      </c>
      <c r="D575" s="10">
        <v>2090</v>
      </c>
      <c r="F575" s="10">
        <v>102.6</v>
      </c>
      <c r="G575" s="10">
        <v>10.74</v>
      </c>
      <c r="H575" s="10">
        <v>8.32</v>
      </c>
    </row>
    <row r="576" spans="1:9" s="4" customFormat="1" ht="15.5" x14ac:dyDescent="0.35">
      <c r="A576" s="3">
        <v>43203</v>
      </c>
      <c r="B576" s="64" t="s">
        <v>89</v>
      </c>
      <c r="C576" s="4">
        <v>12.3</v>
      </c>
      <c r="D576" s="4">
        <v>9040</v>
      </c>
      <c r="F576" s="4">
        <v>100.8</v>
      </c>
      <c r="G576" s="4">
        <v>10.67</v>
      </c>
      <c r="H576" s="4">
        <v>8.1780000000000008</v>
      </c>
    </row>
    <row r="577" spans="1:9" ht="15.5" x14ac:dyDescent="0.35">
      <c r="A577" s="13">
        <v>43206</v>
      </c>
      <c r="B577" s="61" t="s">
        <v>192</v>
      </c>
      <c r="C577" s="10">
        <v>13.8</v>
      </c>
      <c r="D577" s="10">
        <v>1932</v>
      </c>
      <c r="F577" s="10">
        <v>127.8</v>
      </c>
      <c r="G577" s="10">
        <v>12.25</v>
      </c>
      <c r="H577" s="10">
        <v>8.1489999999999991</v>
      </c>
    </row>
    <row r="578" spans="1:9" ht="15.5" x14ac:dyDescent="0.35">
      <c r="A578" s="13">
        <v>43206</v>
      </c>
      <c r="B578" s="61" t="s">
        <v>46</v>
      </c>
      <c r="C578" s="10">
        <v>13.4</v>
      </c>
      <c r="D578" s="10">
        <v>1997</v>
      </c>
      <c r="F578" s="10">
        <v>114.9</v>
      </c>
      <c r="G578" s="10">
        <v>12.04</v>
      </c>
      <c r="H578" s="10">
        <v>8.1140000000000008</v>
      </c>
    </row>
    <row r="579" spans="1:9" ht="15.5" x14ac:dyDescent="0.35">
      <c r="A579" s="13">
        <v>43206</v>
      </c>
      <c r="B579" s="61" t="s">
        <v>47</v>
      </c>
      <c r="C579" s="10">
        <v>13.3</v>
      </c>
      <c r="D579" s="10">
        <v>1975</v>
      </c>
      <c r="F579" s="10">
        <v>114.6</v>
      </c>
      <c r="G579" s="10">
        <v>12.04</v>
      </c>
      <c r="H579" s="10">
        <v>8.0960000000000001</v>
      </c>
    </row>
    <row r="580" spans="1:9" ht="15.5" x14ac:dyDescent="0.35">
      <c r="A580" s="13">
        <v>43206</v>
      </c>
      <c r="B580" s="61" t="s">
        <v>89</v>
      </c>
      <c r="C580">
        <v>13.4</v>
      </c>
      <c r="D580">
        <v>1976</v>
      </c>
      <c r="F580">
        <v>117.9</v>
      </c>
      <c r="G580">
        <v>12.26</v>
      </c>
      <c r="H580">
        <v>8.1199999999999992</v>
      </c>
    </row>
    <row r="581" spans="1:9" ht="15.5" x14ac:dyDescent="0.35">
      <c r="A581" s="13">
        <v>43206</v>
      </c>
      <c r="B581" s="61" t="s">
        <v>90</v>
      </c>
      <c r="C581">
        <v>13.3</v>
      </c>
      <c r="D581">
        <v>1993</v>
      </c>
      <c r="F581">
        <v>116</v>
      </c>
      <c r="G581">
        <v>12.13</v>
      </c>
      <c r="H581">
        <v>8.1120000000000001</v>
      </c>
    </row>
    <row r="582" spans="1:9" ht="15.5" x14ac:dyDescent="0.35">
      <c r="A582" s="13">
        <v>43206</v>
      </c>
      <c r="B582" s="61" t="s">
        <v>48</v>
      </c>
      <c r="C582">
        <v>13.3</v>
      </c>
      <c r="D582">
        <v>1969</v>
      </c>
      <c r="F582">
        <v>117.2</v>
      </c>
      <c r="G582">
        <v>12.24</v>
      </c>
      <c r="H582">
        <v>8.11</v>
      </c>
      <c r="I582">
        <v>55</v>
      </c>
    </row>
    <row r="583" spans="1:9" ht="15.5" x14ac:dyDescent="0.35">
      <c r="A583" s="13">
        <v>43206</v>
      </c>
      <c r="B583" s="61" t="s">
        <v>49</v>
      </c>
      <c r="C583">
        <v>13.3</v>
      </c>
      <c r="D583">
        <v>1970</v>
      </c>
      <c r="F583">
        <v>116.2</v>
      </c>
      <c r="G583">
        <v>12.19</v>
      </c>
      <c r="H583">
        <v>8.1069999999999993</v>
      </c>
    </row>
    <row r="584" spans="1:9" ht="15.5" x14ac:dyDescent="0.35">
      <c r="A584" s="13">
        <v>43206</v>
      </c>
      <c r="B584" s="61" t="s">
        <v>50</v>
      </c>
      <c r="C584">
        <v>13.5</v>
      </c>
      <c r="D584">
        <v>1996</v>
      </c>
      <c r="F584">
        <v>116.9</v>
      </c>
      <c r="G584">
        <v>12.26</v>
      </c>
      <c r="H584">
        <v>8.14</v>
      </c>
    </row>
    <row r="585" spans="1:9" ht="15.5" x14ac:dyDescent="0.35">
      <c r="A585" s="13">
        <v>43206</v>
      </c>
      <c r="B585" s="61" t="s">
        <v>51</v>
      </c>
      <c r="C585">
        <v>13.4</v>
      </c>
      <c r="D585">
        <v>2010</v>
      </c>
      <c r="F585">
        <v>117.5</v>
      </c>
      <c r="G585">
        <v>12.31</v>
      </c>
      <c r="H585">
        <v>8.1300000000000008</v>
      </c>
    </row>
    <row r="586" spans="1:9" ht="15.5" x14ac:dyDescent="0.35">
      <c r="A586" s="13">
        <v>43206</v>
      </c>
      <c r="B586" s="61" t="s">
        <v>91</v>
      </c>
      <c r="C586">
        <v>13.4</v>
      </c>
      <c r="D586">
        <v>1998</v>
      </c>
      <c r="F586">
        <v>116.5</v>
      </c>
      <c r="G586">
        <v>12.15</v>
      </c>
      <c r="H586">
        <v>8.1359999999999992</v>
      </c>
    </row>
    <row r="587" spans="1:9" ht="15.5" x14ac:dyDescent="0.35">
      <c r="A587" s="13">
        <v>43206</v>
      </c>
      <c r="B587" s="61" t="s">
        <v>92</v>
      </c>
      <c r="C587">
        <v>13.3</v>
      </c>
      <c r="D587">
        <v>2010</v>
      </c>
      <c r="F587">
        <v>116.5</v>
      </c>
      <c r="G587">
        <v>12.13</v>
      </c>
      <c r="H587">
        <v>8.1300000000000008</v>
      </c>
    </row>
    <row r="588" spans="1:9" ht="15.5" x14ac:dyDescent="0.35">
      <c r="A588" s="13">
        <v>43206</v>
      </c>
      <c r="B588" s="61" t="s">
        <v>52</v>
      </c>
      <c r="C588">
        <v>13.5</v>
      </c>
      <c r="D588">
        <v>1994</v>
      </c>
      <c r="F588">
        <v>117.8</v>
      </c>
      <c r="G588">
        <v>12.31</v>
      </c>
      <c r="H588">
        <v>8.1379999999999999</v>
      </c>
      <c r="I588">
        <v>53</v>
      </c>
    </row>
    <row r="589" spans="1:9" ht="15.5" x14ac:dyDescent="0.35">
      <c r="A589" s="13">
        <v>43206</v>
      </c>
      <c r="B589" s="61" t="s">
        <v>53</v>
      </c>
      <c r="C589">
        <v>13.3</v>
      </c>
      <c r="D589">
        <v>1998</v>
      </c>
      <c r="F589">
        <v>117.3</v>
      </c>
      <c r="G589">
        <v>12.31</v>
      </c>
      <c r="H589">
        <v>8.1349999999999998</v>
      </c>
    </row>
    <row r="590" spans="1:9" ht="15.5" x14ac:dyDescent="0.35">
      <c r="A590" s="13">
        <v>43206</v>
      </c>
      <c r="B590" s="61" t="s">
        <v>54</v>
      </c>
      <c r="C590">
        <v>13.5</v>
      </c>
      <c r="D590">
        <v>1996</v>
      </c>
      <c r="F590">
        <v>118.3</v>
      </c>
      <c r="G590">
        <v>12.37</v>
      </c>
      <c r="H590">
        <v>8.14</v>
      </c>
    </row>
    <row r="591" spans="1:9" ht="15.5" x14ac:dyDescent="0.35">
      <c r="A591" s="13">
        <v>43206</v>
      </c>
      <c r="B591" s="61" t="s">
        <v>55</v>
      </c>
      <c r="C591">
        <v>13.4</v>
      </c>
      <c r="D591">
        <v>1999</v>
      </c>
      <c r="F591">
        <v>118.2</v>
      </c>
      <c r="G591">
        <v>12.35</v>
      </c>
      <c r="H591">
        <v>8.1300000000000008</v>
      </c>
    </row>
    <row r="592" spans="1:9" ht="15.5" x14ac:dyDescent="0.35">
      <c r="A592" s="13">
        <v>43206</v>
      </c>
      <c r="B592" s="61" t="s">
        <v>93</v>
      </c>
      <c r="C592">
        <v>13.4</v>
      </c>
      <c r="D592">
        <v>1995</v>
      </c>
      <c r="F592">
        <v>117</v>
      </c>
      <c r="G592">
        <v>12.25</v>
      </c>
      <c r="H592">
        <v>8.1300000000000008</v>
      </c>
    </row>
    <row r="593" spans="1:10" ht="15.5" x14ac:dyDescent="0.35">
      <c r="A593" s="13">
        <v>43206</v>
      </c>
      <c r="B593" s="61" t="s">
        <v>77</v>
      </c>
      <c r="C593">
        <v>13.3</v>
      </c>
      <c r="D593">
        <v>1995</v>
      </c>
      <c r="F593">
        <v>116.5</v>
      </c>
      <c r="G593">
        <v>12.21</v>
      </c>
      <c r="H593">
        <v>8.1300000000000008</v>
      </c>
    </row>
    <row r="594" spans="1:10" ht="15.5" x14ac:dyDescent="0.35">
      <c r="A594" s="13">
        <v>43206</v>
      </c>
      <c r="B594" s="61" t="s">
        <v>56</v>
      </c>
      <c r="C594">
        <v>13.3</v>
      </c>
      <c r="D594">
        <v>1997</v>
      </c>
      <c r="F594">
        <v>116</v>
      </c>
      <c r="G594">
        <v>12.16</v>
      </c>
      <c r="H594">
        <v>8.1300000000000008</v>
      </c>
      <c r="I594">
        <v>51</v>
      </c>
    </row>
    <row r="595" spans="1:10" ht="15.5" x14ac:dyDescent="0.35">
      <c r="A595" s="13">
        <v>43206</v>
      </c>
      <c r="B595" s="61" t="s">
        <v>57</v>
      </c>
      <c r="C595">
        <v>13.3</v>
      </c>
      <c r="D595">
        <v>1997</v>
      </c>
      <c r="F595">
        <v>116</v>
      </c>
      <c r="G595">
        <v>12.17</v>
      </c>
      <c r="H595">
        <v>8.1300000000000008</v>
      </c>
    </row>
    <row r="596" spans="1:10" s="4" customFormat="1" ht="15.5" x14ac:dyDescent="0.35">
      <c r="A596" s="3">
        <v>43207</v>
      </c>
      <c r="B596" s="62" t="s">
        <v>20</v>
      </c>
      <c r="C596" s="4">
        <v>12.7</v>
      </c>
      <c r="D596" s="4">
        <v>2340</v>
      </c>
      <c r="F596" s="4">
        <v>129.30000000000001</v>
      </c>
      <c r="G596" s="4">
        <v>13.71</v>
      </c>
      <c r="H596" s="4">
        <v>8.41</v>
      </c>
    </row>
    <row r="597" spans="1:10" s="5" customFormat="1" ht="15.5" x14ac:dyDescent="0.35">
      <c r="A597" s="13">
        <v>43210</v>
      </c>
      <c r="B597" s="61" t="s">
        <v>769</v>
      </c>
      <c r="C597" s="73" t="s">
        <v>770</v>
      </c>
      <c r="D597" s="74">
        <v>10430</v>
      </c>
      <c r="E597" s="73"/>
      <c r="F597" s="73" t="s">
        <v>771</v>
      </c>
      <c r="G597" s="74" t="s">
        <v>772</v>
      </c>
      <c r="H597" s="75">
        <v>8165</v>
      </c>
      <c r="I597" s="73"/>
    </row>
    <row r="598" spans="1:10" s="4" customFormat="1" ht="15.5" x14ac:dyDescent="0.35">
      <c r="A598" s="3">
        <v>43210</v>
      </c>
      <c r="B598" s="62" t="s">
        <v>773</v>
      </c>
      <c r="C598" s="68" t="s">
        <v>774</v>
      </c>
      <c r="D598" s="68">
        <v>1983</v>
      </c>
      <c r="E598" s="68"/>
      <c r="F598" s="68">
        <v>187</v>
      </c>
      <c r="G598" s="68" t="s">
        <v>775</v>
      </c>
      <c r="H598" s="68" t="s">
        <v>776</v>
      </c>
      <c r="I598" s="68"/>
    </row>
    <row r="599" spans="1:10" ht="15.5" x14ac:dyDescent="0.35">
      <c r="A599" s="13">
        <v>43213</v>
      </c>
      <c r="B599" s="61" t="s">
        <v>192</v>
      </c>
      <c r="C599" s="43" t="s">
        <v>781</v>
      </c>
      <c r="D599" s="43">
        <v>2050</v>
      </c>
      <c r="E599" s="43"/>
      <c r="F599" s="43">
        <v>163</v>
      </c>
      <c r="G599" s="43" t="s">
        <v>782</v>
      </c>
      <c r="H599" s="67">
        <v>8473</v>
      </c>
      <c r="I599" s="43"/>
      <c r="J599" s="43"/>
    </row>
    <row r="600" spans="1:10" ht="15.5" x14ac:dyDescent="0.35">
      <c r="A600" s="13">
        <v>43213</v>
      </c>
      <c r="B600" s="61" t="s">
        <v>46</v>
      </c>
      <c r="C600" s="43" t="s">
        <v>725</v>
      </c>
      <c r="D600" s="43">
        <v>27000</v>
      </c>
      <c r="E600" s="43"/>
      <c r="F600" s="43">
        <v>121</v>
      </c>
      <c r="G600" s="43" t="s">
        <v>727</v>
      </c>
      <c r="H600" s="43" t="s">
        <v>732</v>
      </c>
      <c r="I600" s="43"/>
      <c r="J600" s="43"/>
    </row>
    <row r="601" spans="1:10" ht="15.5" x14ac:dyDescent="0.35">
      <c r="A601" s="13">
        <v>43213</v>
      </c>
      <c r="B601" s="61" t="s">
        <v>47</v>
      </c>
      <c r="C601" s="43" t="s">
        <v>733</v>
      </c>
      <c r="D601" s="43">
        <v>36500</v>
      </c>
      <c r="E601" s="43"/>
      <c r="F601" s="43" t="s">
        <v>734</v>
      </c>
      <c r="G601" s="43" t="s">
        <v>735</v>
      </c>
      <c r="H601" s="67">
        <v>8195</v>
      </c>
      <c r="I601" s="43"/>
      <c r="J601" s="43"/>
    </row>
    <row r="602" spans="1:10" ht="15.5" x14ac:dyDescent="0.35">
      <c r="A602" s="13">
        <v>43213</v>
      </c>
      <c r="B602" s="61" t="s">
        <v>89</v>
      </c>
      <c r="C602" s="43" t="s">
        <v>725</v>
      </c>
      <c r="D602" s="43">
        <v>33100</v>
      </c>
      <c r="E602" s="43"/>
      <c r="F602" s="43" t="s">
        <v>726</v>
      </c>
      <c r="G602" s="43" t="s">
        <v>727</v>
      </c>
      <c r="H602" s="43" t="s">
        <v>728</v>
      </c>
      <c r="I602" s="43"/>
      <c r="J602" s="43"/>
    </row>
    <row r="603" spans="1:10" ht="15.5" x14ac:dyDescent="0.35">
      <c r="A603" s="13">
        <v>43213</v>
      </c>
      <c r="B603" s="61" t="s">
        <v>90</v>
      </c>
      <c r="C603" s="43" t="s">
        <v>729</v>
      </c>
      <c r="D603" s="43">
        <v>41800</v>
      </c>
      <c r="E603" s="43"/>
      <c r="F603" s="43" t="s">
        <v>722</v>
      </c>
      <c r="G603" s="43" t="s">
        <v>730</v>
      </c>
      <c r="H603" s="43" t="s">
        <v>731</v>
      </c>
      <c r="I603" s="43"/>
      <c r="J603" s="43"/>
    </row>
    <row r="604" spans="1:10" ht="15.5" x14ac:dyDescent="0.35">
      <c r="A604" s="13">
        <v>43213</v>
      </c>
      <c r="B604" s="61" t="s">
        <v>48</v>
      </c>
      <c r="C604" s="43" t="s">
        <v>719</v>
      </c>
      <c r="D604" s="43">
        <v>32900</v>
      </c>
      <c r="E604" s="43"/>
      <c r="F604" s="43">
        <v>113</v>
      </c>
      <c r="G604" s="43" t="s">
        <v>720</v>
      </c>
      <c r="H604" s="67">
        <v>8190</v>
      </c>
      <c r="I604" s="43"/>
      <c r="J604" s="43"/>
    </row>
    <row r="605" spans="1:10" ht="15.5" x14ac:dyDescent="0.35">
      <c r="A605" s="13">
        <v>43213</v>
      </c>
      <c r="B605" s="61" t="s">
        <v>49</v>
      </c>
      <c r="C605" s="43" t="s">
        <v>721</v>
      </c>
      <c r="D605" s="43">
        <v>41800</v>
      </c>
      <c r="E605" s="43"/>
      <c r="F605" s="43" t="s">
        <v>723</v>
      </c>
      <c r="G605" s="43" t="s">
        <v>724</v>
      </c>
      <c r="H605" s="67">
        <v>8237</v>
      </c>
      <c r="I605" s="43">
        <v>100</v>
      </c>
      <c r="J605" s="43"/>
    </row>
    <row r="606" spans="1:10" ht="15.5" x14ac:dyDescent="0.35">
      <c r="A606" s="13">
        <v>43213</v>
      </c>
      <c r="B606" s="61" t="s">
        <v>50</v>
      </c>
      <c r="C606" s="43" t="s">
        <v>746</v>
      </c>
      <c r="D606" s="43">
        <v>34200</v>
      </c>
      <c r="E606" s="43"/>
      <c r="F606" s="43" t="s">
        <v>747</v>
      </c>
      <c r="G606" s="43" t="s">
        <v>748</v>
      </c>
      <c r="H606" s="67">
        <v>8244</v>
      </c>
      <c r="I606" s="43"/>
      <c r="J606" s="43"/>
    </row>
    <row r="607" spans="1:10" ht="15.5" x14ac:dyDescent="0.35">
      <c r="A607" s="13">
        <v>43213</v>
      </c>
      <c r="B607" s="61" t="s">
        <v>51</v>
      </c>
      <c r="C607" s="43" t="s">
        <v>749</v>
      </c>
      <c r="D607" s="43">
        <v>40400</v>
      </c>
      <c r="E607" s="43"/>
      <c r="F607" s="43" t="s">
        <v>750</v>
      </c>
      <c r="G607" s="43" t="s">
        <v>751</v>
      </c>
      <c r="H607" s="67">
        <v>8270</v>
      </c>
      <c r="I607" s="43"/>
      <c r="J607" s="43"/>
    </row>
    <row r="608" spans="1:10" ht="15.5" x14ac:dyDescent="0.35">
      <c r="A608" s="13">
        <v>43213</v>
      </c>
      <c r="B608" s="61" t="s">
        <v>91</v>
      </c>
      <c r="C608" s="43" t="s">
        <v>740</v>
      </c>
      <c r="D608" s="43">
        <v>34800</v>
      </c>
      <c r="E608" s="43"/>
      <c r="F608" s="43" t="s">
        <v>741</v>
      </c>
      <c r="G608" s="43" t="s">
        <v>742</v>
      </c>
      <c r="H608" s="43" t="s">
        <v>743</v>
      </c>
      <c r="I608" s="43">
        <v>90</v>
      </c>
      <c r="J608" s="43"/>
    </row>
    <row r="609" spans="1:10" ht="15.5" x14ac:dyDescent="0.35">
      <c r="A609" s="13">
        <v>43213</v>
      </c>
      <c r="B609" s="61" t="s">
        <v>92</v>
      </c>
      <c r="C609" s="43" t="s">
        <v>733</v>
      </c>
      <c r="D609" s="43">
        <v>41400</v>
      </c>
      <c r="E609" s="43"/>
      <c r="F609" s="43" t="s">
        <v>744</v>
      </c>
      <c r="G609" s="43" t="s">
        <v>745</v>
      </c>
      <c r="H609" s="67">
        <v>8311</v>
      </c>
      <c r="I609" s="43"/>
      <c r="J609" s="43"/>
    </row>
    <row r="610" spans="1:10" ht="15.5" x14ac:dyDescent="0.35">
      <c r="A610" s="13">
        <v>43213</v>
      </c>
      <c r="B610" s="61" t="s">
        <v>52</v>
      </c>
      <c r="C610" s="43" t="s">
        <v>725</v>
      </c>
      <c r="D610" s="43">
        <v>35500</v>
      </c>
      <c r="E610" s="43"/>
      <c r="F610" s="43" t="s">
        <v>736</v>
      </c>
      <c r="G610" s="43" t="s">
        <v>737</v>
      </c>
      <c r="H610" s="67">
        <v>8271</v>
      </c>
      <c r="I610" s="43"/>
      <c r="J610" s="43"/>
    </row>
    <row r="611" spans="1:10" ht="15.5" x14ac:dyDescent="0.35">
      <c r="A611" s="13">
        <v>43213</v>
      </c>
      <c r="B611" s="61" t="s">
        <v>53</v>
      </c>
      <c r="C611" s="43" t="s">
        <v>733</v>
      </c>
      <c r="D611" s="43">
        <v>41400</v>
      </c>
      <c r="E611" s="43"/>
      <c r="F611" s="43" t="s">
        <v>738</v>
      </c>
      <c r="G611" s="43" t="s">
        <v>739</v>
      </c>
      <c r="H611" s="67">
        <v>8293</v>
      </c>
      <c r="I611" s="43"/>
      <c r="J611" s="43"/>
    </row>
    <row r="612" spans="1:10" ht="15.5" x14ac:dyDescent="0.35">
      <c r="A612" s="13">
        <v>43213</v>
      </c>
      <c r="B612" s="61" t="s">
        <v>54</v>
      </c>
      <c r="C612" s="43">
        <v>15</v>
      </c>
      <c r="D612" s="43">
        <v>40600</v>
      </c>
      <c r="E612" s="43"/>
      <c r="F612" s="43" t="s">
        <v>761</v>
      </c>
      <c r="G612" s="43" t="s">
        <v>762</v>
      </c>
      <c r="H612" s="67">
        <v>8312</v>
      </c>
      <c r="I612" s="43"/>
      <c r="J612" s="43"/>
    </row>
    <row r="613" spans="1:10" ht="15.5" x14ac:dyDescent="0.35">
      <c r="A613" s="13">
        <v>43213</v>
      </c>
      <c r="B613" s="61" t="s">
        <v>55</v>
      </c>
      <c r="C613" s="43" t="s">
        <v>763</v>
      </c>
      <c r="D613" s="43">
        <v>42000</v>
      </c>
      <c r="E613" s="43"/>
      <c r="F613" s="43" t="s">
        <v>764</v>
      </c>
      <c r="G613" s="43" t="s">
        <v>765</v>
      </c>
      <c r="H613" s="67">
        <v>8350</v>
      </c>
      <c r="I613" s="43"/>
      <c r="J613" s="43"/>
    </row>
    <row r="614" spans="1:10" ht="15.5" x14ac:dyDescent="0.35">
      <c r="A614" s="13">
        <v>43213</v>
      </c>
      <c r="B614" s="61" t="s">
        <v>93</v>
      </c>
      <c r="C614" s="43" t="s">
        <v>746</v>
      </c>
      <c r="D614" s="43">
        <v>33000</v>
      </c>
      <c r="E614" s="43"/>
      <c r="F614" s="43">
        <v>125</v>
      </c>
      <c r="G614" s="43" t="s">
        <v>757</v>
      </c>
      <c r="H614" s="43" t="s">
        <v>743</v>
      </c>
      <c r="I614" s="43"/>
      <c r="J614" s="43"/>
    </row>
    <row r="615" spans="1:10" ht="15.5" x14ac:dyDescent="0.35">
      <c r="A615" s="13">
        <v>43213</v>
      </c>
      <c r="B615" s="61" t="s">
        <v>77</v>
      </c>
      <c r="C615" s="43" t="s">
        <v>758</v>
      </c>
      <c r="D615" s="43">
        <v>41900</v>
      </c>
      <c r="E615" s="43"/>
      <c r="F615" s="43" t="s">
        <v>759</v>
      </c>
      <c r="G615" s="43" t="s">
        <v>760</v>
      </c>
      <c r="H615" s="67">
        <v>8349</v>
      </c>
      <c r="I615" s="43">
        <v>120</v>
      </c>
      <c r="J615" s="43"/>
    </row>
    <row r="616" spans="1:10" ht="15.5" x14ac:dyDescent="0.35">
      <c r="A616" s="13">
        <v>43213</v>
      </c>
      <c r="B616" s="61" t="s">
        <v>56</v>
      </c>
      <c r="C616" s="43" t="s">
        <v>752</v>
      </c>
      <c r="D616" s="43">
        <v>31400</v>
      </c>
      <c r="E616" s="43"/>
      <c r="F616" s="43" t="s">
        <v>753</v>
      </c>
      <c r="G616" s="43" t="s">
        <v>754</v>
      </c>
      <c r="H616" s="67">
        <v>8186</v>
      </c>
      <c r="I616" s="43"/>
      <c r="J616" s="43"/>
    </row>
    <row r="617" spans="1:10" ht="15.5" x14ac:dyDescent="0.35">
      <c r="A617" s="13">
        <v>43213</v>
      </c>
      <c r="B617" s="61" t="s">
        <v>57</v>
      </c>
      <c r="C617" s="43" t="s">
        <v>755</v>
      </c>
      <c r="D617" s="43">
        <v>41800</v>
      </c>
      <c r="E617" s="43"/>
      <c r="F617" s="43" t="s">
        <v>744</v>
      </c>
      <c r="G617" s="43" t="s">
        <v>756</v>
      </c>
      <c r="H617" s="67">
        <v>8312</v>
      </c>
      <c r="I617" s="43"/>
      <c r="J617" s="43"/>
    </row>
    <row r="618" spans="1:10" s="4" customFormat="1" ht="15.5" x14ac:dyDescent="0.35">
      <c r="A618" s="3">
        <v>43214</v>
      </c>
      <c r="B618" s="62" t="s">
        <v>20</v>
      </c>
      <c r="C618" s="68" t="s">
        <v>749</v>
      </c>
      <c r="D618" s="68">
        <v>34200</v>
      </c>
      <c r="E618" s="68"/>
      <c r="F618" s="68" t="s">
        <v>766</v>
      </c>
      <c r="G618" s="68" t="s">
        <v>767</v>
      </c>
      <c r="H618" s="69">
        <v>8263</v>
      </c>
      <c r="I618" s="68"/>
      <c r="J618" s="68"/>
    </row>
    <row r="619" spans="1:10" s="22" customFormat="1" ht="15.5" x14ac:dyDescent="0.35">
      <c r="A619" s="19">
        <v>43216</v>
      </c>
      <c r="B619" s="65" t="s">
        <v>769</v>
      </c>
      <c r="C619" s="77" t="s">
        <v>787</v>
      </c>
      <c r="D619" s="77">
        <v>24100</v>
      </c>
      <c r="F619" s="77" t="s">
        <v>788</v>
      </c>
      <c r="G619" s="77" t="s">
        <v>789</v>
      </c>
      <c r="H619" s="78">
        <v>8304</v>
      </c>
    </row>
    <row r="620" spans="1:10" ht="15.5" x14ac:dyDescent="0.35">
      <c r="A620" s="2">
        <v>43222</v>
      </c>
      <c r="B620" s="61" t="s">
        <v>192</v>
      </c>
      <c r="C620" s="74" t="s">
        <v>797</v>
      </c>
      <c r="D620" s="74">
        <v>1937</v>
      </c>
      <c r="E620" s="43"/>
      <c r="F620" s="43"/>
      <c r="G620" s="43"/>
      <c r="H620" s="43" t="s">
        <v>798</v>
      </c>
      <c r="I620" s="43"/>
    </row>
    <row r="621" spans="1:10" ht="15.5" x14ac:dyDescent="0.35">
      <c r="A621" s="2">
        <v>43222</v>
      </c>
      <c r="B621" s="61" t="s">
        <v>46</v>
      </c>
      <c r="C621" s="43" t="s">
        <v>735</v>
      </c>
      <c r="D621" s="43">
        <v>1950</v>
      </c>
      <c r="E621" s="43"/>
      <c r="F621" s="43"/>
      <c r="G621" s="43"/>
      <c r="H621" s="67">
        <v>8061</v>
      </c>
      <c r="I621" s="43">
        <v>46</v>
      </c>
    </row>
    <row r="622" spans="1:10" ht="15.5" x14ac:dyDescent="0.35">
      <c r="A622" s="2">
        <v>43222</v>
      </c>
      <c r="B622" s="61" t="s">
        <v>47</v>
      </c>
      <c r="C622" s="43" t="s">
        <v>735</v>
      </c>
      <c r="D622" s="43">
        <v>1946</v>
      </c>
      <c r="E622" s="43"/>
      <c r="F622" s="43"/>
      <c r="G622" s="43"/>
      <c r="H622" s="67">
        <v>8045</v>
      </c>
      <c r="I622" s="43"/>
    </row>
    <row r="623" spans="1:10" ht="15.5" x14ac:dyDescent="0.35">
      <c r="A623" s="2">
        <v>43222</v>
      </c>
      <c r="B623" s="61" t="s">
        <v>89</v>
      </c>
      <c r="C623" s="43" t="s">
        <v>735</v>
      </c>
      <c r="D623" s="43">
        <v>1883</v>
      </c>
      <c r="E623" s="43"/>
      <c r="F623" s="43"/>
      <c r="G623" s="43"/>
      <c r="H623" s="43" t="s">
        <v>796</v>
      </c>
      <c r="I623" s="43">
        <v>45</v>
      </c>
    </row>
    <row r="624" spans="1:10" ht="15.5" x14ac:dyDescent="0.35">
      <c r="A624" s="2">
        <v>43222</v>
      </c>
      <c r="B624" s="61" t="s">
        <v>90</v>
      </c>
      <c r="C624" s="43" t="s">
        <v>795</v>
      </c>
      <c r="D624" s="43">
        <v>1920</v>
      </c>
      <c r="E624" s="43"/>
      <c r="F624" s="43"/>
      <c r="G624" s="43"/>
      <c r="H624" s="67">
        <v>8028</v>
      </c>
      <c r="I624" s="43"/>
    </row>
    <row r="625" spans="1:9" ht="15.5" x14ac:dyDescent="0.35">
      <c r="A625" s="2">
        <v>43222</v>
      </c>
      <c r="B625" s="61" t="s">
        <v>48</v>
      </c>
      <c r="C625" s="43" t="s">
        <v>795</v>
      </c>
      <c r="D625" s="43">
        <v>1883</v>
      </c>
      <c r="E625" s="43"/>
      <c r="F625" s="43"/>
      <c r="G625" s="43"/>
      <c r="H625" s="67">
        <v>7988</v>
      </c>
      <c r="I625" s="43">
        <v>45</v>
      </c>
    </row>
    <row r="626" spans="1:9" ht="15.5" x14ac:dyDescent="0.35">
      <c r="A626" s="2">
        <v>43222</v>
      </c>
      <c r="B626" s="61" t="s">
        <v>49</v>
      </c>
      <c r="C626" s="43" t="s">
        <v>795</v>
      </c>
      <c r="D626" s="43">
        <v>1829</v>
      </c>
      <c r="E626" s="43"/>
      <c r="F626" s="43"/>
      <c r="G626" s="43"/>
      <c r="H626" s="67">
        <v>7992</v>
      </c>
      <c r="I626" s="43"/>
    </row>
    <row r="627" spans="1:9" ht="15.5" x14ac:dyDescent="0.35">
      <c r="A627" s="2">
        <v>43222</v>
      </c>
      <c r="B627" s="61" t="s">
        <v>50</v>
      </c>
      <c r="C627" s="43" t="s">
        <v>735</v>
      </c>
      <c r="D627" s="43">
        <v>1915</v>
      </c>
      <c r="E627" s="43"/>
      <c r="F627" s="43"/>
      <c r="G627" s="43"/>
      <c r="H627" s="67">
        <v>8048</v>
      </c>
      <c r="I627" s="43">
        <v>46</v>
      </c>
    </row>
    <row r="628" spans="1:9" ht="15.5" x14ac:dyDescent="0.35">
      <c r="A628" s="2">
        <v>43222</v>
      </c>
      <c r="B628" s="61" t="s">
        <v>51</v>
      </c>
      <c r="C628" s="43" t="s">
        <v>795</v>
      </c>
      <c r="D628" s="43">
        <v>1907</v>
      </c>
      <c r="E628" s="43"/>
      <c r="F628" s="43"/>
      <c r="G628" s="43"/>
      <c r="H628" s="67">
        <v>8051</v>
      </c>
      <c r="I628" s="43"/>
    </row>
    <row r="629" spans="1:9" ht="15.5" x14ac:dyDescent="0.35">
      <c r="A629" s="2">
        <v>43222</v>
      </c>
      <c r="B629" s="61" t="s">
        <v>91</v>
      </c>
      <c r="C629" s="43" t="s">
        <v>795</v>
      </c>
      <c r="D629" s="43">
        <v>1878</v>
      </c>
      <c r="E629" s="43"/>
      <c r="F629" s="43"/>
      <c r="G629" s="43"/>
      <c r="H629" s="67">
        <v>8025</v>
      </c>
      <c r="I629" s="43">
        <v>44</v>
      </c>
    </row>
    <row r="630" spans="1:9" ht="15.5" x14ac:dyDescent="0.35">
      <c r="A630" s="2">
        <v>43222</v>
      </c>
      <c r="B630" s="61" t="s">
        <v>92</v>
      </c>
      <c r="C630" s="43" t="s">
        <v>795</v>
      </c>
      <c r="D630" s="43">
        <v>1888</v>
      </c>
      <c r="E630" s="43"/>
      <c r="F630" s="43"/>
      <c r="G630" s="43"/>
      <c r="H630" s="67">
        <v>8025</v>
      </c>
      <c r="I630" s="43"/>
    </row>
    <row r="631" spans="1:9" ht="15.5" x14ac:dyDescent="0.35">
      <c r="A631" s="2">
        <v>43222</v>
      </c>
      <c r="B631" s="61" t="s">
        <v>52</v>
      </c>
      <c r="C631" s="43" t="s">
        <v>795</v>
      </c>
      <c r="D631" s="43">
        <v>1895</v>
      </c>
      <c r="E631" s="43"/>
      <c r="F631" s="43"/>
      <c r="G631" s="43"/>
      <c r="H631" s="67">
        <v>8033</v>
      </c>
      <c r="I631" s="43">
        <v>45</v>
      </c>
    </row>
    <row r="632" spans="1:9" ht="15.5" x14ac:dyDescent="0.35">
      <c r="A632" s="2">
        <v>43222</v>
      </c>
      <c r="B632" s="61" t="s">
        <v>53</v>
      </c>
      <c r="C632" s="43" t="s">
        <v>735</v>
      </c>
      <c r="D632" s="43">
        <v>1893</v>
      </c>
      <c r="E632" s="43"/>
      <c r="F632" s="43"/>
      <c r="G632" s="43"/>
      <c r="H632" s="43" t="s">
        <v>799</v>
      </c>
      <c r="I632" s="43"/>
    </row>
    <row r="633" spans="1:9" ht="15.5" x14ac:dyDescent="0.35">
      <c r="A633" s="2">
        <v>43222</v>
      </c>
      <c r="B633" s="61" t="s">
        <v>54</v>
      </c>
      <c r="C633" s="43" t="s">
        <v>795</v>
      </c>
      <c r="D633" s="43">
        <v>1926</v>
      </c>
      <c r="E633" s="43"/>
      <c r="F633" s="43"/>
      <c r="G633" s="43"/>
      <c r="H633" s="67">
        <v>8059</v>
      </c>
      <c r="I633" s="43">
        <v>45</v>
      </c>
    </row>
    <row r="634" spans="1:9" ht="15.5" x14ac:dyDescent="0.35">
      <c r="A634" s="2">
        <v>43222</v>
      </c>
      <c r="B634" s="61" t="s">
        <v>55</v>
      </c>
      <c r="C634" s="43" t="s">
        <v>800</v>
      </c>
      <c r="D634" s="43">
        <v>1921</v>
      </c>
      <c r="E634" s="43"/>
      <c r="F634" s="43"/>
      <c r="G634" s="43"/>
      <c r="H634" s="67">
        <v>8066</v>
      </c>
      <c r="I634" s="43"/>
    </row>
    <row r="635" spans="1:9" ht="15.5" x14ac:dyDescent="0.35">
      <c r="A635" s="2">
        <v>43222</v>
      </c>
      <c r="B635" s="61" t="s">
        <v>93</v>
      </c>
      <c r="C635" s="43" t="s">
        <v>795</v>
      </c>
      <c r="D635" s="43">
        <v>1913</v>
      </c>
      <c r="E635" s="43"/>
      <c r="F635" s="43"/>
      <c r="G635" s="43"/>
      <c r="H635" s="67">
        <v>8051</v>
      </c>
      <c r="I635" s="43">
        <v>44</v>
      </c>
    </row>
    <row r="636" spans="1:9" ht="15.5" x14ac:dyDescent="0.35">
      <c r="A636" s="2">
        <v>43222</v>
      </c>
      <c r="B636" s="61" t="s">
        <v>77</v>
      </c>
      <c r="C636" s="43" t="s">
        <v>795</v>
      </c>
      <c r="D636" s="43">
        <v>1916</v>
      </c>
      <c r="E636" s="43"/>
      <c r="F636" s="43"/>
      <c r="G636" s="43"/>
      <c r="H636" s="67">
        <v>8047</v>
      </c>
      <c r="I636" s="43"/>
    </row>
    <row r="637" spans="1:9" ht="15.5" x14ac:dyDescent="0.35">
      <c r="A637" s="2">
        <v>43222</v>
      </c>
      <c r="B637" s="61" t="s">
        <v>56</v>
      </c>
      <c r="C637" s="43" t="s">
        <v>795</v>
      </c>
      <c r="D637" s="43">
        <v>1901</v>
      </c>
      <c r="E637" s="43"/>
      <c r="F637" s="43"/>
      <c r="G637" s="43"/>
      <c r="H637" s="67">
        <v>8044</v>
      </c>
      <c r="I637" s="43">
        <v>44</v>
      </c>
    </row>
    <row r="638" spans="1:9" ht="15.5" x14ac:dyDescent="0.35">
      <c r="A638" s="2">
        <v>43222</v>
      </c>
      <c r="B638" s="61" t="s">
        <v>57</v>
      </c>
      <c r="C638" s="43" t="s">
        <v>795</v>
      </c>
      <c r="D638" s="43">
        <v>1906</v>
      </c>
      <c r="E638" s="43"/>
      <c r="F638" s="43"/>
      <c r="G638" s="43"/>
      <c r="H638" s="67">
        <v>8046</v>
      </c>
      <c r="I638" s="43"/>
    </row>
    <row r="639" spans="1:9" s="4" customFormat="1" ht="15.5" x14ac:dyDescent="0.35">
      <c r="A639" s="3">
        <v>43222</v>
      </c>
      <c r="B639" s="62" t="s">
        <v>20</v>
      </c>
      <c r="C639" s="68" t="s">
        <v>790</v>
      </c>
      <c r="D639" s="68">
        <v>1934</v>
      </c>
      <c r="E639" s="68"/>
      <c r="F639" s="68" t="s">
        <v>791</v>
      </c>
      <c r="G639" s="68" t="s">
        <v>792</v>
      </c>
      <c r="H639" s="69">
        <v>8169</v>
      </c>
      <c r="I639" s="68"/>
    </row>
    <row r="640" spans="1:9" ht="15.5" x14ac:dyDescent="0.35">
      <c r="A640" s="2">
        <v>43227</v>
      </c>
      <c r="B640" s="61" t="s">
        <v>192</v>
      </c>
      <c r="C640" s="74" t="s">
        <v>809</v>
      </c>
      <c r="D640" s="74">
        <v>1792</v>
      </c>
      <c r="H640" s="79">
        <v>8657</v>
      </c>
    </row>
    <row r="641" spans="1:9" ht="15.5" x14ac:dyDescent="0.35">
      <c r="A641" s="2">
        <v>43227</v>
      </c>
      <c r="B641" s="61" t="s">
        <v>46</v>
      </c>
      <c r="C641" s="43" t="s">
        <v>719</v>
      </c>
      <c r="D641" s="43">
        <v>14400</v>
      </c>
      <c r="E641" s="43"/>
      <c r="F641" s="43"/>
      <c r="G641" s="43"/>
      <c r="H641" s="43" t="s">
        <v>811</v>
      </c>
      <c r="I641" s="43"/>
    </row>
    <row r="642" spans="1:9" ht="15.5" x14ac:dyDescent="0.35">
      <c r="A642" s="2">
        <v>43227</v>
      </c>
      <c r="B642" s="61" t="s">
        <v>47</v>
      </c>
      <c r="C642" s="43" t="s">
        <v>763</v>
      </c>
      <c r="D642" s="43">
        <v>29300</v>
      </c>
      <c r="E642" s="43"/>
      <c r="F642" s="43"/>
      <c r="G642" s="43"/>
      <c r="H642" s="67">
        <v>7976</v>
      </c>
      <c r="I642" s="43"/>
    </row>
    <row r="643" spans="1:9" ht="15.5" x14ac:dyDescent="0.35">
      <c r="A643" s="2">
        <v>43227</v>
      </c>
      <c r="B643" s="61" t="s">
        <v>89</v>
      </c>
      <c r="C643" s="43" t="s">
        <v>770</v>
      </c>
      <c r="D643" s="43">
        <v>16780</v>
      </c>
      <c r="E643" s="43"/>
      <c r="F643" s="43"/>
      <c r="G643" s="43"/>
      <c r="H643" s="67">
        <v>8132</v>
      </c>
      <c r="I643" s="43">
        <v>67</v>
      </c>
    </row>
    <row r="644" spans="1:9" ht="15.5" x14ac:dyDescent="0.35">
      <c r="A644" s="2">
        <v>43227</v>
      </c>
      <c r="B644" s="61" t="s">
        <v>90</v>
      </c>
      <c r="C644" s="43" t="s">
        <v>763</v>
      </c>
      <c r="D644" s="43">
        <v>29000</v>
      </c>
      <c r="E644" s="43"/>
      <c r="F644" s="43"/>
      <c r="G644" s="43"/>
      <c r="H644" s="67">
        <v>7992</v>
      </c>
      <c r="I644" s="43"/>
    </row>
    <row r="645" spans="1:9" ht="15.5" x14ac:dyDescent="0.35">
      <c r="A645" s="2">
        <v>43227</v>
      </c>
      <c r="B645" s="61" t="s">
        <v>48</v>
      </c>
      <c r="C645" s="43" t="s">
        <v>810</v>
      </c>
      <c r="D645" s="43">
        <v>16460</v>
      </c>
      <c r="E645" s="43"/>
      <c r="F645" s="43"/>
      <c r="G645" s="43"/>
      <c r="H645" s="43" t="s">
        <v>796</v>
      </c>
      <c r="I645" s="43">
        <v>60</v>
      </c>
    </row>
    <row r="646" spans="1:9" ht="15.5" x14ac:dyDescent="0.35">
      <c r="A646" s="2">
        <v>43227</v>
      </c>
      <c r="B646" s="61" t="s">
        <v>49</v>
      </c>
      <c r="C646" s="43" t="s">
        <v>755</v>
      </c>
      <c r="D646" s="43">
        <v>29900</v>
      </c>
      <c r="E646" s="43"/>
      <c r="F646" s="43"/>
      <c r="G646" s="43"/>
      <c r="H646" s="67">
        <v>7967</v>
      </c>
      <c r="I646" s="43"/>
    </row>
    <row r="647" spans="1:9" ht="15.5" x14ac:dyDescent="0.35">
      <c r="A647" s="2">
        <v>43227</v>
      </c>
      <c r="B647" s="61" t="s">
        <v>50</v>
      </c>
      <c r="C647" s="43" t="s">
        <v>814</v>
      </c>
      <c r="D647" s="43">
        <v>15840</v>
      </c>
      <c r="E647" s="43"/>
      <c r="F647" s="43"/>
      <c r="G647" s="43"/>
      <c r="H647" s="67">
        <v>8104</v>
      </c>
      <c r="I647" s="43"/>
    </row>
    <row r="648" spans="1:9" ht="15.5" x14ac:dyDescent="0.35">
      <c r="A648" s="2">
        <v>43227</v>
      </c>
      <c r="B648" s="61" t="s">
        <v>51</v>
      </c>
      <c r="C648" s="43" t="s">
        <v>729</v>
      </c>
      <c r="D648" s="43">
        <v>28100</v>
      </c>
      <c r="E648" s="43"/>
      <c r="F648" s="43"/>
      <c r="G648" s="43"/>
      <c r="H648" s="67">
        <v>8040</v>
      </c>
      <c r="I648" s="43"/>
    </row>
    <row r="649" spans="1:9" ht="15.5" x14ac:dyDescent="0.35">
      <c r="A649" s="2">
        <v>43227</v>
      </c>
      <c r="B649" s="61" t="s">
        <v>91</v>
      </c>
      <c r="C649" s="43" t="s">
        <v>813</v>
      </c>
      <c r="D649" s="43">
        <v>11350</v>
      </c>
      <c r="E649" s="43"/>
      <c r="F649" s="43"/>
      <c r="G649" s="43"/>
      <c r="H649" s="67">
        <v>8260</v>
      </c>
      <c r="I649" s="43"/>
    </row>
    <row r="650" spans="1:9" ht="15.5" x14ac:dyDescent="0.35">
      <c r="A650" s="2">
        <v>43227</v>
      </c>
      <c r="B650" s="61" t="s">
        <v>92</v>
      </c>
      <c r="C650" s="43" t="s">
        <v>729</v>
      </c>
      <c r="D650" s="43">
        <v>27100</v>
      </c>
      <c r="E650" s="43"/>
      <c r="F650" s="43"/>
      <c r="G650" s="43"/>
      <c r="H650" s="67">
        <v>8086</v>
      </c>
      <c r="I650" s="43"/>
    </row>
    <row r="651" spans="1:9" ht="15.5" x14ac:dyDescent="0.35">
      <c r="A651" s="2">
        <v>43227</v>
      </c>
      <c r="B651" s="61" t="s">
        <v>52</v>
      </c>
      <c r="C651" s="43" t="s">
        <v>812</v>
      </c>
      <c r="D651" s="43">
        <v>11380</v>
      </c>
      <c r="E651" s="43"/>
      <c r="F651" s="43"/>
      <c r="G651" s="43"/>
      <c r="H651" s="67">
        <v>8253</v>
      </c>
      <c r="I651" s="43">
        <v>62</v>
      </c>
    </row>
    <row r="652" spans="1:9" ht="15.5" x14ac:dyDescent="0.35">
      <c r="A652" s="2">
        <v>43227</v>
      </c>
      <c r="B652" s="61" t="s">
        <v>53</v>
      </c>
      <c r="C652" s="43" t="s">
        <v>729</v>
      </c>
      <c r="D652" s="43">
        <v>28400</v>
      </c>
      <c r="E652" s="43"/>
      <c r="F652" s="43"/>
      <c r="G652" s="43"/>
      <c r="H652" s="67">
        <v>8047</v>
      </c>
      <c r="I652" s="43"/>
    </row>
    <row r="653" spans="1:9" ht="15.5" x14ac:dyDescent="0.35">
      <c r="A653" s="2">
        <v>43227</v>
      </c>
      <c r="B653" s="61" t="s">
        <v>54</v>
      </c>
      <c r="C653" s="43" t="s">
        <v>746</v>
      </c>
      <c r="D653" s="43">
        <v>18830</v>
      </c>
      <c r="E653" s="43"/>
      <c r="F653" s="43"/>
      <c r="G653" s="43"/>
      <c r="H653" s="67">
        <v>8150</v>
      </c>
      <c r="I653" s="43"/>
    </row>
    <row r="654" spans="1:9" ht="15.5" x14ac:dyDescent="0.35">
      <c r="A654" s="2">
        <v>43227</v>
      </c>
      <c r="B654" s="61" t="s">
        <v>55</v>
      </c>
      <c r="C654" s="43" t="s">
        <v>755</v>
      </c>
      <c r="D654" s="43">
        <v>29600</v>
      </c>
      <c r="E654" s="43"/>
      <c r="F654" s="43"/>
      <c r="G654" s="43"/>
      <c r="H654" s="67">
        <v>8075</v>
      </c>
      <c r="I654" s="43"/>
    </row>
    <row r="655" spans="1:9" ht="15.5" x14ac:dyDescent="0.35">
      <c r="A655" s="2">
        <v>43227</v>
      </c>
      <c r="B655" s="61" t="s">
        <v>93</v>
      </c>
      <c r="C655" s="43" t="s">
        <v>817</v>
      </c>
      <c r="D655" s="43">
        <v>8840</v>
      </c>
      <c r="E655" s="43"/>
      <c r="F655" s="43"/>
      <c r="G655" s="43"/>
      <c r="H655" s="67">
        <v>8314</v>
      </c>
      <c r="I655" s="43"/>
    </row>
    <row r="656" spans="1:9" ht="15.5" x14ac:dyDescent="0.35">
      <c r="A656" s="2">
        <v>43227</v>
      </c>
      <c r="B656" s="61" t="s">
        <v>77</v>
      </c>
      <c r="C656" s="43" t="s">
        <v>755</v>
      </c>
      <c r="D656" s="43">
        <v>28700</v>
      </c>
      <c r="E656" s="43"/>
      <c r="F656" s="43"/>
      <c r="G656" s="43"/>
      <c r="H656" s="43" t="s">
        <v>811</v>
      </c>
      <c r="I656" s="43"/>
    </row>
    <row r="657" spans="1:9" ht="15.5" x14ac:dyDescent="0.35">
      <c r="A657" s="2">
        <v>43227</v>
      </c>
      <c r="B657" s="61" t="s">
        <v>56</v>
      </c>
      <c r="C657" s="43" t="s">
        <v>815</v>
      </c>
      <c r="D657" s="43">
        <v>9490</v>
      </c>
      <c r="E657" s="43"/>
      <c r="F657" s="43"/>
      <c r="G657" s="43"/>
      <c r="H657" s="67">
        <v>8225</v>
      </c>
      <c r="I657" s="43">
        <v>53</v>
      </c>
    </row>
    <row r="658" spans="1:9" s="4" customFormat="1" ht="15.5" x14ac:dyDescent="0.35">
      <c r="A658" s="3">
        <v>43227</v>
      </c>
      <c r="B658" s="62" t="s">
        <v>57</v>
      </c>
      <c r="C658" s="68" t="s">
        <v>816</v>
      </c>
      <c r="D658" s="68">
        <v>28800</v>
      </c>
      <c r="E658" s="68"/>
      <c r="F658" s="68"/>
      <c r="G658" s="68"/>
      <c r="H658" s="69">
        <v>8022</v>
      </c>
      <c r="I658" s="68"/>
    </row>
    <row r="659" spans="1:9" ht="15.5" x14ac:dyDescent="0.35">
      <c r="A659" s="13">
        <v>43234</v>
      </c>
      <c r="B659" s="61" t="s">
        <v>192</v>
      </c>
      <c r="C659" s="43"/>
      <c r="D659" s="43"/>
      <c r="E659" s="43"/>
      <c r="F659" s="43"/>
      <c r="G659" s="43"/>
      <c r="H659" s="43"/>
      <c r="I659" s="43"/>
    </row>
    <row r="660" spans="1:9" ht="15.5" x14ac:dyDescent="0.35">
      <c r="A660" s="13">
        <v>43234</v>
      </c>
      <c r="B660" s="61" t="s">
        <v>46</v>
      </c>
      <c r="C660" s="43" t="s">
        <v>844</v>
      </c>
      <c r="D660" s="43">
        <v>19620</v>
      </c>
      <c r="E660" s="43"/>
      <c r="F660" s="43" t="s">
        <v>849</v>
      </c>
      <c r="G660" s="43" t="s">
        <v>850</v>
      </c>
      <c r="H660" s="67">
        <v>8163</v>
      </c>
      <c r="I660" s="43">
        <v>97</v>
      </c>
    </row>
    <row r="661" spans="1:9" ht="15.5" x14ac:dyDescent="0.35">
      <c r="A661" s="13">
        <v>43234</v>
      </c>
      <c r="B661" s="61" t="s">
        <v>47</v>
      </c>
      <c r="C661" s="43" t="s">
        <v>749</v>
      </c>
      <c r="D661" s="43">
        <v>38900</v>
      </c>
      <c r="E661" s="43"/>
      <c r="F661" s="43" t="s">
        <v>851</v>
      </c>
      <c r="G661" s="43" t="s">
        <v>852</v>
      </c>
      <c r="H661" s="67">
        <v>7820</v>
      </c>
      <c r="I661" s="43"/>
    </row>
    <row r="662" spans="1:9" ht="15.5" x14ac:dyDescent="0.35">
      <c r="A662" s="13">
        <v>43234</v>
      </c>
      <c r="B662" s="61" t="s">
        <v>89</v>
      </c>
      <c r="C662" s="43" t="s">
        <v>844</v>
      </c>
      <c r="D662" s="43">
        <v>19320</v>
      </c>
      <c r="E662" s="43"/>
      <c r="F662" s="43" t="s">
        <v>853</v>
      </c>
      <c r="G662" s="43" t="s">
        <v>854</v>
      </c>
      <c r="H662" s="67">
        <v>8149</v>
      </c>
      <c r="I662" s="43">
        <v>99</v>
      </c>
    </row>
    <row r="663" spans="1:9" ht="15.5" x14ac:dyDescent="0.35">
      <c r="A663" s="13">
        <v>43234</v>
      </c>
      <c r="B663" s="61" t="s">
        <v>90</v>
      </c>
      <c r="C663" s="43" t="s">
        <v>758</v>
      </c>
      <c r="D663" s="43">
        <v>21900</v>
      </c>
      <c r="E663" s="43"/>
      <c r="F663" s="43" t="s">
        <v>855</v>
      </c>
      <c r="G663" s="43" t="s">
        <v>856</v>
      </c>
      <c r="H663" s="67">
        <v>8136</v>
      </c>
      <c r="I663" s="43"/>
    </row>
    <row r="664" spans="1:9" ht="15.5" x14ac:dyDescent="0.35">
      <c r="A664" s="13">
        <v>43234</v>
      </c>
      <c r="B664" s="61" t="s">
        <v>48</v>
      </c>
      <c r="C664" s="43" t="s">
        <v>844</v>
      </c>
      <c r="D664" s="43">
        <v>20500</v>
      </c>
      <c r="E664" s="43"/>
      <c r="F664" s="43" t="s">
        <v>845</v>
      </c>
      <c r="G664" s="43" t="s">
        <v>846</v>
      </c>
      <c r="H664" s="67">
        <v>8144</v>
      </c>
      <c r="I664" s="43">
        <v>97</v>
      </c>
    </row>
    <row r="665" spans="1:9" ht="15.5" x14ac:dyDescent="0.35">
      <c r="A665" s="13">
        <v>43234</v>
      </c>
      <c r="B665" s="61" t="s">
        <v>49</v>
      </c>
      <c r="C665" s="43" t="s">
        <v>749</v>
      </c>
      <c r="D665" s="43">
        <v>40000</v>
      </c>
      <c r="E665" s="43"/>
      <c r="F665" s="43" t="s">
        <v>847</v>
      </c>
      <c r="G665" s="43" t="s">
        <v>848</v>
      </c>
      <c r="H665" s="67">
        <v>7840</v>
      </c>
      <c r="I665" s="43"/>
    </row>
    <row r="666" spans="1:9" ht="15.5" x14ac:dyDescent="0.35">
      <c r="A666" s="13">
        <v>43234</v>
      </c>
      <c r="B666" s="61" t="s">
        <v>50</v>
      </c>
      <c r="C666" s="43" t="s">
        <v>763</v>
      </c>
      <c r="D666" s="43">
        <v>27200</v>
      </c>
      <c r="E666" s="43"/>
      <c r="F666" s="43" t="s">
        <v>835</v>
      </c>
      <c r="G666" s="43" t="s">
        <v>836</v>
      </c>
      <c r="H666" s="67">
        <v>8023</v>
      </c>
      <c r="I666" s="43">
        <v>105</v>
      </c>
    </row>
    <row r="667" spans="1:9" ht="15.5" x14ac:dyDescent="0.35">
      <c r="A667" s="13">
        <v>43234</v>
      </c>
      <c r="B667" s="61" t="s">
        <v>51</v>
      </c>
      <c r="C667" s="43" t="s">
        <v>752</v>
      </c>
      <c r="D667" s="43">
        <v>39100</v>
      </c>
      <c r="E667" s="43"/>
      <c r="F667" s="43" t="s">
        <v>837</v>
      </c>
      <c r="G667" s="43" t="s">
        <v>838</v>
      </c>
      <c r="H667" s="67">
        <v>7926</v>
      </c>
      <c r="I667" s="43"/>
    </row>
    <row r="668" spans="1:9" ht="15.5" x14ac:dyDescent="0.35">
      <c r="A668" s="13">
        <v>43234</v>
      </c>
      <c r="B668" s="61" t="s">
        <v>91</v>
      </c>
      <c r="C668" s="43" t="s">
        <v>763</v>
      </c>
      <c r="D668" s="43">
        <v>27100</v>
      </c>
      <c r="E668" s="43"/>
      <c r="F668" s="43" t="s">
        <v>839</v>
      </c>
      <c r="G668" s="43" t="s">
        <v>840</v>
      </c>
      <c r="H668" s="67">
        <v>8027</v>
      </c>
      <c r="I668" s="43">
        <v>103</v>
      </c>
    </row>
    <row r="669" spans="1:9" ht="15.5" x14ac:dyDescent="0.35">
      <c r="A669" s="13">
        <v>43234</v>
      </c>
      <c r="B669" s="61" t="s">
        <v>92</v>
      </c>
      <c r="C669" s="43" t="s">
        <v>841</v>
      </c>
      <c r="D669" s="43">
        <v>38400</v>
      </c>
      <c r="E669" s="43"/>
      <c r="F669" s="43" t="s">
        <v>842</v>
      </c>
      <c r="G669" s="43" t="s">
        <v>843</v>
      </c>
      <c r="H669" s="67">
        <v>7914</v>
      </c>
      <c r="I669" s="43"/>
    </row>
    <row r="670" spans="1:9" ht="15.5" x14ac:dyDescent="0.35">
      <c r="A670" s="13">
        <v>43234</v>
      </c>
      <c r="B670" s="61" t="s">
        <v>52</v>
      </c>
      <c r="C670" s="43" t="s">
        <v>830</v>
      </c>
      <c r="D670" s="43">
        <v>27300</v>
      </c>
      <c r="E670" s="43"/>
      <c r="F670" s="43" t="s">
        <v>831</v>
      </c>
      <c r="G670" s="43" t="s">
        <v>832</v>
      </c>
      <c r="H670" s="67">
        <v>8035</v>
      </c>
      <c r="I670" s="43">
        <v>105</v>
      </c>
    </row>
    <row r="671" spans="1:9" ht="15.5" x14ac:dyDescent="0.35">
      <c r="A671" s="13">
        <v>43234</v>
      </c>
      <c r="B671" s="61" t="s">
        <v>53</v>
      </c>
      <c r="C671" s="43" t="s">
        <v>752</v>
      </c>
      <c r="D671" s="43">
        <v>39700</v>
      </c>
      <c r="E671" s="43"/>
      <c r="F671" s="43" t="s">
        <v>833</v>
      </c>
      <c r="G671" s="43" t="s">
        <v>834</v>
      </c>
      <c r="H671" s="67">
        <v>7912</v>
      </c>
      <c r="I671" s="43"/>
    </row>
    <row r="672" spans="1:9" ht="15.5" x14ac:dyDescent="0.35">
      <c r="A672" s="13">
        <v>43234</v>
      </c>
      <c r="B672" s="61" t="s">
        <v>54</v>
      </c>
      <c r="C672" s="43" t="s">
        <v>816</v>
      </c>
      <c r="D672" s="43">
        <v>31400</v>
      </c>
      <c r="E672" s="43"/>
      <c r="F672" s="43" t="s">
        <v>822</v>
      </c>
      <c r="G672" s="43" t="s">
        <v>823</v>
      </c>
      <c r="H672" s="67">
        <v>7970</v>
      </c>
      <c r="I672" s="43">
        <v>99</v>
      </c>
    </row>
    <row r="673" spans="1:9" ht="15.5" x14ac:dyDescent="0.35">
      <c r="A673" s="13">
        <v>43234</v>
      </c>
      <c r="B673" s="61" t="s">
        <v>55</v>
      </c>
      <c r="C673" s="43" t="s">
        <v>749</v>
      </c>
      <c r="D673" s="43">
        <v>39300</v>
      </c>
      <c r="E673" s="43"/>
      <c r="F673" s="43" t="s">
        <v>824</v>
      </c>
      <c r="G673" s="43" t="s">
        <v>825</v>
      </c>
      <c r="H673" s="67">
        <v>7940</v>
      </c>
      <c r="I673" s="43"/>
    </row>
    <row r="674" spans="1:9" ht="15.5" x14ac:dyDescent="0.35">
      <c r="A674" s="13">
        <v>43234</v>
      </c>
      <c r="B674" s="61" t="s">
        <v>93</v>
      </c>
      <c r="C674" s="43" t="s">
        <v>816</v>
      </c>
      <c r="D674" s="43">
        <v>31600</v>
      </c>
      <c r="E674" s="43"/>
      <c r="F674" s="43" t="s">
        <v>826</v>
      </c>
      <c r="G674" s="43" t="s">
        <v>827</v>
      </c>
      <c r="H674" s="67">
        <v>7967</v>
      </c>
      <c r="I674" s="43">
        <v>97</v>
      </c>
    </row>
    <row r="675" spans="1:9" ht="15.5" x14ac:dyDescent="0.35">
      <c r="A675" s="13">
        <v>43234</v>
      </c>
      <c r="B675" s="61" t="s">
        <v>77</v>
      </c>
      <c r="C675" s="43" t="s">
        <v>749</v>
      </c>
      <c r="D675" s="43">
        <v>39100</v>
      </c>
      <c r="E675" s="43"/>
      <c r="F675" s="43" t="s">
        <v>828</v>
      </c>
      <c r="G675" s="43" t="s">
        <v>829</v>
      </c>
      <c r="H675" s="67">
        <v>7929</v>
      </c>
      <c r="I675" s="43"/>
    </row>
    <row r="676" spans="1:9" ht="15.5" x14ac:dyDescent="0.35">
      <c r="A676" s="13">
        <v>43234</v>
      </c>
      <c r="B676" s="61" t="s">
        <v>56</v>
      </c>
      <c r="C676" s="43" t="s">
        <v>816</v>
      </c>
      <c r="D676" s="43">
        <v>32100</v>
      </c>
      <c r="E676" s="43"/>
      <c r="F676" s="43" t="s">
        <v>818</v>
      </c>
      <c r="G676" s="43" t="s">
        <v>819</v>
      </c>
      <c r="H676" s="67">
        <v>7976</v>
      </c>
      <c r="I676" s="43">
        <v>96</v>
      </c>
    </row>
    <row r="677" spans="1:9" ht="15.5" x14ac:dyDescent="0.35">
      <c r="A677" s="13">
        <v>43234</v>
      </c>
      <c r="B677" s="61" t="s">
        <v>57</v>
      </c>
      <c r="C677" s="43" t="s">
        <v>820</v>
      </c>
      <c r="D677" s="43">
        <v>35900</v>
      </c>
      <c r="E677" s="43"/>
      <c r="F677" s="43">
        <v>38</v>
      </c>
      <c r="G677" s="43" t="s">
        <v>821</v>
      </c>
      <c r="H677" s="67">
        <v>7923</v>
      </c>
      <c r="I677" s="43"/>
    </row>
    <row r="678" spans="1:9" s="4" customFormat="1" ht="15.5" x14ac:dyDescent="0.35">
      <c r="A678" s="3">
        <v>43234</v>
      </c>
      <c r="B678" s="62" t="s">
        <v>20</v>
      </c>
      <c r="C678" s="68" t="s">
        <v>763</v>
      </c>
      <c r="D678" s="68">
        <v>25600</v>
      </c>
      <c r="E678" s="68"/>
      <c r="F678" s="68" t="s">
        <v>807</v>
      </c>
      <c r="G678" s="68" t="s">
        <v>808</v>
      </c>
      <c r="H678" s="69">
        <v>8028</v>
      </c>
      <c r="I678" s="68"/>
    </row>
    <row r="679" spans="1:9" ht="15.5" x14ac:dyDescent="0.35">
      <c r="A679" s="13">
        <v>43242</v>
      </c>
      <c r="B679" s="61" t="s">
        <v>192</v>
      </c>
      <c r="C679" s="43" t="s">
        <v>815</v>
      </c>
      <c r="D679" s="43">
        <v>2080</v>
      </c>
      <c r="E679" s="43"/>
      <c r="F679" s="43" t="s">
        <v>869</v>
      </c>
      <c r="G679" s="43" t="s">
        <v>870</v>
      </c>
      <c r="H679" s="67">
        <v>8454</v>
      </c>
      <c r="I679" s="43"/>
    </row>
    <row r="680" spans="1:9" ht="15.5" x14ac:dyDescent="0.35">
      <c r="A680" s="13">
        <v>43242</v>
      </c>
      <c r="B680" s="61" t="s">
        <v>46</v>
      </c>
      <c r="C680" s="43" t="s">
        <v>866</v>
      </c>
      <c r="D680" s="43">
        <v>25000</v>
      </c>
      <c r="E680" s="43"/>
      <c r="F680" s="43" t="s">
        <v>867</v>
      </c>
      <c r="G680" s="43">
        <v>6</v>
      </c>
      <c r="H680" s="67">
        <v>7955</v>
      </c>
      <c r="I680" s="43">
        <v>110</v>
      </c>
    </row>
    <row r="681" spans="1:9" ht="15.5" x14ac:dyDescent="0.35">
      <c r="A681" s="13">
        <v>43242</v>
      </c>
      <c r="B681" s="61" t="s">
        <v>47</v>
      </c>
      <c r="C681" s="43">
        <v>16</v>
      </c>
      <c r="D681" s="43">
        <v>33800</v>
      </c>
      <c r="E681" s="43"/>
      <c r="F681" s="43">
        <v>14</v>
      </c>
      <c r="G681" s="43" t="s">
        <v>868</v>
      </c>
      <c r="H681" s="67">
        <v>7671</v>
      </c>
      <c r="I681" s="43"/>
    </row>
    <row r="682" spans="1:9" ht="15.5" x14ac:dyDescent="0.35">
      <c r="A682" s="13">
        <v>43242</v>
      </c>
      <c r="B682" s="61" t="s">
        <v>89</v>
      </c>
      <c r="C682" s="43" t="s">
        <v>719</v>
      </c>
      <c r="D682" s="43">
        <v>24400</v>
      </c>
      <c r="E682" s="43"/>
      <c r="F682" s="43" t="s">
        <v>822</v>
      </c>
      <c r="G682" s="43">
        <v>6</v>
      </c>
      <c r="H682" s="67">
        <v>7994</v>
      </c>
      <c r="I682" s="43"/>
    </row>
    <row r="683" spans="1:9" ht="15.5" x14ac:dyDescent="0.35">
      <c r="A683" s="13">
        <v>43242</v>
      </c>
      <c r="B683" s="61" t="s">
        <v>90</v>
      </c>
      <c r="C683" s="43" t="s">
        <v>719</v>
      </c>
      <c r="D683" s="43">
        <v>25300</v>
      </c>
      <c r="E683" s="43"/>
      <c r="F683" s="43" t="s">
        <v>864</v>
      </c>
      <c r="G683" s="43" t="s">
        <v>865</v>
      </c>
      <c r="H683" s="67">
        <v>7669</v>
      </c>
      <c r="I683" s="43"/>
    </row>
    <row r="684" spans="1:9" ht="15.5" x14ac:dyDescent="0.35">
      <c r="A684" s="13">
        <v>43242</v>
      </c>
      <c r="B684" s="61" t="s">
        <v>48</v>
      </c>
      <c r="C684" s="43" t="s">
        <v>746</v>
      </c>
      <c r="D684" s="43">
        <v>24800</v>
      </c>
      <c r="E684" s="43"/>
      <c r="F684" s="43">
        <v>57</v>
      </c>
      <c r="G684" s="43" t="s">
        <v>861</v>
      </c>
      <c r="H684" s="67">
        <v>7925</v>
      </c>
      <c r="I684" s="43">
        <v>117</v>
      </c>
    </row>
    <row r="685" spans="1:9" ht="15.5" x14ac:dyDescent="0.35">
      <c r="A685" s="13">
        <v>43242</v>
      </c>
      <c r="B685" s="61" t="s">
        <v>49</v>
      </c>
      <c r="C685" s="43">
        <v>16</v>
      </c>
      <c r="D685" s="43">
        <v>34000</v>
      </c>
      <c r="E685" s="43"/>
      <c r="F685" s="43" t="s">
        <v>862</v>
      </c>
      <c r="G685" s="43" t="s">
        <v>863</v>
      </c>
      <c r="H685" s="67">
        <v>7664</v>
      </c>
      <c r="I685" s="43"/>
    </row>
    <row r="686" spans="1:9" ht="15.5" x14ac:dyDescent="0.35">
      <c r="A686" s="13">
        <v>43242</v>
      </c>
      <c r="B686" s="61" t="s">
        <v>50</v>
      </c>
      <c r="C686" s="43" t="s">
        <v>812</v>
      </c>
      <c r="D686" s="43">
        <v>27700</v>
      </c>
      <c r="E686" s="43"/>
      <c r="F686" s="43" t="s">
        <v>878</v>
      </c>
      <c r="G686" s="43" t="s">
        <v>879</v>
      </c>
      <c r="H686" s="67">
        <v>7975</v>
      </c>
      <c r="I686" s="43">
        <v>131</v>
      </c>
    </row>
    <row r="687" spans="1:9" ht="15.5" x14ac:dyDescent="0.35">
      <c r="A687" s="13">
        <v>43242</v>
      </c>
      <c r="B687" s="61" t="s">
        <v>51</v>
      </c>
      <c r="C687" s="43" t="s">
        <v>751</v>
      </c>
      <c r="D687" s="43">
        <v>33200</v>
      </c>
      <c r="E687" s="43"/>
      <c r="F687" s="43" t="s">
        <v>816</v>
      </c>
      <c r="G687" s="43" t="s">
        <v>880</v>
      </c>
      <c r="H687" s="67">
        <v>7650</v>
      </c>
      <c r="I687" s="43"/>
    </row>
    <row r="688" spans="1:9" ht="15.5" x14ac:dyDescent="0.35">
      <c r="A688" s="13">
        <v>43242</v>
      </c>
      <c r="B688" s="61" t="s">
        <v>91</v>
      </c>
      <c r="C688" s="43" t="s">
        <v>874</v>
      </c>
      <c r="D688" s="43">
        <v>28000</v>
      </c>
      <c r="E688" s="43"/>
      <c r="F688" s="43" t="s">
        <v>875</v>
      </c>
      <c r="G688" s="43" t="s">
        <v>876</v>
      </c>
      <c r="H688" s="67">
        <v>7973</v>
      </c>
      <c r="I688" s="43"/>
    </row>
    <row r="689" spans="1:9" ht="15.5" x14ac:dyDescent="0.35">
      <c r="A689" s="13">
        <v>43242</v>
      </c>
      <c r="B689" s="61" t="s">
        <v>92</v>
      </c>
      <c r="C689" s="43" t="s">
        <v>866</v>
      </c>
      <c r="D689" s="43">
        <v>34300</v>
      </c>
      <c r="E689" s="43"/>
      <c r="F689" s="43">
        <v>11</v>
      </c>
      <c r="G689" s="43" t="s">
        <v>877</v>
      </c>
      <c r="H689" s="67">
        <v>7657</v>
      </c>
      <c r="I689" s="43"/>
    </row>
    <row r="690" spans="1:9" ht="15.5" x14ac:dyDescent="0.35">
      <c r="A690" s="13">
        <v>43242</v>
      </c>
      <c r="B690" s="61" t="s">
        <v>52</v>
      </c>
      <c r="C690" s="43" t="s">
        <v>812</v>
      </c>
      <c r="D690" s="43">
        <v>27700</v>
      </c>
      <c r="E690" s="43"/>
      <c r="F690" s="43" t="s">
        <v>871</v>
      </c>
      <c r="G690" s="43" t="s">
        <v>872</v>
      </c>
      <c r="H690" s="67">
        <v>7980</v>
      </c>
      <c r="I690" s="43">
        <v>125</v>
      </c>
    </row>
    <row r="691" spans="1:9" ht="15.5" x14ac:dyDescent="0.35">
      <c r="A691" s="13">
        <v>43242</v>
      </c>
      <c r="B691" s="61" t="s">
        <v>53</v>
      </c>
      <c r="C691" s="43" t="s">
        <v>866</v>
      </c>
      <c r="D691" s="43">
        <v>33800</v>
      </c>
      <c r="E691" s="43"/>
      <c r="F691" s="43">
        <v>12</v>
      </c>
      <c r="G691" s="43" t="s">
        <v>873</v>
      </c>
      <c r="H691" s="67">
        <v>7633</v>
      </c>
      <c r="I691" s="43"/>
    </row>
    <row r="692" spans="1:9" ht="15.5" x14ac:dyDescent="0.35">
      <c r="A692" s="13">
        <v>43242</v>
      </c>
      <c r="B692" s="61" t="s">
        <v>54</v>
      </c>
      <c r="C692" s="43" t="s">
        <v>888</v>
      </c>
      <c r="D692" s="43">
        <v>28700</v>
      </c>
      <c r="E692" s="43"/>
      <c r="F692" s="43" t="s">
        <v>889</v>
      </c>
      <c r="G692" s="43">
        <v>3</v>
      </c>
      <c r="H692" s="67">
        <v>7961</v>
      </c>
      <c r="I692" s="43">
        <v>136</v>
      </c>
    </row>
    <row r="693" spans="1:9" ht="15.5" x14ac:dyDescent="0.35">
      <c r="A693" s="13">
        <v>43242</v>
      </c>
      <c r="B693" s="61" t="s">
        <v>55</v>
      </c>
      <c r="C693" s="43" t="s">
        <v>890</v>
      </c>
      <c r="D693" s="43">
        <v>33500</v>
      </c>
      <c r="E693" s="43"/>
      <c r="F693" s="43" t="s">
        <v>891</v>
      </c>
      <c r="G693" s="43" t="s">
        <v>887</v>
      </c>
      <c r="H693" s="67">
        <v>7669</v>
      </c>
      <c r="I693" s="43"/>
    </row>
    <row r="694" spans="1:9" ht="15.5" x14ac:dyDescent="0.35">
      <c r="A694" s="13">
        <v>43242</v>
      </c>
      <c r="B694" s="61" t="s">
        <v>93</v>
      </c>
      <c r="C694" s="43" t="s">
        <v>809</v>
      </c>
      <c r="D694" s="43">
        <v>28800</v>
      </c>
      <c r="E694" s="43"/>
      <c r="F694" s="43" t="s">
        <v>884</v>
      </c>
      <c r="G694" s="43" t="s">
        <v>885</v>
      </c>
      <c r="H694" s="67">
        <v>7960</v>
      </c>
      <c r="I694" s="43">
        <v>134</v>
      </c>
    </row>
    <row r="695" spans="1:9" ht="15.5" x14ac:dyDescent="0.35">
      <c r="A695" s="13">
        <v>43242</v>
      </c>
      <c r="B695" s="61" t="s">
        <v>77</v>
      </c>
      <c r="C695" s="43">
        <v>17</v>
      </c>
      <c r="D695" s="43">
        <v>34200</v>
      </c>
      <c r="E695" s="43"/>
      <c r="F695" s="43" t="s">
        <v>886</v>
      </c>
      <c r="G695" s="43" t="s">
        <v>887</v>
      </c>
      <c r="H695" s="67">
        <v>7657</v>
      </c>
      <c r="I695" s="43"/>
    </row>
    <row r="696" spans="1:9" ht="15.5" x14ac:dyDescent="0.35">
      <c r="A696" s="13">
        <v>43242</v>
      </c>
      <c r="B696" s="61" t="s">
        <v>56</v>
      </c>
      <c r="C696" s="43" t="s">
        <v>812</v>
      </c>
      <c r="D696" s="43">
        <v>28500</v>
      </c>
      <c r="E696" s="43"/>
      <c r="F696" s="43">
        <v>72</v>
      </c>
      <c r="G696" s="43" t="s">
        <v>879</v>
      </c>
      <c r="H696" s="67">
        <v>7969</v>
      </c>
      <c r="I696" s="43">
        <v>136</v>
      </c>
    </row>
    <row r="697" spans="1:9" s="4" customFormat="1" ht="15.5" x14ac:dyDescent="0.35">
      <c r="A697" s="3">
        <v>43242</v>
      </c>
      <c r="B697" s="62" t="s">
        <v>57</v>
      </c>
      <c r="C697" s="68" t="s">
        <v>881</v>
      </c>
      <c r="D697" s="68">
        <v>33900</v>
      </c>
      <c r="E697" s="68"/>
      <c r="F697" s="68" t="s">
        <v>882</v>
      </c>
      <c r="G697" s="68" t="s">
        <v>883</v>
      </c>
      <c r="H697" s="69">
        <v>7734</v>
      </c>
      <c r="I697" s="68"/>
    </row>
    <row r="698" spans="1:9" ht="15.5" x14ac:dyDescent="0.35">
      <c r="A698" s="13">
        <v>43248</v>
      </c>
      <c r="B698" s="61" t="s">
        <v>192</v>
      </c>
      <c r="C698" s="74" t="s">
        <v>892</v>
      </c>
      <c r="D698" s="74">
        <v>2010</v>
      </c>
      <c r="E698" s="43"/>
      <c r="F698" s="74" t="s">
        <v>893</v>
      </c>
      <c r="G698" s="74" t="s">
        <v>772</v>
      </c>
      <c r="H698" s="67">
        <v>8536</v>
      </c>
      <c r="I698" s="43"/>
    </row>
    <row r="699" spans="1:9" ht="15.5" x14ac:dyDescent="0.35">
      <c r="A699" s="13">
        <v>43248</v>
      </c>
      <c r="B699" s="61" t="s">
        <v>46</v>
      </c>
      <c r="C699" s="43" t="s">
        <v>903</v>
      </c>
      <c r="D699" s="43">
        <v>2220</v>
      </c>
      <c r="E699" s="43"/>
      <c r="F699" s="43" t="s">
        <v>922</v>
      </c>
      <c r="G699" s="43" t="s">
        <v>923</v>
      </c>
      <c r="H699" s="67">
        <v>8269</v>
      </c>
      <c r="I699" s="43"/>
    </row>
    <row r="700" spans="1:9" ht="15.5" x14ac:dyDescent="0.35">
      <c r="A700" s="13">
        <v>43248</v>
      </c>
      <c r="B700" s="61" t="s">
        <v>47</v>
      </c>
      <c r="C700" s="43" t="s">
        <v>920</v>
      </c>
      <c r="D700" s="43">
        <v>2510</v>
      </c>
      <c r="E700" s="43"/>
      <c r="F700" s="43" t="s">
        <v>924</v>
      </c>
      <c r="G700" s="43" t="s">
        <v>925</v>
      </c>
      <c r="H700" s="67">
        <v>8372</v>
      </c>
      <c r="I700" s="43"/>
    </row>
    <row r="701" spans="1:9" ht="15.5" x14ac:dyDescent="0.35">
      <c r="A701" s="13">
        <v>43248</v>
      </c>
      <c r="B701" s="61" t="s">
        <v>89</v>
      </c>
      <c r="C701" s="43" t="s">
        <v>928</v>
      </c>
      <c r="D701" s="43">
        <v>2500</v>
      </c>
      <c r="E701" s="43"/>
      <c r="F701" s="43" t="s">
        <v>929</v>
      </c>
      <c r="G701" s="43" t="s">
        <v>930</v>
      </c>
      <c r="H701" s="67">
        <v>8418</v>
      </c>
      <c r="I701" s="43"/>
    </row>
    <row r="702" spans="1:9" ht="15.5" x14ac:dyDescent="0.35">
      <c r="A702" s="13">
        <v>43248</v>
      </c>
      <c r="B702" s="61" t="s">
        <v>90</v>
      </c>
      <c r="C702" s="43" t="s">
        <v>894</v>
      </c>
      <c r="D702" s="43">
        <v>2500</v>
      </c>
      <c r="E702" s="43"/>
      <c r="F702" s="43">
        <v>118</v>
      </c>
      <c r="G702" s="43" t="s">
        <v>931</v>
      </c>
      <c r="H702" s="67">
        <v>8387</v>
      </c>
      <c r="I702" s="43">
        <v>70</v>
      </c>
    </row>
    <row r="703" spans="1:9" ht="15.5" x14ac:dyDescent="0.35">
      <c r="A703" s="13">
        <v>43248</v>
      </c>
      <c r="B703" s="61" t="s">
        <v>48</v>
      </c>
      <c r="C703" s="43" t="s">
        <v>903</v>
      </c>
      <c r="D703" s="43">
        <v>2420</v>
      </c>
      <c r="E703" s="43"/>
      <c r="F703" s="43">
        <v>119</v>
      </c>
      <c r="G703" s="43" t="s">
        <v>724</v>
      </c>
      <c r="H703" s="67">
        <v>8380</v>
      </c>
      <c r="I703" s="43"/>
    </row>
    <row r="704" spans="1:9" ht="15.5" x14ac:dyDescent="0.35">
      <c r="A704" s="13">
        <v>43248</v>
      </c>
      <c r="B704" s="61" t="s">
        <v>49</v>
      </c>
      <c r="C704" s="43" t="s">
        <v>920</v>
      </c>
      <c r="D704" s="43">
        <v>2500</v>
      </c>
      <c r="E704" s="43"/>
      <c r="F704" s="43" t="s">
        <v>926</v>
      </c>
      <c r="G704" s="43" t="s">
        <v>927</v>
      </c>
      <c r="H704" s="67">
        <v>8384</v>
      </c>
      <c r="I704" s="43"/>
    </row>
    <row r="705" spans="1:9" ht="15.5" x14ac:dyDescent="0.35">
      <c r="A705" s="13">
        <v>43248</v>
      </c>
      <c r="B705" s="61" t="s">
        <v>50</v>
      </c>
      <c r="C705" s="43" t="s">
        <v>909</v>
      </c>
      <c r="D705" s="43">
        <v>2620</v>
      </c>
      <c r="E705" s="43"/>
      <c r="F705" s="43" t="s">
        <v>910</v>
      </c>
      <c r="G705" s="43" t="s">
        <v>911</v>
      </c>
      <c r="H705" s="67">
        <v>8430</v>
      </c>
      <c r="I705" s="43"/>
    </row>
    <row r="706" spans="1:9" ht="15.5" x14ac:dyDescent="0.35">
      <c r="A706" s="13">
        <v>43248</v>
      </c>
      <c r="B706" s="61" t="s">
        <v>51</v>
      </c>
      <c r="C706" s="43" t="s">
        <v>906</v>
      </c>
      <c r="D706" s="43">
        <v>2910</v>
      </c>
      <c r="E706" s="43"/>
      <c r="F706" s="43" t="s">
        <v>912</v>
      </c>
      <c r="G706" s="43" t="s">
        <v>743</v>
      </c>
      <c r="H706" s="67">
        <v>8226</v>
      </c>
      <c r="I706" s="43"/>
    </row>
    <row r="707" spans="1:9" ht="15.5" x14ac:dyDescent="0.35">
      <c r="A707" s="13">
        <v>43248</v>
      </c>
      <c r="B707" s="61" t="s">
        <v>91</v>
      </c>
      <c r="C707" s="43" t="s">
        <v>903</v>
      </c>
      <c r="D707" s="43">
        <v>2660</v>
      </c>
      <c r="E707" s="43"/>
      <c r="F707" s="43" t="s">
        <v>918</v>
      </c>
      <c r="G707" s="43" t="s">
        <v>919</v>
      </c>
      <c r="H707" s="67">
        <v>8421</v>
      </c>
      <c r="I707" s="43">
        <v>80</v>
      </c>
    </row>
    <row r="708" spans="1:9" ht="15.5" x14ac:dyDescent="0.35">
      <c r="A708" s="13">
        <v>43248</v>
      </c>
      <c r="B708" s="61" t="s">
        <v>92</v>
      </c>
      <c r="C708" s="43" t="s">
        <v>920</v>
      </c>
      <c r="D708" s="43">
        <v>2920</v>
      </c>
      <c r="E708" s="43"/>
      <c r="F708" s="43">
        <v>98</v>
      </c>
      <c r="G708" s="43" t="s">
        <v>916</v>
      </c>
      <c r="H708" s="43" t="s">
        <v>921</v>
      </c>
      <c r="I708" s="43"/>
    </row>
    <row r="709" spans="1:9" ht="15.5" x14ac:dyDescent="0.35">
      <c r="A709" s="13">
        <v>43248</v>
      </c>
      <c r="B709" s="61" t="s">
        <v>52</v>
      </c>
      <c r="C709" s="43" t="s">
        <v>903</v>
      </c>
      <c r="D709" s="43">
        <v>2630</v>
      </c>
      <c r="E709" s="43"/>
      <c r="F709" s="43" t="s">
        <v>913</v>
      </c>
      <c r="G709" s="43" t="s">
        <v>914</v>
      </c>
      <c r="H709" s="67">
        <v>8416</v>
      </c>
      <c r="I709" s="43"/>
    </row>
    <row r="710" spans="1:9" ht="15.5" x14ac:dyDescent="0.35">
      <c r="A710" s="13">
        <v>43248</v>
      </c>
      <c r="B710" s="61" t="s">
        <v>53</v>
      </c>
      <c r="C710" s="43" t="s">
        <v>915</v>
      </c>
      <c r="D710" s="43">
        <v>2750</v>
      </c>
      <c r="E710" s="43"/>
      <c r="F710" s="43" t="s">
        <v>875</v>
      </c>
      <c r="G710" s="43" t="s">
        <v>917</v>
      </c>
      <c r="H710" s="67">
        <v>8228</v>
      </c>
      <c r="I710" s="43"/>
    </row>
    <row r="711" spans="1:9" ht="15.5" x14ac:dyDescent="0.35">
      <c r="A711" s="13">
        <v>43248</v>
      </c>
      <c r="B711" s="61" t="s">
        <v>54</v>
      </c>
      <c r="C711" s="43" t="s">
        <v>894</v>
      </c>
      <c r="D711" s="43">
        <v>2630</v>
      </c>
      <c r="E711" s="43"/>
      <c r="F711" s="43" t="s">
        <v>895</v>
      </c>
      <c r="G711" s="43" t="s">
        <v>896</v>
      </c>
      <c r="H711" s="67">
        <v>8388</v>
      </c>
      <c r="I711" s="43"/>
    </row>
    <row r="712" spans="1:9" ht="15.5" x14ac:dyDescent="0.35">
      <c r="A712" s="13">
        <v>43248</v>
      </c>
      <c r="B712" s="61" t="s">
        <v>55</v>
      </c>
      <c r="C712" s="43">
        <v>20</v>
      </c>
      <c r="D712" s="43">
        <v>3340</v>
      </c>
      <c r="E712" s="43"/>
      <c r="F712" s="43" t="s">
        <v>897</v>
      </c>
      <c r="G712" s="43" t="s">
        <v>898</v>
      </c>
      <c r="H712" s="43" t="s">
        <v>743</v>
      </c>
      <c r="I712" s="43"/>
    </row>
    <row r="713" spans="1:9" ht="15.5" x14ac:dyDescent="0.35">
      <c r="A713" s="13">
        <v>43248</v>
      </c>
      <c r="B713" s="61" t="s">
        <v>93</v>
      </c>
      <c r="C713" s="43" t="s">
        <v>903</v>
      </c>
      <c r="D713" s="43">
        <v>2630</v>
      </c>
      <c r="E713" s="43"/>
      <c r="F713" s="43" t="s">
        <v>904</v>
      </c>
      <c r="G713" s="43" t="s">
        <v>905</v>
      </c>
      <c r="H713" s="67">
        <v>8410</v>
      </c>
      <c r="I713" s="43">
        <v>80</v>
      </c>
    </row>
    <row r="714" spans="1:9" ht="15.5" x14ac:dyDescent="0.35">
      <c r="A714" s="13">
        <v>43248</v>
      </c>
      <c r="B714" s="61" t="s">
        <v>77</v>
      </c>
      <c r="C714" s="43" t="s">
        <v>906</v>
      </c>
      <c r="D714" s="43">
        <v>3100</v>
      </c>
      <c r="E714" s="43"/>
      <c r="F714" s="43" t="s">
        <v>907</v>
      </c>
      <c r="G714" s="43" t="s">
        <v>908</v>
      </c>
      <c r="H714" s="67">
        <v>8251</v>
      </c>
      <c r="I714" s="43"/>
    </row>
    <row r="715" spans="1:9" ht="15.5" x14ac:dyDescent="0.35">
      <c r="A715" s="13">
        <v>43248</v>
      </c>
      <c r="B715" s="61" t="s">
        <v>56</v>
      </c>
      <c r="C715" s="43" t="s">
        <v>894</v>
      </c>
      <c r="D715" s="43">
        <v>2560</v>
      </c>
      <c r="E715" s="43"/>
      <c r="F715" s="43" t="s">
        <v>899</v>
      </c>
      <c r="G715" s="43">
        <v>11</v>
      </c>
      <c r="H715" s="67">
        <v>8401</v>
      </c>
      <c r="I715" s="43"/>
    </row>
    <row r="716" spans="1:9" s="4" customFormat="1" ht="15.5" x14ac:dyDescent="0.35">
      <c r="A716" s="3">
        <v>43248</v>
      </c>
      <c r="B716" s="62" t="s">
        <v>57</v>
      </c>
      <c r="C716" s="68" t="s">
        <v>900</v>
      </c>
      <c r="D716" s="68">
        <v>2850</v>
      </c>
      <c r="E716" s="68"/>
      <c r="F716" s="68" t="s">
        <v>901</v>
      </c>
      <c r="G716" s="68" t="s">
        <v>902</v>
      </c>
      <c r="H716" s="69">
        <v>8121</v>
      </c>
      <c r="I716" s="6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03"/>
  <sheetViews>
    <sheetView topLeftCell="A463" zoomScaleNormal="100" workbookViewId="0">
      <selection activeCell="J406" sqref="J406"/>
    </sheetView>
  </sheetViews>
  <sheetFormatPr defaultRowHeight="14.5" x14ac:dyDescent="0.35"/>
  <cols>
    <col min="1" max="1" width="28.81640625" customWidth="1"/>
    <col min="2" max="9" width="17.7265625" customWidth="1"/>
    <col min="10" max="26" width="16.54296875" customWidth="1"/>
    <col min="31" max="31" width="17.26953125" customWidth="1"/>
    <col min="32" max="32" width="12.7265625" customWidth="1"/>
  </cols>
  <sheetData>
    <row r="1" spans="1:55" x14ac:dyDescent="0.35">
      <c r="A1" t="s">
        <v>0</v>
      </c>
      <c r="B1" t="s">
        <v>2</v>
      </c>
      <c r="AE1" s="5"/>
      <c r="AF1" s="5"/>
      <c r="AG1" s="5"/>
      <c r="AH1" s="5"/>
      <c r="AI1" s="5"/>
    </row>
    <row r="2" spans="1:55" ht="15.5" x14ac:dyDescent="0.35">
      <c r="B2" t="s">
        <v>136</v>
      </c>
      <c r="I2" t="s">
        <v>134</v>
      </c>
      <c r="P2" t="s">
        <v>135</v>
      </c>
      <c r="AE2" s="13"/>
      <c r="AF2" s="9"/>
      <c r="AG2" s="5"/>
      <c r="AH2" s="5"/>
      <c r="AI2" s="5"/>
    </row>
    <row r="3" spans="1:55" ht="15.5" x14ac:dyDescent="0.35">
      <c r="B3" s="9" t="s">
        <v>128</v>
      </c>
      <c r="C3" s="9" t="s">
        <v>129</v>
      </c>
      <c r="D3" s="9" t="s">
        <v>130</v>
      </c>
      <c r="E3" s="9" t="s">
        <v>131</v>
      </c>
      <c r="F3" s="9" t="s">
        <v>132</v>
      </c>
      <c r="G3" s="9" t="s">
        <v>133</v>
      </c>
      <c r="I3" s="9" t="s">
        <v>128</v>
      </c>
      <c r="J3" s="9" t="s">
        <v>129</v>
      </c>
      <c r="K3" s="9" t="s">
        <v>130</v>
      </c>
      <c r="L3" s="9" t="s">
        <v>131</v>
      </c>
      <c r="M3" s="9" t="s">
        <v>132</v>
      </c>
      <c r="N3" s="9" t="s">
        <v>133</v>
      </c>
      <c r="P3" s="9" t="s">
        <v>128</v>
      </c>
      <c r="Q3" s="9" t="s">
        <v>129</v>
      </c>
      <c r="R3" s="9" t="s">
        <v>130</v>
      </c>
      <c r="S3" s="9" t="s">
        <v>131</v>
      </c>
      <c r="T3" s="9" t="s">
        <v>132</v>
      </c>
      <c r="U3" s="9" t="s">
        <v>133</v>
      </c>
      <c r="W3" s="9" t="s">
        <v>6</v>
      </c>
      <c r="X3" s="9" t="s">
        <v>7</v>
      </c>
      <c r="Z3" s="9" t="s">
        <v>20</v>
      </c>
      <c r="AE3" s="13"/>
      <c r="AF3" s="9"/>
      <c r="AG3" s="5" t="s">
        <v>597</v>
      </c>
      <c r="AH3" s="5" t="s">
        <v>598</v>
      </c>
      <c r="AI3" s="5" t="s">
        <v>599</v>
      </c>
      <c r="AJ3" s="10" t="s">
        <v>600</v>
      </c>
      <c r="AK3" s="10" t="s">
        <v>601</v>
      </c>
      <c r="AL3" s="10" t="s">
        <v>602</v>
      </c>
      <c r="AM3" s="10" t="s">
        <v>603</v>
      </c>
      <c r="BA3" t="s">
        <v>591</v>
      </c>
      <c r="BB3" t="s">
        <v>592</v>
      </c>
      <c r="BC3" t="s">
        <v>593</v>
      </c>
    </row>
    <row r="4" spans="1:55" ht="15.5" x14ac:dyDescent="0.35">
      <c r="A4" s="13">
        <v>42433</v>
      </c>
      <c r="B4" s="5">
        <v>6.06</v>
      </c>
      <c r="C4" s="5">
        <v>5.92</v>
      </c>
      <c r="D4" s="9"/>
      <c r="E4" s="9"/>
      <c r="F4" s="5">
        <v>6.2</v>
      </c>
      <c r="G4" s="5">
        <v>5.98</v>
      </c>
      <c r="H4" s="9"/>
      <c r="I4" s="5">
        <v>6</v>
      </c>
      <c r="J4" s="5">
        <v>5.86</v>
      </c>
      <c r="K4" s="5"/>
      <c r="L4" s="5"/>
      <c r="M4" s="5">
        <v>6.14</v>
      </c>
      <c r="N4" s="5">
        <v>5.83</v>
      </c>
      <c r="P4" s="5">
        <v>6.24</v>
      </c>
      <c r="Q4" s="5">
        <v>5.9</v>
      </c>
      <c r="T4" s="5">
        <v>6.32</v>
      </c>
      <c r="U4" s="5">
        <v>6.2</v>
      </c>
      <c r="X4" s="5"/>
      <c r="Y4" s="5"/>
      <c r="AC4" s="7">
        <f>AVERAGE(B4:U4)</f>
        <v>6.0541666666666671</v>
      </c>
      <c r="AE4" s="13"/>
      <c r="AF4" s="13">
        <v>42433</v>
      </c>
      <c r="AG4" s="38">
        <f>AVERAGE(B4,D4,F4)</f>
        <v>6.13</v>
      </c>
      <c r="AH4" s="38">
        <f>AVERAGE(C4,E4,G4)</f>
        <v>5.95</v>
      </c>
      <c r="AI4" s="38">
        <f>AVERAGE(I4,K4,M4)</f>
        <v>6.07</v>
      </c>
      <c r="AJ4" s="7">
        <f>AVERAGE(J4,L4,N4)</f>
        <v>5.8450000000000006</v>
      </c>
      <c r="AK4" s="7">
        <f>AVERAGE(P4,R4,T4)</f>
        <v>6.28</v>
      </c>
      <c r="AL4" s="7">
        <f>AVERAGE(Q4,S4,U4)</f>
        <v>6.0500000000000007</v>
      </c>
      <c r="BA4" s="7">
        <f>AVERAGE(B4,D4,F4,I4,K4,M4,P4,R4,T4)</f>
        <v>6.16</v>
      </c>
      <c r="BB4" s="7">
        <f>AVERAGE(C4,E4,G4,J4,L4,N4,Q4,S4,U4)</f>
        <v>5.9483333333333341</v>
      </c>
    </row>
    <row r="5" spans="1:55" ht="15.5" x14ac:dyDescent="0.35">
      <c r="A5" s="13">
        <v>42440</v>
      </c>
      <c r="B5" s="5">
        <v>6.6</v>
      </c>
      <c r="C5" s="5">
        <v>6.42</v>
      </c>
      <c r="F5" s="5">
        <v>6.6</v>
      </c>
      <c r="G5" s="5">
        <v>6.35</v>
      </c>
      <c r="H5" s="9"/>
      <c r="I5" s="5">
        <v>6.6</v>
      </c>
      <c r="J5" s="5">
        <v>6.4</v>
      </c>
      <c r="K5" s="5"/>
      <c r="L5" s="5"/>
      <c r="M5" s="5">
        <v>6.67</v>
      </c>
      <c r="N5" s="5">
        <v>6.41</v>
      </c>
      <c r="P5" s="5">
        <v>6.65</v>
      </c>
      <c r="Q5" s="5">
        <v>6.42</v>
      </c>
      <c r="T5" s="5">
        <v>6.55</v>
      </c>
      <c r="U5" s="5">
        <v>6.42</v>
      </c>
      <c r="W5" s="5">
        <v>6.43</v>
      </c>
      <c r="X5" s="5">
        <v>6.77</v>
      </c>
      <c r="Y5" s="5"/>
      <c r="Z5" s="5">
        <v>6.82</v>
      </c>
      <c r="AC5" s="7">
        <f t="shared" ref="AC5:AC14" si="0">AVERAGE(B5:U5)</f>
        <v>6.5074999999999994</v>
      </c>
      <c r="AE5" s="13"/>
      <c r="AF5" s="13">
        <v>42440</v>
      </c>
      <c r="AG5" s="38">
        <f t="shared" ref="AG5:AG14" si="1">AVERAGE(B5,D5,F5)</f>
        <v>6.6</v>
      </c>
      <c r="AH5" s="38">
        <f t="shared" ref="AH5:AH29" si="2">AVERAGE(C5,E5,G5)</f>
        <v>6.3849999999999998</v>
      </c>
      <c r="AI5" s="38">
        <f t="shared" ref="AI5:AI27" si="3">AVERAGE(I5,K5,M5)</f>
        <v>6.6349999999999998</v>
      </c>
      <c r="AJ5" s="7">
        <f t="shared" ref="AJ5:AJ27" si="4">AVERAGE(J5,L5,N5)</f>
        <v>6.4050000000000002</v>
      </c>
      <c r="AK5" s="7">
        <f t="shared" ref="AK5:AK29" si="5">AVERAGE(P5,R5,T5)</f>
        <v>6.6</v>
      </c>
      <c r="AL5" s="7">
        <f t="shared" ref="AL5:AL14" si="6">AVERAGE(Q5,S5,U5)</f>
        <v>6.42</v>
      </c>
      <c r="AM5" s="37">
        <v>6.43</v>
      </c>
      <c r="BA5" s="7">
        <f t="shared" ref="BA5:BA14" si="7">AVERAGE(B5,D5,F5,I5,K5,M5,P5,R5,T5)</f>
        <v>6.6116666666666655</v>
      </c>
      <c r="BB5" s="7">
        <f t="shared" ref="BB5:BB14" si="8">AVERAGE(C5,E5,G5,J5,L5,N5,Q5,S5,U5)</f>
        <v>6.4033333333333333</v>
      </c>
      <c r="BC5">
        <v>6.43</v>
      </c>
    </row>
    <row r="6" spans="1:55" ht="15.5" x14ac:dyDescent="0.35">
      <c r="A6" s="13">
        <v>42447</v>
      </c>
      <c r="B6" s="10">
        <v>6.71</v>
      </c>
      <c r="C6" s="10">
        <v>6.83</v>
      </c>
      <c r="D6" s="9"/>
      <c r="E6" s="9"/>
      <c r="F6" s="10">
        <v>6.68</v>
      </c>
      <c r="G6" s="10">
        <v>6.8</v>
      </c>
      <c r="H6" s="9"/>
      <c r="I6" s="10">
        <v>6.7</v>
      </c>
      <c r="J6" s="10">
        <v>6.98</v>
      </c>
      <c r="K6" s="10"/>
      <c r="L6" s="10"/>
      <c r="M6" s="10">
        <v>6.7</v>
      </c>
      <c r="N6" s="10">
        <v>6.84</v>
      </c>
      <c r="P6" s="10">
        <v>6.7</v>
      </c>
      <c r="Q6" s="10">
        <v>6.9</v>
      </c>
      <c r="T6" s="10">
        <v>6.9</v>
      </c>
      <c r="U6" s="10">
        <v>7</v>
      </c>
      <c r="W6" s="10">
        <v>7.2</v>
      </c>
      <c r="X6" s="10">
        <v>7.32</v>
      </c>
      <c r="Y6" s="10"/>
      <c r="Z6" s="5">
        <v>7.81</v>
      </c>
      <c r="AC6" s="7">
        <f t="shared" si="0"/>
        <v>6.8116666666666683</v>
      </c>
      <c r="AE6" s="1"/>
      <c r="AF6" s="13">
        <v>42447</v>
      </c>
      <c r="AG6" s="38">
        <f t="shared" si="1"/>
        <v>6.6950000000000003</v>
      </c>
      <c r="AH6" s="38">
        <f t="shared" si="2"/>
        <v>6.8149999999999995</v>
      </c>
      <c r="AI6" s="38">
        <f t="shared" si="3"/>
        <v>6.7</v>
      </c>
      <c r="AJ6" s="7">
        <f t="shared" si="4"/>
        <v>6.91</v>
      </c>
      <c r="AK6" s="7">
        <f t="shared" si="5"/>
        <v>6.8000000000000007</v>
      </c>
      <c r="AL6" s="7">
        <f t="shared" si="6"/>
        <v>6.95</v>
      </c>
      <c r="AM6" s="38">
        <v>7.2</v>
      </c>
      <c r="BA6" s="7">
        <f t="shared" si="7"/>
        <v>6.7316666666666665</v>
      </c>
      <c r="BB6" s="7">
        <f t="shared" si="8"/>
        <v>6.8916666666666666</v>
      </c>
      <c r="BC6">
        <v>7.2</v>
      </c>
    </row>
    <row r="7" spans="1:55" ht="15.5" x14ac:dyDescent="0.35">
      <c r="A7" s="13">
        <v>42454</v>
      </c>
      <c r="B7" s="5">
        <v>9.51</v>
      </c>
      <c r="C7" s="5">
        <v>8.8800000000000008</v>
      </c>
      <c r="D7" s="9"/>
      <c r="E7" s="9"/>
      <c r="F7" s="5">
        <v>9.4700000000000006</v>
      </c>
      <c r="G7" s="5">
        <v>8.8000000000000007</v>
      </c>
      <c r="H7" s="9"/>
      <c r="I7" s="5">
        <v>9.35</v>
      </c>
      <c r="J7" s="5">
        <v>8.76</v>
      </c>
      <c r="K7" s="5"/>
      <c r="L7" s="5"/>
      <c r="M7" s="5">
        <v>9.39</v>
      </c>
      <c r="N7" s="5">
        <v>9.1199999999999992</v>
      </c>
      <c r="P7" s="5">
        <v>9.3000000000000007</v>
      </c>
      <c r="Q7" s="5">
        <v>9.24</v>
      </c>
      <c r="T7" s="5">
        <v>9.6</v>
      </c>
      <c r="U7" s="5">
        <v>9.3000000000000007</v>
      </c>
      <c r="W7" s="5">
        <v>8.92</v>
      </c>
      <c r="X7" s="5">
        <v>8.9499999999999993</v>
      </c>
      <c r="Y7" s="5"/>
      <c r="Z7" s="5">
        <v>9.85</v>
      </c>
      <c r="AC7" s="7">
        <f t="shared" si="0"/>
        <v>9.2266666666666648</v>
      </c>
      <c r="AE7" s="1"/>
      <c r="AF7" s="13">
        <v>42454</v>
      </c>
      <c r="AG7" s="38">
        <f t="shared" si="1"/>
        <v>9.49</v>
      </c>
      <c r="AH7" s="38">
        <f t="shared" si="2"/>
        <v>8.84</v>
      </c>
      <c r="AI7" s="38">
        <f t="shared" si="3"/>
        <v>9.370000000000001</v>
      </c>
      <c r="AJ7" s="7">
        <f t="shared" si="4"/>
        <v>8.94</v>
      </c>
      <c r="AK7" s="7">
        <f t="shared" si="5"/>
        <v>9.4499999999999993</v>
      </c>
      <c r="AL7" s="7">
        <f t="shared" si="6"/>
        <v>9.27</v>
      </c>
      <c r="AM7" s="37">
        <v>8.92</v>
      </c>
      <c r="BA7" s="7">
        <f t="shared" si="7"/>
        <v>9.4366666666666656</v>
      </c>
      <c r="BB7" s="7">
        <f t="shared" si="8"/>
        <v>9.0166666666666657</v>
      </c>
      <c r="BC7">
        <v>8.92</v>
      </c>
    </row>
    <row r="8" spans="1:55" ht="15.5" x14ac:dyDescent="0.35">
      <c r="A8" s="13">
        <v>42461</v>
      </c>
      <c r="B8" s="10">
        <v>9.68</v>
      </c>
      <c r="C8" s="10">
        <v>9.56</v>
      </c>
      <c r="D8" s="10">
        <v>9.7200000000000006</v>
      </c>
      <c r="E8" s="10">
        <v>9.39</v>
      </c>
      <c r="F8" s="10">
        <v>10.039999999999999</v>
      </c>
      <c r="G8" s="10">
        <v>9.66</v>
      </c>
      <c r="H8" s="9"/>
      <c r="I8" s="10">
        <v>9.8000000000000007</v>
      </c>
      <c r="J8" s="10">
        <v>9.51</v>
      </c>
      <c r="K8" s="10">
        <v>9.77</v>
      </c>
      <c r="L8" s="10">
        <v>9.66</v>
      </c>
      <c r="M8" s="10">
        <v>9.7899999999999991</v>
      </c>
      <c r="N8" s="10">
        <v>9.81</v>
      </c>
      <c r="P8" s="10">
        <v>9.85</v>
      </c>
      <c r="Q8" s="10">
        <v>9.86</v>
      </c>
      <c r="R8" s="10">
        <v>9.65</v>
      </c>
      <c r="S8" s="10">
        <v>9.8699999999999992</v>
      </c>
      <c r="T8" s="10">
        <v>9.64</v>
      </c>
      <c r="U8" s="10">
        <v>9.9</v>
      </c>
      <c r="W8" s="10">
        <v>9.76</v>
      </c>
      <c r="X8" s="10">
        <v>9.89</v>
      </c>
      <c r="Y8" s="10"/>
      <c r="Z8" s="5">
        <v>11.65</v>
      </c>
      <c r="AC8" s="7">
        <f t="shared" si="0"/>
        <v>9.7311111111111117</v>
      </c>
      <c r="AE8" s="1"/>
      <c r="AF8" s="13">
        <v>42461</v>
      </c>
      <c r="AG8" s="38">
        <f t="shared" si="1"/>
        <v>9.8133333333333326</v>
      </c>
      <c r="AH8" s="38">
        <f t="shared" si="2"/>
        <v>9.5366666666666671</v>
      </c>
      <c r="AI8" s="38">
        <f t="shared" si="3"/>
        <v>9.7866666666666671</v>
      </c>
      <c r="AJ8" s="7">
        <f t="shared" si="4"/>
        <v>9.6600000000000019</v>
      </c>
      <c r="AK8" s="7">
        <f t="shared" si="5"/>
        <v>9.7133333333333329</v>
      </c>
      <c r="AL8" s="7">
        <f t="shared" si="6"/>
        <v>9.8766666666666652</v>
      </c>
      <c r="AM8" s="38">
        <v>9.76</v>
      </c>
      <c r="BA8" s="7">
        <f t="shared" si="7"/>
        <v>9.7711111111111109</v>
      </c>
      <c r="BB8" s="7">
        <f t="shared" si="8"/>
        <v>9.6911111111111126</v>
      </c>
      <c r="BC8">
        <v>9.76</v>
      </c>
    </row>
    <row r="9" spans="1:55" ht="15.5" x14ac:dyDescent="0.35">
      <c r="A9" s="13">
        <v>42468</v>
      </c>
      <c r="B9" s="10">
        <v>10.48</v>
      </c>
      <c r="C9" s="10">
        <v>10.48</v>
      </c>
      <c r="D9" s="10">
        <v>10.45</v>
      </c>
      <c r="E9" s="10">
        <v>10.47</v>
      </c>
      <c r="F9" s="10">
        <v>10.4</v>
      </c>
      <c r="G9" s="10">
        <v>10.67</v>
      </c>
      <c r="H9" s="9"/>
      <c r="I9" s="10">
        <v>10.28</v>
      </c>
      <c r="J9" s="10">
        <v>10.76</v>
      </c>
      <c r="K9" s="10">
        <v>10.28</v>
      </c>
      <c r="L9" s="10">
        <v>10.71</v>
      </c>
      <c r="M9" s="10">
        <v>10.17</v>
      </c>
      <c r="N9" s="10">
        <v>10.52</v>
      </c>
      <c r="P9" s="10">
        <v>10.23</v>
      </c>
      <c r="Q9" s="10">
        <v>10.78</v>
      </c>
      <c r="R9" s="10">
        <v>10.3</v>
      </c>
      <c r="S9" s="10">
        <v>10.85</v>
      </c>
      <c r="T9" s="10">
        <v>10.58</v>
      </c>
      <c r="U9" s="10">
        <v>10.8</v>
      </c>
      <c r="W9" s="10">
        <v>10.77</v>
      </c>
      <c r="X9" s="10">
        <v>10.86</v>
      </c>
      <c r="Y9" s="10"/>
      <c r="Z9" s="5">
        <v>12.53</v>
      </c>
      <c r="AC9" s="7">
        <f t="shared" si="0"/>
        <v>10.511666666666668</v>
      </c>
      <c r="AE9" s="1"/>
      <c r="AF9" s="13">
        <v>42468</v>
      </c>
      <c r="AG9" s="38">
        <f t="shared" si="1"/>
        <v>10.443333333333333</v>
      </c>
      <c r="AH9" s="38">
        <f t="shared" si="2"/>
        <v>10.540000000000001</v>
      </c>
      <c r="AI9" s="38">
        <f t="shared" si="3"/>
        <v>10.243333333333332</v>
      </c>
      <c r="AJ9" s="7">
        <f t="shared" si="4"/>
        <v>10.663333333333332</v>
      </c>
      <c r="AK9" s="7">
        <f t="shared" si="5"/>
        <v>10.37</v>
      </c>
      <c r="AL9" s="7">
        <f t="shared" si="6"/>
        <v>10.81</v>
      </c>
      <c r="AM9" s="38">
        <v>10.77</v>
      </c>
      <c r="BA9" s="7">
        <f t="shared" si="7"/>
        <v>10.352222222222222</v>
      </c>
      <c r="BB9" s="7">
        <f t="shared" si="8"/>
        <v>10.671111111111109</v>
      </c>
      <c r="BC9">
        <v>10.77</v>
      </c>
    </row>
    <row r="10" spans="1:55" ht="15.5" x14ac:dyDescent="0.35">
      <c r="A10" s="13">
        <v>42475</v>
      </c>
      <c r="B10" s="10">
        <v>12.8</v>
      </c>
      <c r="C10" s="10">
        <v>12.5</v>
      </c>
      <c r="D10" s="10">
        <v>12.81</v>
      </c>
      <c r="E10" s="10">
        <v>11.86</v>
      </c>
      <c r="F10" s="10">
        <v>12.78</v>
      </c>
      <c r="G10" s="10">
        <v>12.49</v>
      </c>
      <c r="H10" s="9"/>
      <c r="I10" s="10">
        <v>12.17</v>
      </c>
      <c r="J10" s="10">
        <v>12.33</v>
      </c>
      <c r="K10" s="10">
        <v>12.82</v>
      </c>
      <c r="L10" s="10">
        <v>11.72</v>
      </c>
      <c r="M10" s="10">
        <v>12.79</v>
      </c>
      <c r="N10" s="10">
        <v>12.81</v>
      </c>
      <c r="P10" s="10">
        <v>12.88</v>
      </c>
      <c r="Q10" s="10">
        <v>12.6</v>
      </c>
      <c r="R10" s="10">
        <v>12.4</v>
      </c>
      <c r="S10" s="10">
        <v>12.1</v>
      </c>
      <c r="T10" s="10">
        <v>13.12</v>
      </c>
      <c r="U10" s="10">
        <v>13</v>
      </c>
      <c r="W10" s="10">
        <v>13.48</v>
      </c>
      <c r="X10" s="10">
        <v>13.5</v>
      </c>
      <c r="Y10" s="10"/>
      <c r="Z10" s="5">
        <v>13.19</v>
      </c>
      <c r="AC10" s="7">
        <f t="shared" si="0"/>
        <v>12.554444444444444</v>
      </c>
      <c r="AE10" s="1"/>
      <c r="AF10" s="13">
        <v>42475</v>
      </c>
      <c r="AG10" s="38">
        <f t="shared" si="1"/>
        <v>12.796666666666667</v>
      </c>
      <c r="AH10" s="38">
        <f t="shared" si="2"/>
        <v>12.283333333333333</v>
      </c>
      <c r="AI10" s="38">
        <f t="shared" si="3"/>
        <v>12.593333333333334</v>
      </c>
      <c r="AJ10" s="7">
        <f t="shared" si="4"/>
        <v>12.286666666666667</v>
      </c>
      <c r="AK10" s="7">
        <f t="shared" si="5"/>
        <v>12.799999999999999</v>
      </c>
      <c r="AL10" s="7">
        <f t="shared" si="6"/>
        <v>12.566666666666668</v>
      </c>
      <c r="AM10" s="38">
        <v>13.48</v>
      </c>
      <c r="BA10" s="7">
        <f t="shared" si="7"/>
        <v>12.73</v>
      </c>
      <c r="BB10" s="7">
        <f t="shared" si="8"/>
        <v>12.378888888888888</v>
      </c>
      <c r="BC10">
        <v>13.48</v>
      </c>
    </row>
    <row r="11" spans="1:55" ht="15.5" x14ac:dyDescent="0.35">
      <c r="A11" s="13">
        <v>42482</v>
      </c>
      <c r="B11" s="10">
        <v>14.47</v>
      </c>
      <c r="C11" s="10">
        <v>12.99</v>
      </c>
      <c r="D11" s="10">
        <v>14.67</v>
      </c>
      <c r="E11" s="10">
        <v>12.7</v>
      </c>
      <c r="F11" s="10">
        <v>14.56</v>
      </c>
      <c r="G11" s="10">
        <v>12.9</v>
      </c>
      <c r="H11" s="9"/>
      <c r="I11" s="10">
        <v>14.45</v>
      </c>
      <c r="J11" s="10">
        <v>12.81</v>
      </c>
      <c r="K11" s="10">
        <v>14.3</v>
      </c>
      <c r="L11" s="10">
        <v>12.52</v>
      </c>
      <c r="M11" s="10">
        <v>14</v>
      </c>
      <c r="N11" s="10">
        <v>12.66</v>
      </c>
      <c r="O11" s="5"/>
      <c r="P11" s="10">
        <v>14.01</v>
      </c>
      <c r="Q11" s="10">
        <v>12.4</v>
      </c>
      <c r="R11" s="10">
        <v>13.8</v>
      </c>
      <c r="S11" s="10">
        <v>12.26</v>
      </c>
      <c r="T11" s="10">
        <v>13.76</v>
      </c>
      <c r="U11" s="10">
        <v>12.3</v>
      </c>
      <c r="V11" s="5"/>
      <c r="W11" s="10">
        <v>13.16</v>
      </c>
      <c r="X11" s="10">
        <v>13.17</v>
      </c>
      <c r="Y11" s="5"/>
      <c r="Z11" s="5"/>
      <c r="AC11" s="7">
        <f t="shared" si="0"/>
        <v>13.42</v>
      </c>
      <c r="AE11" s="1"/>
      <c r="AF11" s="13">
        <v>42482</v>
      </c>
      <c r="AG11" s="38">
        <f t="shared" si="1"/>
        <v>14.566666666666668</v>
      </c>
      <c r="AH11" s="38">
        <f t="shared" si="2"/>
        <v>12.863333333333332</v>
      </c>
      <c r="AI11" s="38">
        <f t="shared" si="3"/>
        <v>14.25</v>
      </c>
      <c r="AJ11" s="7">
        <f t="shared" si="4"/>
        <v>12.663333333333332</v>
      </c>
      <c r="AK11" s="7">
        <f t="shared" si="5"/>
        <v>13.856666666666667</v>
      </c>
      <c r="AL11" s="7">
        <f t="shared" si="6"/>
        <v>12.32</v>
      </c>
      <c r="AM11" s="38">
        <v>13.16</v>
      </c>
      <c r="BA11" s="7">
        <f t="shared" si="7"/>
        <v>14.224444444444446</v>
      </c>
      <c r="BB11" s="7">
        <f t="shared" si="8"/>
        <v>12.615555555555556</v>
      </c>
      <c r="BC11">
        <v>13.16</v>
      </c>
    </row>
    <row r="12" spans="1:55" ht="15.5" x14ac:dyDescent="0.35">
      <c r="A12" s="13">
        <v>42489</v>
      </c>
      <c r="B12">
        <v>11.3</v>
      </c>
      <c r="C12">
        <v>10.62</v>
      </c>
      <c r="D12">
        <v>10.9</v>
      </c>
      <c r="E12">
        <v>11.01</v>
      </c>
      <c r="F12">
        <v>11.08</v>
      </c>
      <c r="G12">
        <v>10.4</v>
      </c>
      <c r="H12" s="9"/>
      <c r="I12">
        <v>10.8</v>
      </c>
      <c r="J12">
        <v>10.5</v>
      </c>
      <c r="K12">
        <v>10.84</v>
      </c>
      <c r="L12">
        <v>10.02</v>
      </c>
      <c r="M12">
        <v>10.8</v>
      </c>
      <c r="N12">
        <v>10.61</v>
      </c>
      <c r="O12" s="5"/>
      <c r="P12">
        <v>10.8</v>
      </c>
      <c r="Q12">
        <v>10.74</v>
      </c>
      <c r="R12">
        <v>10.6</v>
      </c>
      <c r="S12">
        <v>10.62</v>
      </c>
      <c r="T12">
        <v>10.84</v>
      </c>
      <c r="U12">
        <v>10.76</v>
      </c>
      <c r="V12" s="5"/>
      <c r="W12" s="5"/>
      <c r="X12" s="5"/>
      <c r="Y12" s="5"/>
      <c r="Z12" s="4">
        <v>10.77</v>
      </c>
      <c r="AC12" s="7">
        <f t="shared" si="0"/>
        <v>10.735555555555557</v>
      </c>
      <c r="AE12" s="1"/>
      <c r="AF12" s="13">
        <v>42489</v>
      </c>
      <c r="AG12" s="38">
        <f t="shared" si="1"/>
        <v>11.093333333333334</v>
      </c>
      <c r="AH12" s="38">
        <f t="shared" si="2"/>
        <v>10.676666666666668</v>
      </c>
      <c r="AI12" s="38">
        <f t="shared" si="3"/>
        <v>10.813333333333333</v>
      </c>
      <c r="AJ12" s="7">
        <f t="shared" si="4"/>
        <v>10.376666666666667</v>
      </c>
      <c r="AK12" s="7">
        <f t="shared" si="5"/>
        <v>10.746666666666664</v>
      </c>
      <c r="AL12" s="7">
        <f t="shared" si="6"/>
        <v>10.706666666666665</v>
      </c>
      <c r="AM12" s="37">
        <v>10.77</v>
      </c>
      <c r="BA12" s="7">
        <f t="shared" si="7"/>
        <v>10.884444444444444</v>
      </c>
      <c r="BB12" s="7">
        <f t="shared" si="8"/>
        <v>10.586666666666666</v>
      </c>
      <c r="BC12">
        <v>10.77</v>
      </c>
    </row>
    <row r="13" spans="1:55" ht="15.5" x14ac:dyDescent="0.35">
      <c r="A13" s="13">
        <v>42494</v>
      </c>
      <c r="B13">
        <v>13.24</v>
      </c>
      <c r="C13">
        <v>12.17</v>
      </c>
      <c r="D13">
        <v>13.15</v>
      </c>
      <c r="E13">
        <v>11.96</v>
      </c>
      <c r="F13">
        <v>12.95</v>
      </c>
      <c r="G13">
        <v>11.8</v>
      </c>
      <c r="H13" s="9"/>
      <c r="I13">
        <v>13.41</v>
      </c>
      <c r="J13">
        <v>11.86</v>
      </c>
      <c r="K13">
        <v>13.22</v>
      </c>
      <c r="L13">
        <v>11.69</v>
      </c>
      <c r="M13">
        <v>13.21</v>
      </c>
      <c r="N13">
        <v>11.58</v>
      </c>
      <c r="O13" s="10"/>
      <c r="P13">
        <v>13.94</v>
      </c>
      <c r="Q13">
        <v>12.07</v>
      </c>
      <c r="R13">
        <v>13.44</v>
      </c>
      <c r="S13">
        <v>11.69</v>
      </c>
      <c r="T13">
        <v>13.44</v>
      </c>
      <c r="U13">
        <v>11.49</v>
      </c>
      <c r="V13" s="10"/>
      <c r="W13" s="10">
        <v>12.68</v>
      </c>
      <c r="X13" s="10">
        <v>12.98</v>
      </c>
      <c r="Y13" s="10"/>
      <c r="Z13" s="10"/>
      <c r="AC13" s="7">
        <f t="shared" si="0"/>
        <v>12.572777777777778</v>
      </c>
      <c r="AE13" s="1"/>
      <c r="AF13" s="13">
        <v>42494</v>
      </c>
      <c r="AG13" s="38">
        <f t="shared" si="1"/>
        <v>13.113333333333335</v>
      </c>
      <c r="AH13" s="38">
        <f t="shared" si="2"/>
        <v>11.976666666666668</v>
      </c>
      <c r="AI13" s="38">
        <f t="shared" si="3"/>
        <v>13.280000000000001</v>
      </c>
      <c r="AJ13" s="7">
        <f t="shared" si="4"/>
        <v>11.709999999999999</v>
      </c>
      <c r="AK13" s="7">
        <f t="shared" si="5"/>
        <v>13.606666666666667</v>
      </c>
      <c r="AL13" s="7">
        <f t="shared" si="6"/>
        <v>11.75</v>
      </c>
      <c r="AM13" s="38">
        <v>12.68</v>
      </c>
      <c r="BA13" s="7">
        <f t="shared" si="7"/>
        <v>13.333333333333334</v>
      </c>
      <c r="BB13" s="7">
        <f t="shared" si="8"/>
        <v>11.812222222222221</v>
      </c>
      <c r="BC13">
        <v>12.68</v>
      </c>
    </row>
    <row r="14" spans="1:55" ht="15.5" x14ac:dyDescent="0.35">
      <c r="A14" s="13">
        <v>42503</v>
      </c>
      <c r="B14">
        <v>18.239999999999998</v>
      </c>
      <c r="C14">
        <v>16.579999999999998</v>
      </c>
      <c r="D14">
        <v>16.420000000000002</v>
      </c>
      <c r="E14">
        <v>16.2</v>
      </c>
      <c r="F14">
        <v>16.489999999999998</v>
      </c>
      <c r="G14">
        <v>16.2</v>
      </c>
      <c r="H14" s="9"/>
      <c r="I14">
        <v>17.71</v>
      </c>
      <c r="J14">
        <v>16.329999999999998</v>
      </c>
      <c r="K14">
        <v>16.36</v>
      </c>
      <c r="L14">
        <v>16.34</v>
      </c>
      <c r="M14">
        <v>17.77</v>
      </c>
      <c r="N14">
        <v>16.43</v>
      </c>
      <c r="O14" s="5"/>
      <c r="P14">
        <v>17.920000000000002</v>
      </c>
      <c r="Q14">
        <v>15.74</v>
      </c>
      <c r="R14">
        <v>17.46</v>
      </c>
      <c r="S14">
        <v>15.91</v>
      </c>
      <c r="T14">
        <v>17.309999999999999</v>
      </c>
      <c r="U14">
        <v>15.86</v>
      </c>
      <c r="V14" s="5"/>
      <c r="W14" s="10">
        <v>18.59</v>
      </c>
      <c r="X14" s="10">
        <v>18.37</v>
      </c>
      <c r="Y14" s="5"/>
      <c r="Z14" s="5"/>
      <c r="AC14" s="7">
        <f t="shared" si="0"/>
        <v>16.737222222222229</v>
      </c>
      <c r="AE14" s="1"/>
      <c r="AF14" s="13">
        <v>42503</v>
      </c>
      <c r="AG14" s="38">
        <f t="shared" si="1"/>
        <v>17.049999999999997</v>
      </c>
      <c r="AH14" s="38">
        <f t="shared" si="2"/>
        <v>16.326666666666668</v>
      </c>
      <c r="AI14" s="38">
        <f t="shared" si="3"/>
        <v>17.28</v>
      </c>
      <c r="AJ14" s="7">
        <f t="shared" si="4"/>
        <v>16.366666666666667</v>
      </c>
      <c r="AK14" s="7">
        <f t="shared" si="5"/>
        <v>17.563333333333333</v>
      </c>
      <c r="AL14" s="7">
        <f t="shared" si="6"/>
        <v>15.836666666666666</v>
      </c>
      <c r="AM14" s="38">
        <v>18.59</v>
      </c>
      <c r="BA14" s="7">
        <f t="shared" si="7"/>
        <v>17.297777777777775</v>
      </c>
      <c r="BB14" s="7">
        <f t="shared" si="8"/>
        <v>16.176666666666669</v>
      </c>
      <c r="BC14">
        <v>18.59</v>
      </c>
    </row>
    <row r="15" spans="1:55" ht="15.5" x14ac:dyDescent="0.35">
      <c r="A15" s="13"/>
      <c r="H15" s="9"/>
      <c r="O15" s="5"/>
      <c r="V15" s="5"/>
      <c r="W15" s="10"/>
      <c r="X15" s="10"/>
      <c r="Y15" s="5"/>
      <c r="Z15" s="5"/>
      <c r="AC15" s="7"/>
      <c r="AE15" s="1"/>
      <c r="AF15" s="13"/>
      <c r="AG15" s="38"/>
      <c r="AH15" s="38"/>
      <c r="AI15" s="38"/>
      <c r="AJ15" s="7"/>
      <c r="AK15" s="7"/>
      <c r="AL15" s="7"/>
      <c r="AM15" s="38"/>
      <c r="BA15" s="7"/>
      <c r="BB15" s="7"/>
    </row>
    <row r="16" spans="1:55" ht="15.5" x14ac:dyDescent="0.35">
      <c r="A16" s="13"/>
      <c r="H16" s="9"/>
      <c r="O16" s="5"/>
      <c r="V16" s="5"/>
      <c r="W16" s="10"/>
      <c r="X16" s="10"/>
      <c r="Y16" s="5"/>
      <c r="Z16" s="5"/>
      <c r="AC16" s="7"/>
      <c r="AE16" s="1"/>
      <c r="AF16" s="13"/>
      <c r="AG16" s="38"/>
      <c r="AH16" s="38"/>
      <c r="AI16" s="38"/>
      <c r="AJ16" s="7"/>
      <c r="AK16" s="7"/>
      <c r="AL16" s="7"/>
      <c r="AM16" s="38"/>
      <c r="BA16" s="7"/>
      <c r="BB16" s="7"/>
    </row>
    <row r="17" spans="1:55" ht="15.5" x14ac:dyDescent="0.35">
      <c r="A17" s="2">
        <v>42797</v>
      </c>
      <c r="B17">
        <v>6.3</v>
      </c>
      <c r="C17">
        <v>6.3</v>
      </c>
      <c r="F17">
        <v>6.4</v>
      </c>
      <c r="G17">
        <v>6.4</v>
      </c>
      <c r="H17" s="9"/>
      <c r="I17">
        <v>6.4</v>
      </c>
      <c r="J17">
        <v>6.4</v>
      </c>
      <c r="M17">
        <v>6.3</v>
      </c>
      <c r="N17">
        <v>6.3</v>
      </c>
      <c r="P17">
        <v>6.4</v>
      </c>
      <c r="Q17">
        <v>6.2</v>
      </c>
      <c r="T17">
        <v>6.4</v>
      </c>
      <c r="U17">
        <v>6.6</v>
      </c>
      <c r="V17" s="5"/>
      <c r="W17" s="10">
        <v>6.5</v>
      </c>
      <c r="X17" s="10"/>
      <c r="Y17" s="5"/>
      <c r="Z17" s="5"/>
      <c r="AC17" s="7"/>
      <c r="AE17" s="1"/>
      <c r="AF17" s="2">
        <v>42797</v>
      </c>
      <c r="AG17" s="7">
        <f>AVERAGE(B17,D17,F17)</f>
        <v>6.35</v>
      </c>
      <c r="AH17" s="38">
        <f t="shared" si="2"/>
        <v>6.35</v>
      </c>
      <c r="AI17" s="38">
        <f>AVERAGE(I17,K17,M17)</f>
        <v>6.35</v>
      </c>
      <c r="AJ17" s="7">
        <f>AVERAGE(J17,L17,N17)</f>
        <v>6.35</v>
      </c>
      <c r="AK17" s="7">
        <f>AVERAGE(P17,R17,T17)</f>
        <v>6.4</v>
      </c>
      <c r="AL17" s="38">
        <f>AVERAGE(Q17,S17,U17)</f>
        <v>6.4</v>
      </c>
      <c r="AM17" s="10">
        <v>6.5</v>
      </c>
      <c r="BA17" s="7">
        <f t="shared" ref="BA17:BA27" si="9">AVERAGE(P17,R17,T17,I17,K17,M17,B17,D17,F17)</f>
        <v>6.3666666666666671</v>
      </c>
      <c r="BB17" s="7">
        <f t="shared" ref="BB17:BB27" si="10">AVERAGE(Q17,S17,U17,J17,L17,N17,C17,E17,G17)</f>
        <v>6.3666666666666671</v>
      </c>
      <c r="BC17">
        <v>6.5</v>
      </c>
    </row>
    <row r="18" spans="1:55" ht="15.5" x14ac:dyDescent="0.35">
      <c r="A18" s="2">
        <v>42804</v>
      </c>
      <c r="B18">
        <v>8.6</v>
      </c>
      <c r="C18">
        <v>8.6</v>
      </c>
      <c r="D18">
        <v>8.6999999999999993</v>
      </c>
      <c r="E18">
        <v>8.6</v>
      </c>
      <c r="F18">
        <v>8.6</v>
      </c>
      <c r="G18">
        <v>8.6</v>
      </c>
      <c r="I18">
        <v>8.8000000000000007</v>
      </c>
      <c r="J18">
        <v>8.6</v>
      </c>
      <c r="K18">
        <v>8.6999999999999993</v>
      </c>
      <c r="L18">
        <v>8.6</v>
      </c>
      <c r="M18">
        <v>8.8000000000000007</v>
      </c>
      <c r="N18">
        <v>8.6</v>
      </c>
      <c r="P18" s="10">
        <v>8.9</v>
      </c>
      <c r="Q18" s="10">
        <v>8.6</v>
      </c>
      <c r="R18" s="10">
        <v>8.8000000000000007</v>
      </c>
      <c r="S18" s="10">
        <v>8.6</v>
      </c>
      <c r="T18">
        <v>8.6</v>
      </c>
      <c r="U18">
        <v>8.6</v>
      </c>
      <c r="V18" s="5"/>
      <c r="W18" s="10">
        <v>9.1</v>
      </c>
      <c r="X18" s="10"/>
      <c r="Y18" s="5"/>
      <c r="Z18" s="5"/>
      <c r="AC18" s="7"/>
      <c r="AE18" s="1"/>
      <c r="AF18" s="2">
        <v>42804</v>
      </c>
      <c r="AG18" s="7">
        <f t="shared" ref="AG18:AG29" si="11">AVERAGE(B18,D18,F18)</f>
        <v>8.6333333333333329</v>
      </c>
      <c r="AH18" s="38">
        <f t="shared" si="2"/>
        <v>8.6</v>
      </c>
      <c r="AI18" s="38">
        <f t="shared" si="3"/>
        <v>8.7666666666666675</v>
      </c>
      <c r="AJ18" s="7">
        <f t="shared" si="4"/>
        <v>8.6</v>
      </c>
      <c r="AK18" s="7">
        <f t="shared" si="5"/>
        <v>8.7666666666666675</v>
      </c>
      <c r="AL18" s="38">
        <f t="shared" ref="AL18:AL29" si="12">AVERAGE(Q18,S18,U18)</f>
        <v>8.6</v>
      </c>
      <c r="AM18" s="10">
        <v>9.1</v>
      </c>
      <c r="BA18" s="7">
        <f t="shared" si="9"/>
        <v>8.7222222222222214</v>
      </c>
      <c r="BB18" s="7">
        <f t="shared" si="10"/>
        <v>8.6</v>
      </c>
      <c r="BC18">
        <v>9.1</v>
      </c>
    </row>
    <row r="19" spans="1:55" ht="15.5" x14ac:dyDescent="0.35">
      <c r="A19" s="2">
        <v>42811</v>
      </c>
      <c r="B19">
        <v>11</v>
      </c>
      <c r="C19">
        <v>11</v>
      </c>
      <c r="D19">
        <v>11</v>
      </c>
      <c r="E19">
        <v>11</v>
      </c>
      <c r="F19">
        <v>11.1</v>
      </c>
      <c r="G19">
        <v>11.1</v>
      </c>
      <c r="I19">
        <v>11</v>
      </c>
      <c r="J19">
        <v>10.9</v>
      </c>
      <c r="K19">
        <v>11</v>
      </c>
      <c r="L19">
        <v>10.9</v>
      </c>
      <c r="M19">
        <v>11.1</v>
      </c>
      <c r="N19">
        <v>11</v>
      </c>
      <c r="P19" s="10">
        <v>10.8</v>
      </c>
      <c r="Q19" s="10">
        <v>10.8</v>
      </c>
      <c r="R19">
        <v>10.8</v>
      </c>
      <c r="S19">
        <v>10.8</v>
      </c>
      <c r="T19">
        <v>11</v>
      </c>
      <c r="U19">
        <v>11</v>
      </c>
      <c r="V19" s="5"/>
      <c r="W19" s="10">
        <v>10.8</v>
      </c>
      <c r="X19" s="10"/>
      <c r="Y19" s="5"/>
      <c r="Z19" s="5"/>
      <c r="AC19" s="7"/>
      <c r="AE19" s="1"/>
      <c r="AF19" s="2">
        <v>42811</v>
      </c>
      <c r="AG19" s="7">
        <f t="shared" si="11"/>
        <v>11.033333333333333</v>
      </c>
      <c r="AH19" s="38">
        <f t="shared" si="2"/>
        <v>11.033333333333333</v>
      </c>
      <c r="AI19" s="38">
        <f t="shared" si="3"/>
        <v>11.033333333333333</v>
      </c>
      <c r="AJ19" s="7">
        <f t="shared" si="4"/>
        <v>10.933333333333332</v>
      </c>
      <c r="AK19" s="7">
        <f t="shared" si="5"/>
        <v>10.866666666666667</v>
      </c>
      <c r="AL19" s="38">
        <f t="shared" si="12"/>
        <v>10.866666666666667</v>
      </c>
      <c r="AM19" s="10">
        <v>10.8</v>
      </c>
      <c r="BA19" s="7">
        <f t="shared" si="9"/>
        <v>10.977777777777778</v>
      </c>
      <c r="BB19" s="7">
        <f t="shared" si="10"/>
        <v>10.944444444444445</v>
      </c>
      <c r="BC19">
        <v>10.8</v>
      </c>
    </row>
    <row r="20" spans="1:55" ht="15.5" x14ac:dyDescent="0.35">
      <c r="A20" s="2">
        <v>42818</v>
      </c>
      <c r="B20">
        <v>10.1</v>
      </c>
      <c r="C20">
        <v>9.6999999999999993</v>
      </c>
      <c r="D20">
        <v>10.1</v>
      </c>
      <c r="E20">
        <v>9.6</v>
      </c>
      <c r="F20">
        <v>10.1</v>
      </c>
      <c r="G20">
        <v>9.6999999999999993</v>
      </c>
      <c r="I20" s="10">
        <v>9.9</v>
      </c>
      <c r="J20" s="10">
        <v>9.8000000000000007</v>
      </c>
      <c r="K20" s="10">
        <v>10</v>
      </c>
      <c r="L20" s="10">
        <v>9.6</v>
      </c>
      <c r="M20">
        <v>9.9</v>
      </c>
      <c r="N20">
        <v>9.6999999999999993</v>
      </c>
      <c r="P20" s="10">
        <v>10</v>
      </c>
      <c r="Q20" s="10">
        <v>9.6999999999999993</v>
      </c>
      <c r="R20" s="10">
        <v>9.6999999999999993</v>
      </c>
      <c r="S20" s="10">
        <v>9.6999999999999993</v>
      </c>
      <c r="T20" s="10">
        <v>9.4</v>
      </c>
      <c r="U20" s="10">
        <v>9.6999999999999993</v>
      </c>
      <c r="V20" s="5"/>
      <c r="W20" s="10">
        <v>11.1</v>
      </c>
      <c r="X20" s="10"/>
      <c r="Y20" s="5"/>
      <c r="Z20" s="5"/>
      <c r="AC20" s="7"/>
      <c r="AE20" s="1"/>
      <c r="AF20" s="2">
        <v>42818</v>
      </c>
      <c r="AG20" s="7">
        <f t="shared" si="11"/>
        <v>10.1</v>
      </c>
      <c r="AH20" s="38">
        <f t="shared" si="2"/>
        <v>9.6666666666666661</v>
      </c>
      <c r="AI20" s="38">
        <f t="shared" si="3"/>
        <v>9.9333333333333318</v>
      </c>
      <c r="AJ20" s="7">
        <f t="shared" si="4"/>
        <v>9.6999999999999993</v>
      </c>
      <c r="AK20" s="7">
        <f t="shared" si="5"/>
        <v>9.7000000000000011</v>
      </c>
      <c r="AL20" s="38">
        <f t="shared" si="12"/>
        <v>9.6999999999999993</v>
      </c>
      <c r="AM20" s="10">
        <v>11.1</v>
      </c>
      <c r="BA20" s="7">
        <f t="shared" si="9"/>
        <v>9.9111111111111097</v>
      </c>
      <c r="BB20" s="7">
        <f t="shared" si="10"/>
        <v>9.68888888888889</v>
      </c>
      <c r="BC20">
        <v>11.1</v>
      </c>
    </row>
    <row r="21" spans="1:55" ht="15.5" x14ac:dyDescent="0.35">
      <c r="A21" s="2">
        <v>42825</v>
      </c>
      <c r="B21">
        <v>13</v>
      </c>
      <c r="C21">
        <v>11.5</v>
      </c>
      <c r="D21">
        <v>12.8</v>
      </c>
      <c r="E21">
        <v>11.5</v>
      </c>
      <c r="F21">
        <v>12.7</v>
      </c>
      <c r="G21">
        <v>11.3</v>
      </c>
      <c r="I21">
        <v>12.6</v>
      </c>
      <c r="J21">
        <v>11.2</v>
      </c>
      <c r="K21">
        <v>12.6</v>
      </c>
      <c r="L21">
        <v>11.6</v>
      </c>
      <c r="M21">
        <v>12.6</v>
      </c>
      <c r="N21">
        <v>11</v>
      </c>
      <c r="P21" s="10">
        <v>11.1</v>
      </c>
      <c r="Q21" s="10">
        <v>11</v>
      </c>
      <c r="R21" s="10">
        <v>11.6</v>
      </c>
      <c r="S21" s="10">
        <v>11.2</v>
      </c>
      <c r="T21">
        <v>11.6</v>
      </c>
      <c r="U21">
        <v>11.1</v>
      </c>
      <c r="V21" s="5"/>
      <c r="W21" s="10">
        <v>13.7</v>
      </c>
      <c r="X21" s="10"/>
      <c r="Y21" s="5"/>
      <c r="Z21" s="5"/>
      <c r="AC21" s="7"/>
      <c r="AE21" s="1"/>
      <c r="AF21" s="2">
        <v>42825</v>
      </c>
      <c r="AG21" s="7">
        <f t="shared" si="11"/>
        <v>12.833333333333334</v>
      </c>
      <c r="AH21" s="38">
        <f t="shared" si="2"/>
        <v>11.433333333333332</v>
      </c>
      <c r="AI21" s="38">
        <f t="shared" si="3"/>
        <v>12.6</v>
      </c>
      <c r="AJ21" s="7">
        <f t="shared" si="4"/>
        <v>11.266666666666666</v>
      </c>
      <c r="AK21" s="7">
        <f t="shared" si="5"/>
        <v>11.433333333333332</v>
      </c>
      <c r="AL21" s="38">
        <f t="shared" si="12"/>
        <v>11.1</v>
      </c>
      <c r="AM21" s="10">
        <v>13.7</v>
      </c>
      <c r="BA21" s="7">
        <f t="shared" si="9"/>
        <v>12.288888888888888</v>
      </c>
      <c r="BB21" s="7">
        <f t="shared" si="10"/>
        <v>11.266666666666666</v>
      </c>
      <c r="BC21">
        <v>13.7</v>
      </c>
    </row>
    <row r="22" spans="1:55" ht="15.5" x14ac:dyDescent="0.35">
      <c r="A22" s="2">
        <v>42832</v>
      </c>
      <c r="B22">
        <v>12.7</v>
      </c>
      <c r="C22">
        <v>13</v>
      </c>
      <c r="D22">
        <v>12.8</v>
      </c>
      <c r="E22">
        <v>12.6</v>
      </c>
      <c r="F22">
        <v>12.7</v>
      </c>
      <c r="G22">
        <v>13.1</v>
      </c>
      <c r="I22">
        <v>12.4</v>
      </c>
      <c r="J22">
        <v>13.2</v>
      </c>
      <c r="K22">
        <v>12.4</v>
      </c>
      <c r="L22">
        <v>12.4</v>
      </c>
      <c r="M22">
        <v>12.3</v>
      </c>
      <c r="N22">
        <v>13.1</v>
      </c>
      <c r="P22">
        <v>12.8</v>
      </c>
      <c r="Q22">
        <v>13</v>
      </c>
      <c r="R22">
        <v>12.7</v>
      </c>
      <c r="S22">
        <v>13</v>
      </c>
      <c r="T22">
        <v>13.1</v>
      </c>
      <c r="U22">
        <v>12.9</v>
      </c>
      <c r="V22" s="5"/>
      <c r="W22" s="10">
        <v>13.8</v>
      </c>
      <c r="X22" s="10"/>
      <c r="Y22" s="5"/>
      <c r="Z22" s="5"/>
      <c r="AC22" s="7"/>
      <c r="AE22" s="1"/>
      <c r="AF22" s="2">
        <v>42832</v>
      </c>
      <c r="AG22" s="7">
        <f t="shared" si="11"/>
        <v>12.733333333333334</v>
      </c>
      <c r="AH22" s="38">
        <f t="shared" si="2"/>
        <v>12.9</v>
      </c>
      <c r="AI22" s="38">
        <f t="shared" si="3"/>
        <v>12.366666666666667</v>
      </c>
      <c r="AJ22" s="7">
        <f t="shared" si="4"/>
        <v>12.9</v>
      </c>
      <c r="AK22" s="7">
        <f t="shared" si="5"/>
        <v>12.866666666666667</v>
      </c>
      <c r="AL22" s="38">
        <f t="shared" si="12"/>
        <v>12.966666666666667</v>
      </c>
      <c r="AM22" s="10">
        <v>13.8</v>
      </c>
      <c r="BA22" s="7">
        <f t="shared" si="9"/>
        <v>12.655555555555557</v>
      </c>
      <c r="BB22" s="7">
        <f t="shared" si="10"/>
        <v>12.922222222222221</v>
      </c>
      <c r="BC22">
        <v>13.8</v>
      </c>
    </row>
    <row r="23" spans="1:55" ht="15.5" x14ac:dyDescent="0.35">
      <c r="A23" s="2">
        <v>42839</v>
      </c>
      <c r="B23">
        <v>12.2</v>
      </c>
      <c r="C23">
        <v>13.9</v>
      </c>
      <c r="D23">
        <v>12.2</v>
      </c>
      <c r="E23">
        <v>13.9</v>
      </c>
      <c r="F23">
        <v>12.3</v>
      </c>
      <c r="G23">
        <v>13.9</v>
      </c>
      <c r="I23">
        <v>13.5</v>
      </c>
      <c r="J23">
        <v>14</v>
      </c>
      <c r="K23">
        <v>13.1</v>
      </c>
      <c r="L23">
        <v>14</v>
      </c>
      <c r="M23">
        <v>12.9</v>
      </c>
      <c r="N23">
        <v>14.1</v>
      </c>
      <c r="P23" s="10">
        <v>14.1</v>
      </c>
      <c r="Q23" s="10">
        <v>13.6</v>
      </c>
      <c r="R23">
        <v>14</v>
      </c>
      <c r="S23">
        <v>13.7</v>
      </c>
      <c r="T23">
        <v>14.1</v>
      </c>
      <c r="U23">
        <v>13.6</v>
      </c>
      <c r="V23" s="5"/>
      <c r="W23" s="10">
        <v>13.7</v>
      </c>
      <c r="X23" s="10"/>
      <c r="Y23" s="5"/>
      <c r="Z23" s="5"/>
      <c r="AC23" s="7"/>
      <c r="AE23" s="1"/>
      <c r="AF23" s="2">
        <v>42839</v>
      </c>
      <c r="AG23" s="7">
        <f t="shared" si="11"/>
        <v>12.233333333333334</v>
      </c>
      <c r="AH23" s="38">
        <f t="shared" si="2"/>
        <v>13.9</v>
      </c>
      <c r="AI23" s="38">
        <f t="shared" si="3"/>
        <v>13.166666666666666</v>
      </c>
      <c r="AJ23" s="7">
        <f t="shared" si="4"/>
        <v>14.033333333333333</v>
      </c>
      <c r="AK23" s="7">
        <f t="shared" si="5"/>
        <v>14.066666666666668</v>
      </c>
      <c r="AL23" s="38">
        <f t="shared" si="12"/>
        <v>13.633333333333333</v>
      </c>
      <c r="AM23" s="10">
        <v>13.7</v>
      </c>
      <c r="BA23" s="7">
        <f t="shared" si="9"/>
        <v>13.155555555555557</v>
      </c>
      <c r="BB23" s="7">
        <f t="shared" si="10"/>
        <v>13.855555555555558</v>
      </c>
      <c r="BC23">
        <v>13.7</v>
      </c>
    </row>
    <row r="24" spans="1:55" ht="15.5" x14ac:dyDescent="0.35">
      <c r="A24" s="2">
        <v>42846</v>
      </c>
      <c r="B24">
        <v>13.3</v>
      </c>
      <c r="C24">
        <v>13.7</v>
      </c>
      <c r="D24">
        <v>13.3</v>
      </c>
      <c r="E24">
        <v>13.7</v>
      </c>
      <c r="F24" s="5">
        <v>13.2</v>
      </c>
      <c r="G24" s="5">
        <v>13.7</v>
      </c>
      <c r="H24" s="5"/>
      <c r="I24">
        <v>13.4</v>
      </c>
      <c r="J24">
        <v>13.7</v>
      </c>
      <c r="K24">
        <v>13.4</v>
      </c>
      <c r="L24">
        <v>13.7</v>
      </c>
      <c r="M24">
        <v>13.5</v>
      </c>
      <c r="N24">
        <v>13.7</v>
      </c>
      <c r="P24">
        <v>13.4</v>
      </c>
      <c r="Q24">
        <v>13.3</v>
      </c>
      <c r="R24">
        <v>13.3</v>
      </c>
      <c r="S24">
        <v>13.3</v>
      </c>
      <c r="T24">
        <v>13.3</v>
      </c>
      <c r="U24">
        <v>13.3</v>
      </c>
      <c r="V24" s="5"/>
      <c r="W24" s="10">
        <v>12.9</v>
      </c>
      <c r="X24" s="10"/>
      <c r="Y24" s="5"/>
      <c r="Z24" s="5"/>
      <c r="AC24" s="7"/>
      <c r="AE24" s="1"/>
      <c r="AF24" s="2">
        <v>42846</v>
      </c>
      <c r="AG24" s="7">
        <f t="shared" si="11"/>
        <v>13.266666666666666</v>
      </c>
      <c r="AH24" s="38">
        <f t="shared" si="2"/>
        <v>13.699999999999998</v>
      </c>
      <c r="AI24" s="38">
        <f t="shared" si="3"/>
        <v>13.433333333333332</v>
      </c>
      <c r="AJ24" s="7">
        <f t="shared" si="4"/>
        <v>13.699999999999998</v>
      </c>
      <c r="AK24" s="7">
        <f t="shared" si="5"/>
        <v>13.333333333333334</v>
      </c>
      <c r="AL24" s="38">
        <f t="shared" si="12"/>
        <v>13.300000000000002</v>
      </c>
      <c r="AM24" s="10">
        <v>12.9</v>
      </c>
      <c r="BA24" s="7">
        <f t="shared" si="9"/>
        <v>13.344444444444443</v>
      </c>
      <c r="BB24" s="7">
        <f t="shared" si="10"/>
        <v>13.56666666666667</v>
      </c>
      <c r="BC24">
        <v>12.9</v>
      </c>
    </row>
    <row r="25" spans="1:55" ht="15.5" x14ac:dyDescent="0.35">
      <c r="A25" s="2">
        <v>42853</v>
      </c>
      <c r="B25">
        <v>12.7</v>
      </c>
      <c r="C25">
        <v>13</v>
      </c>
      <c r="D25">
        <v>12.9</v>
      </c>
      <c r="E25">
        <v>12.8</v>
      </c>
      <c r="F25" s="5">
        <v>12.9</v>
      </c>
      <c r="G25" s="5">
        <v>12.8</v>
      </c>
      <c r="H25" s="5"/>
      <c r="I25">
        <v>12.4</v>
      </c>
      <c r="J25">
        <v>13.2</v>
      </c>
      <c r="K25">
        <v>12.5</v>
      </c>
      <c r="L25">
        <v>13.1</v>
      </c>
      <c r="M25">
        <v>12.5</v>
      </c>
      <c r="N25">
        <v>13.1</v>
      </c>
      <c r="P25" s="10">
        <v>11.7</v>
      </c>
      <c r="Q25" s="10">
        <v>12.7</v>
      </c>
      <c r="R25">
        <v>11.9</v>
      </c>
      <c r="S25">
        <v>12.9</v>
      </c>
      <c r="T25">
        <v>11.9</v>
      </c>
      <c r="U25">
        <v>12.9</v>
      </c>
      <c r="V25" s="5"/>
      <c r="W25" s="10">
        <v>13</v>
      </c>
      <c r="X25" s="10"/>
      <c r="Y25" s="5"/>
      <c r="Z25" s="5"/>
      <c r="AC25" s="7"/>
      <c r="AE25" s="1"/>
      <c r="AF25" s="2">
        <v>42853</v>
      </c>
      <c r="AG25" s="7">
        <f t="shared" si="11"/>
        <v>12.833333333333334</v>
      </c>
      <c r="AH25" s="38">
        <f t="shared" si="2"/>
        <v>12.866666666666667</v>
      </c>
      <c r="AI25" s="38">
        <f t="shared" si="3"/>
        <v>12.466666666666667</v>
      </c>
      <c r="AJ25" s="7">
        <f t="shared" si="4"/>
        <v>13.133333333333333</v>
      </c>
      <c r="AK25" s="7">
        <f t="shared" si="5"/>
        <v>11.833333333333334</v>
      </c>
      <c r="AL25" s="38">
        <f t="shared" si="12"/>
        <v>12.833333333333334</v>
      </c>
      <c r="AM25" s="10">
        <v>13</v>
      </c>
      <c r="BA25" s="7">
        <f t="shared" si="9"/>
        <v>12.37777777777778</v>
      </c>
      <c r="BB25" s="7">
        <f t="shared" si="10"/>
        <v>12.944444444444443</v>
      </c>
      <c r="BC25">
        <v>13</v>
      </c>
    </row>
    <row r="26" spans="1:55" ht="15.5" x14ac:dyDescent="0.35">
      <c r="A26" s="2">
        <v>42860</v>
      </c>
      <c r="B26">
        <v>13.7</v>
      </c>
      <c r="C26">
        <v>13.7</v>
      </c>
      <c r="D26">
        <v>13.2</v>
      </c>
      <c r="E26">
        <v>13.8</v>
      </c>
      <c r="F26" s="5">
        <v>13.5</v>
      </c>
      <c r="G26" s="5">
        <v>13.9</v>
      </c>
      <c r="H26" s="5"/>
      <c r="I26">
        <v>13.2</v>
      </c>
      <c r="J26">
        <v>13.9</v>
      </c>
      <c r="K26">
        <v>13.1</v>
      </c>
      <c r="L26">
        <v>13.7</v>
      </c>
      <c r="M26">
        <v>13.2</v>
      </c>
      <c r="N26">
        <v>13.7</v>
      </c>
      <c r="P26" s="10">
        <v>12.9</v>
      </c>
      <c r="Q26" s="10">
        <v>13.5</v>
      </c>
      <c r="R26" s="10">
        <v>12.9</v>
      </c>
      <c r="S26" s="10">
        <v>13.4</v>
      </c>
      <c r="T26">
        <v>13.1</v>
      </c>
      <c r="U26">
        <v>13.3</v>
      </c>
      <c r="V26" s="5"/>
      <c r="W26" s="10">
        <v>14.2</v>
      </c>
      <c r="X26" s="10"/>
      <c r="Y26" s="5"/>
      <c r="Z26" s="5"/>
      <c r="AC26" s="7"/>
      <c r="AE26" s="1"/>
      <c r="AF26" s="2">
        <v>42860</v>
      </c>
      <c r="AG26" s="7">
        <f t="shared" si="11"/>
        <v>13.466666666666667</v>
      </c>
      <c r="AH26" s="38">
        <f t="shared" si="2"/>
        <v>13.799999999999999</v>
      </c>
      <c r="AI26" s="38">
        <f t="shared" si="3"/>
        <v>13.166666666666666</v>
      </c>
      <c r="AJ26" s="7">
        <f t="shared" si="4"/>
        <v>13.766666666666666</v>
      </c>
      <c r="AK26" s="7">
        <f t="shared" si="5"/>
        <v>12.966666666666667</v>
      </c>
      <c r="AL26" s="38">
        <f t="shared" si="12"/>
        <v>13.4</v>
      </c>
      <c r="AM26" s="10">
        <v>14.2</v>
      </c>
      <c r="BA26" s="7">
        <f t="shared" si="9"/>
        <v>13.2</v>
      </c>
      <c r="BB26" s="7">
        <f t="shared" si="10"/>
        <v>13.655555555555557</v>
      </c>
      <c r="BC26">
        <v>14.2</v>
      </c>
    </row>
    <row r="27" spans="1:55" ht="15.5" x14ac:dyDescent="0.35">
      <c r="A27" s="2">
        <v>42867</v>
      </c>
      <c r="B27">
        <v>16.100000000000001</v>
      </c>
      <c r="C27">
        <v>15.1</v>
      </c>
      <c r="D27">
        <v>16.100000000000001</v>
      </c>
      <c r="E27">
        <v>15.3</v>
      </c>
      <c r="F27" s="5">
        <v>16</v>
      </c>
      <c r="G27" s="5">
        <v>15</v>
      </c>
      <c r="H27" s="5"/>
      <c r="I27">
        <v>16</v>
      </c>
      <c r="J27">
        <v>15.3</v>
      </c>
      <c r="K27">
        <v>16.100000000000001</v>
      </c>
      <c r="L27">
        <v>15.4</v>
      </c>
      <c r="M27">
        <v>16.2</v>
      </c>
      <c r="N27">
        <v>15.2</v>
      </c>
      <c r="P27">
        <v>15.9</v>
      </c>
      <c r="Q27">
        <v>14.8</v>
      </c>
      <c r="R27">
        <v>15.7</v>
      </c>
      <c r="S27">
        <v>14.6</v>
      </c>
      <c r="T27">
        <v>14.9</v>
      </c>
      <c r="U27">
        <v>14.4</v>
      </c>
      <c r="V27" s="5"/>
      <c r="W27" s="10">
        <v>16.5</v>
      </c>
      <c r="X27" s="10"/>
      <c r="Y27" s="5"/>
      <c r="Z27" s="5"/>
      <c r="AC27" s="7"/>
      <c r="AE27" s="1"/>
      <c r="AF27" s="2">
        <v>42867</v>
      </c>
      <c r="AG27" s="7">
        <f t="shared" si="11"/>
        <v>16.066666666666666</v>
      </c>
      <c r="AH27" s="38">
        <f t="shared" si="2"/>
        <v>15.133333333333333</v>
      </c>
      <c r="AI27" s="38">
        <f t="shared" si="3"/>
        <v>16.099999999999998</v>
      </c>
      <c r="AJ27" s="7">
        <f t="shared" si="4"/>
        <v>15.300000000000002</v>
      </c>
      <c r="AK27" s="7">
        <f t="shared" si="5"/>
        <v>15.5</v>
      </c>
      <c r="AL27" s="38">
        <f t="shared" si="12"/>
        <v>14.6</v>
      </c>
      <c r="AM27" s="10">
        <v>16.5</v>
      </c>
      <c r="BA27" s="7">
        <f t="shared" si="9"/>
        <v>15.888888888888889</v>
      </c>
      <c r="BB27" s="7">
        <f t="shared" si="10"/>
        <v>15.011111111111111</v>
      </c>
      <c r="BC27">
        <v>16.5</v>
      </c>
    </row>
    <row r="28" spans="1:55" ht="15.5" x14ac:dyDescent="0.35">
      <c r="A28" s="13">
        <v>42874</v>
      </c>
      <c r="B28" s="10">
        <v>16.600000000000001</v>
      </c>
      <c r="C28" s="10">
        <v>16.7</v>
      </c>
      <c r="D28" s="10">
        <v>16.600000000000001</v>
      </c>
      <c r="E28" s="10">
        <v>16.7</v>
      </c>
      <c r="F28" s="5">
        <v>16.5</v>
      </c>
      <c r="G28" s="5">
        <v>16.399999999999999</v>
      </c>
      <c r="H28" s="9"/>
      <c r="I28" s="10">
        <v>16.399999999999999</v>
      </c>
      <c r="J28" s="10">
        <v>17</v>
      </c>
      <c r="K28" s="10">
        <v>16.5</v>
      </c>
      <c r="L28" s="10">
        <v>16.899999999999999</v>
      </c>
      <c r="M28" s="5">
        <v>16.5</v>
      </c>
      <c r="N28" s="5">
        <v>16.100000000000001</v>
      </c>
      <c r="O28" s="5"/>
      <c r="P28" s="10">
        <v>16.7</v>
      </c>
      <c r="Q28" s="10">
        <v>16.100000000000001</v>
      </c>
      <c r="R28" s="10">
        <v>16.600000000000001</v>
      </c>
      <c r="S28" s="10">
        <v>16.100000000000001</v>
      </c>
      <c r="T28" s="5">
        <v>16.7</v>
      </c>
      <c r="U28" s="5">
        <v>15.9</v>
      </c>
      <c r="V28" s="5"/>
      <c r="W28" s="10">
        <v>17.7</v>
      </c>
      <c r="X28" s="10"/>
      <c r="Y28" s="5"/>
      <c r="Z28" s="5"/>
      <c r="AC28" s="7"/>
      <c r="AE28" s="1"/>
      <c r="AF28" s="2">
        <v>42874</v>
      </c>
      <c r="AG28" s="7">
        <f t="shared" si="11"/>
        <v>16.566666666666666</v>
      </c>
      <c r="AH28" s="38">
        <f t="shared" si="2"/>
        <v>16.599999999999998</v>
      </c>
      <c r="AI28" s="38">
        <f t="shared" ref="AI28:AI29" si="13">AVERAGE(I28,K28,M28)</f>
        <v>16.466666666666665</v>
      </c>
      <c r="AJ28" s="7">
        <f t="shared" ref="AJ28:AJ29" si="14">AVERAGE(J28,L28,N28)</f>
        <v>16.666666666666668</v>
      </c>
      <c r="AK28" s="7">
        <f t="shared" si="5"/>
        <v>16.666666666666668</v>
      </c>
      <c r="AL28" s="38">
        <f t="shared" si="12"/>
        <v>16.033333333333335</v>
      </c>
      <c r="AM28" s="10">
        <v>17.7</v>
      </c>
      <c r="BA28" s="7">
        <f t="shared" ref="BA28:BA29" si="15">AVERAGE(P28,R28,T28,I28,K28,M28,B28,D28,F28)</f>
        <v>16.566666666666666</v>
      </c>
      <c r="BB28" s="7">
        <f t="shared" ref="BB28:BB29" si="16">AVERAGE(Q28,S28,U28,J28,L28,N28,C28,E28,G28)</f>
        <v>16.433333333333334</v>
      </c>
      <c r="BC28" s="10">
        <v>17.7</v>
      </c>
    </row>
    <row r="29" spans="1:55" ht="15.5" x14ac:dyDescent="0.35">
      <c r="A29" s="13">
        <v>42879</v>
      </c>
      <c r="B29" s="5">
        <v>20</v>
      </c>
      <c r="C29" s="5">
        <v>18.899999999999999</v>
      </c>
      <c r="D29">
        <v>19.600000000000001</v>
      </c>
      <c r="E29">
        <v>19</v>
      </c>
      <c r="F29" s="5">
        <v>19.899999999999999</v>
      </c>
      <c r="G29" s="5">
        <v>19.399999999999999</v>
      </c>
      <c r="H29" s="9"/>
      <c r="I29" s="5">
        <v>19.7</v>
      </c>
      <c r="J29" s="5">
        <v>18.100000000000001</v>
      </c>
      <c r="K29" s="5">
        <v>19.8</v>
      </c>
      <c r="L29" s="10">
        <v>18</v>
      </c>
      <c r="M29" s="10">
        <v>19.5</v>
      </c>
      <c r="N29" s="10">
        <v>18.2</v>
      </c>
      <c r="O29" s="5"/>
      <c r="P29" s="10">
        <v>19.3</v>
      </c>
      <c r="Q29" s="10">
        <v>17.5</v>
      </c>
      <c r="R29" s="10">
        <v>19</v>
      </c>
      <c r="S29" s="10">
        <v>17.7</v>
      </c>
      <c r="T29" s="10">
        <v>19.8</v>
      </c>
      <c r="U29" s="10">
        <v>17.600000000000001</v>
      </c>
      <c r="V29" s="5"/>
      <c r="W29" s="10">
        <v>19.600000000000001</v>
      </c>
      <c r="X29" s="10"/>
      <c r="Y29" s="5"/>
      <c r="Z29" s="5"/>
      <c r="AC29" s="7"/>
      <c r="AE29" s="1"/>
      <c r="AF29" s="2">
        <v>42879</v>
      </c>
      <c r="AG29" s="7">
        <f t="shared" si="11"/>
        <v>19.833333333333332</v>
      </c>
      <c r="AH29" s="38">
        <f t="shared" si="2"/>
        <v>19.099999999999998</v>
      </c>
      <c r="AI29" s="38">
        <f t="shared" si="13"/>
        <v>19.666666666666668</v>
      </c>
      <c r="AJ29" s="7">
        <f t="shared" si="14"/>
        <v>18.099999999999998</v>
      </c>
      <c r="AK29" s="7">
        <f t="shared" si="5"/>
        <v>19.366666666666664</v>
      </c>
      <c r="AL29" s="38">
        <f t="shared" si="12"/>
        <v>17.600000000000001</v>
      </c>
      <c r="AM29" s="10">
        <v>19.600000000000001</v>
      </c>
      <c r="BA29" s="7">
        <f t="shared" si="15"/>
        <v>19.62222222222222</v>
      </c>
      <c r="BB29" s="7">
        <f t="shared" si="16"/>
        <v>18.266666666666666</v>
      </c>
      <c r="BC29" s="10">
        <v>19.600000000000001</v>
      </c>
    </row>
    <row r="30" spans="1:55" ht="15.5" x14ac:dyDescent="0.35">
      <c r="A30" s="13"/>
      <c r="B30" s="5"/>
      <c r="C30" s="5"/>
      <c r="F30" s="5"/>
      <c r="G30" s="5"/>
      <c r="H30" s="9"/>
      <c r="I30" s="5"/>
      <c r="J30" s="5"/>
      <c r="K30" s="5"/>
      <c r="L30" s="10"/>
      <c r="M30" s="10"/>
      <c r="N30" s="10"/>
      <c r="O30" s="5"/>
      <c r="P30" s="10"/>
      <c r="Q30" s="10"/>
      <c r="R30" s="10"/>
      <c r="S30" s="10"/>
      <c r="T30" s="10"/>
      <c r="U30" s="10"/>
      <c r="V30" s="5"/>
      <c r="W30" s="10"/>
      <c r="X30" s="10"/>
      <c r="Y30" s="5"/>
      <c r="Z30" s="5"/>
      <c r="AC30" s="7"/>
      <c r="AE30" s="1"/>
      <c r="AF30" s="2"/>
      <c r="AG30" s="7"/>
      <c r="AH30" s="38"/>
      <c r="AI30" s="38"/>
      <c r="AJ30" s="7"/>
      <c r="AK30" s="7"/>
      <c r="AL30" s="38"/>
      <c r="AM30" s="10"/>
      <c r="BA30" s="7"/>
      <c r="BB30" s="7"/>
      <c r="BC30" s="10"/>
    </row>
    <row r="31" spans="1:55" ht="15.5" x14ac:dyDescent="0.35">
      <c r="V31" s="5"/>
      <c r="W31" s="10"/>
      <c r="X31" s="10"/>
      <c r="Y31" s="5"/>
      <c r="Z31" s="5"/>
      <c r="AC31" s="7"/>
      <c r="AE31" s="1"/>
      <c r="AF31" s="2"/>
      <c r="AG31" s="7"/>
      <c r="AH31" s="38"/>
      <c r="AI31" s="38"/>
      <c r="AJ31" s="7"/>
      <c r="AK31" s="7"/>
      <c r="AL31" s="38"/>
      <c r="AM31" s="10"/>
      <c r="BA31" s="7"/>
      <c r="BB31" s="7"/>
      <c r="BC31" s="10"/>
    </row>
    <row r="32" spans="1:55" ht="15.5" x14ac:dyDescent="0.35">
      <c r="A32" s="13">
        <v>43171</v>
      </c>
      <c r="B32" s="7">
        <v>7</v>
      </c>
      <c r="C32" s="7">
        <v>7</v>
      </c>
      <c r="D32" s="7">
        <v>7</v>
      </c>
      <c r="E32" s="7">
        <v>7</v>
      </c>
      <c r="F32" s="7">
        <v>7</v>
      </c>
      <c r="G32" s="37">
        <v>7</v>
      </c>
      <c r="I32" s="7">
        <v>7</v>
      </c>
      <c r="J32" s="7">
        <v>7</v>
      </c>
      <c r="K32" s="7">
        <v>7</v>
      </c>
      <c r="L32" s="7">
        <v>7</v>
      </c>
      <c r="M32" s="7">
        <v>7</v>
      </c>
      <c r="N32" s="7">
        <v>7</v>
      </c>
      <c r="P32">
        <v>7.2</v>
      </c>
      <c r="Q32">
        <v>7.2</v>
      </c>
      <c r="R32">
        <v>7.2</v>
      </c>
      <c r="S32">
        <v>7.2</v>
      </c>
      <c r="T32">
        <v>7.2</v>
      </c>
      <c r="U32">
        <v>7.1</v>
      </c>
      <c r="V32" s="5"/>
      <c r="W32" s="10"/>
      <c r="X32" s="10"/>
      <c r="Y32" s="5"/>
      <c r="Z32" s="5"/>
      <c r="AC32" s="7"/>
      <c r="AE32" s="1"/>
      <c r="AF32" s="13">
        <v>43171</v>
      </c>
      <c r="AG32" s="7">
        <f t="shared" ref="AG32:AG43" si="17">AVERAGE(P32,R32,T32)</f>
        <v>7.2</v>
      </c>
      <c r="AH32" s="38">
        <f t="shared" ref="AH32:AH43" si="18">AVERAGE(Q32,S32,U32)</f>
        <v>7.166666666666667</v>
      </c>
      <c r="AI32" s="38">
        <f t="shared" ref="AI32:AI43" si="19">AVERAGE(I32,K32,M32)</f>
        <v>7</v>
      </c>
      <c r="AJ32" s="7">
        <f t="shared" ref="AJ32:AJ43" si="20">AVERAGE(J32,L32,N32)</f>
        <v>7</v>
      </c>
      <c r="AK32" s="7">
        <f t="shared" ref="AK32:AK43" si="21">AVERAGE(P32,R32,T32)</f>
        <v>7.2</v>
      </c>
      <c r="AL32" s="38">
        <f>AVERAGE(Q32,S32,U32)</f>
        <v>7.166666666666667</v>
      </c>
      <c r="AM32" s="10"/>
      <c r="BA32" s="7">
        <f t="shared" ref="BA32:BA43" si="22">AVERAGE(P32,R32,T32,I32,K32,M32,B32,D32,F32)</f>
        <v>7.0666666666666664</v>
      </c>
      <c r="BB32" s="7">
        <f t="shared" ref="BB32:BB43" si="23">AVERAGE(Q32,S32,U32,J32,L32,N32,C32,E32,G32)</f>
        <v>7.0555555555555554</v>
      </c>
      <c r="BC32" s="10"/>
    </row>
    <row r="33" spans="1:55" ht="15.5" x14ac:dyDescent="0.35">
      <c r="A33" s="13">
        <v>43178</v>
      </c>
      <c r="B33">
        <v>4.9000000000000004</v>
      </c>
      <c r="C33">
        <v>4.8</v>
      </c>
      <c r="D33">
        <v>4.9000000000000004</v>
      </c>
      <c r="E33">
        <v>4.9000000000000004</v>
      </c>
      <c r="F33">
        <v>4.9000000000000004</v>
      </c>
      <c r="G33">
        <v>4.8</v>
      </c>
      <c r="I33">
        <v>4.9000000000000004</v>
      </c>
      <c r="J33">
        <v>4.9000000000000004</v>
      </c>
      <c r="K33">
        <v>4.9000000000000004</v>
      </c>
      <c r="L33">
        <v>4.8</v>
      </c>
      <c r="M33">
        <v>4.8</v>
      </c>
      <c r="N33">
        <v>4.8</v>
      </c>
      <c r="P33">
        <v>4.9000000000000004</v>
      </c>
      <c r="Q33">
        <v>4.9000000000000004</v>
      </c>
      <c r="R33">
        <v>4.7</v>
      </c>
      <c r="S33">
        <v>4.8</v>
      </c>
      <c r="T33">
        <v>4.5</v>
      </c>
      <c r="U33">
        <v>4.7</v>
      </c>
      <c r="V33" s="5"/>
      <c r="W33" s="10"/>
      <c r="X33" s="10"/>
      <c r="Y33" s="5"/>
      <c r="Z33" s="5">
        <v>0.9</v>
      </c>
      <c r="AC33" s="7"/>
      <c r="AE33" s="1"/>
      <c r="AF33" s="13">
        <v>43178</v>
      </c>
      <c r="AG33" s="7">
        <f t="shared" si="17"/>
        <v>4.7</v>
      </c>
      <c r="AH33" s="38">
        <f t="shared" si="18"/>
        <v>4.8</v>
      </c>
      <c r="AI33" s="38">
        <f t="shared" si="19"/>
        <v>4.8666666666666671</v>
      </c>
      <c r="AJ33" s="7">
        <f t="shared" si="20"/>
        <v>4.833333333333333</v>
      </c>
      <c r="AK33" s="7">
        <f t="shared" si="21"/>
        <v>4.7</v>
      </c>
      <c r="AL33" s="38">
        <f t="shared" ref="AL33:AL43" si="24">AVERAGE(Q33,S33,U33)</f>
        <v>4.8</v>
      </c>
      <c r="AM33" s="10"/>
      <c r="BA33" s="7">
        <f t="shared" si="22"/>
        <v>4.822222222222222</v>
      </c>
      <c r="BB33" s="7">
        <f t="shared" si="23"/>
        <v>4.8222222222222211</v>
      </c>
      <c r="BC33" s="10"/>
    </row>
    <row r="34" spans="1:55" ht="15.5" x14ac:dyDescent="0.35">
      <c r="A34" s="13">
        <v>43185</v>
      </c>
      <c r="B34">
        <v>6.6</v>
      </c>
      <c r="C34">
        <v>6.5</v>
      </c>
      <c r="D34">
        <v>6.5</v>
      </c>
      <c r="E34">
        <v>6.3</v>
      </c>
      <c r="F34">
        <v>6.2</v>
      </c>
      <c r="G34">
        <v>6.3</v>
      </c>
      <c r="I34">
        <v>6.5</v>
      </c>
      <c r="J34">
        <v>6.7</v>
      </c>
      <c r="K34">
        <v>6.6</v>
      </c>
      <c r="L34">
        <v>6.7</v>
      </c>
      <c r="M34">
        <v>6.6</v>
      </c>
      <c r="N34">
        <v>6.7</v>
      </c>
      <c r="P34" s="10">
        <v>6.6</v>
      </c>
      <c r="Q34" s="10">
        <v>6.5</v>
      </c>
      <c r="R34" s="10">
        <v>6.6</v>
      </c>
      <c r="S34" s="10">
        <v>6.5</v>
      </c>
      <c r="T34">
        <v>6.6</v>
      </c>
      <c r="U34">
        <v>6.5</v>
      </c>
      <c r="V34" s="5"/>
      <c r="W34" s="10">
        <v>7.7</v>
      </c>
      <c r="X34" s="10"/>
      <c r="Y34" s="5"/>
      <c r="Z34" s="5">
        <v>7.4</v>
      </c>
      <c r="AC34" s="7"/>
      <c r="AE34" s="1"/>
      <c r="AF34" s="13">
        <v>43185</v>
      </c>
      <c r="AG34" s="7">
        <f t="shared" si="17"/>
        <v>6.5999999999999988</v>
      </c>
      <c r="AH34" s="38">
        <f t="shared" si="18"/>
        <v>6.5</v>
      </c>
      <c r="AI34" s="38">
        <f t="shared" si="19"/>
        <v>6.5666666666666664</v>
      </c>
      <c r="AJ34" s="7">
        <f t="shared" si="20"/>
        <v>6.7</v>
      </c>
      <c r="AK34" s="7">
        <f t="shared" si="21"/>
        <v>6.5999999999999988</v>
      </c>
      <c r="AL34" s="38">
        <f t="shared" si="24"/>
        <v>6.5</v>
      </c>
      <c r="AM34" s="10">
        <v>7.7</v>
      </c>
      <c r="BA34" s="7">
        <f t="shared" si="22"/>
        <v>6.5333333333333341</v>
      </c>
      <c r="BB34" s="7">
        <f t="shared" si="23"/>
        <v>6.5222222222222221</v>
      </c>
      <c r="BC34" s="10">
        <v>7.7</v>
      </c>
    </row>
    <row r="35" spans="1:55" ht="15.5" x14ac:dyDescent="0.35">
      <c r="A35" s="13">
        <v>43193</v>
      </c>
      <c r="B35">
        <v>9.3000000000000007</v>
      </c>
      <c r="C35">
        <v>9.4</v>
      </c>
      <c r="D35">
        <v>9.4</v>
      </c>
      <c r="E35">
        <v>9.4</v>
      </c>
      <c r="F35">
        <v>9.5</v>
      </c>
      <c r="G35">
        <v>9.4</v>
      </c>
      <c r="I35">
        <v>9.3000000000000007</v>
      </c>
      <c r="J35">
        <v>9.1999999999999993</v>
      </c>
      <c r="K35">
        <v>9.4</v>
      </c>
      <c r="L35">
        <v>9.4</v>
      </c>
      <c r="M35">
        <v>9.5</v>
      </c>
      <c r="N35">
        <v>9.4</v>
      </c>
      <c r="P35" s="10">
        <v>9.1999999999999993</v>
      </c>
      <c r="Q35" s="10">
        <v>9</v>
      </c>
      <c r="R35" s="10">
        <v>9.4</v>
      </c>
      <c r="S35" s="10">
        <v>8.8000000000000007</v>
      </c>
      <c r="T35">
        <v>8.9</v>
      </c>
      <c r="U35">
        <v>8.8000000000000007</v>
      </c>
      <c r="V35" s="5"/>
      <c r="W35" s="10">
        <v>9.9</v>
      </c>
      <c r="X35" s="10"/>
      <c r="Y35" s="5"/>
      <c r="Z35" s="5">
        <v>8.9</v>
      </c>
      <c r="AC35" s="7"/>
      <c r="AE35" s="1"/>
      <c r="AF35" s="13">
        <v>43193</v>
      </c>
      <c r="AG35" s="7">
        <f t="shared" si="17"/>
        <v>9.1666666666666661</v>
      </c>
      <c r="AH35" s="38">
        <f t="shared" si="18"/>
        <v>8.8666666666666671</v>
      </c>
      <c r="AI35" s="38">
        <f t="shared" si="19"/>
        <v>9.4</v>
      </c>
      <c r="AJ35" s="7">
        <f t="shared" si="20"/>
        <v>9.3333333333333339</v>
      </c>
      <c r="AK35" s="7">
        <f t="shared" si="21"/>
        <v>9.1666666666666661</v>
      </c>
      <c r="AL35" s="38">
        <f t="shared" si="24"/>
        <v>8.8666666666666671</v>
      </c>
      <c r="AM35" s="10">
        <v>9.9</v>
      </c>
      <c r="BA35" s="7">
        <f t="shared" si="22"/>
        <v>9.3222222222222229</v>
      </c>
      <c r="BB35" s="7">
        <f t="shared" si="23"/>
        <v>9.1999999999999993</v>
      </c>
      <c r="BC35" s="10">
        <v>9.9</v>
      </c>
    </row>
    <row r="36" spans="1:55" ht="15.5" x14ac:dyDescent="0.35">
      <c r="A36" s="13">
        <v>43199</v>
      </c>
      <c r="B36">
        <v>11.8</v>
      </c>
      <c r="C36">
        <v>11.7</v>
      </c>
      <c r="D36">
        <v>11.9</v>
      </c>
      <c r="E36">
        <v>11.6</v>
      </c>
      <c r="F36">
        <v>12</v>
      </c>
      <c r="G36">
        <v>11.5</v>
      </c>
      <c r="I36">
        <v>11.9</v>
      </c>
      <c r="J36">
        <v>11.3</v>
      </c>
      <c r="K36">
        <v>11.9</v>
      </c>
      <c r="L36">
        <v>11.3</v>
      </c>
      <c r="M36">
        <v>11.9</v>
      </c>
      <c r="N36">
        <v>11.3</v>
      </c>
      <c r="P36" s="10">
        <v>11.9</v>
      </c>
      <c r="Q36" s="55">
        <v>11.1</v>
      </c>
      <c r="R36" s="10">
        <v>11.8</v>
      </c>
      <c r="S36" s="55">
        <v>11</v>
      </c>
      <c r="T36" s="10">
        <v>11.9</v>
      </c>
      <c r="U36" s="10">
        <v>11.3</v>
      </c>
      <c r="V36" s="5"/>
      <c r="W36" s="10">
        <v>12.2</v>
      </c>
      <c r="X36" s="10"/>
      <c r="Y36" s="5"/>
      <c r="Z36" s="10">
        <v>11.7</v>
      </c>
      <c r="AC36" s="7"/>
      <c r="AE36" s="1"/>
      <c r="AF36" s="13">
        <v>43199</v>
      </c>
      <c r="AG36" s="7">
        <f t="shared" si="17"/>
        <v>11.866666666666667</v>
      </c>
      <c r="AH36" s="38">
        <f t="shared" si="18"/>
        <v>11.133333333333335</v>
      </c>
      <c r="AI36" s="38">
        <f t="shared" si="19"/>
        <v>11.9</v>
      </c>
      <c r="AJ36" s="7">
        <f t="shared" si="20"/>
        <v>11.300000000000002</v>
      </c>
      <c r="AK36" s="7">
        <f t="shared" si="21"/>
        <v>11.866666666666667</v>
      </c>
      <c r="AL36" s="38">
        <f t="shared" si="24"/>
        <v>11.133333333333335</v>
      </c>
      <c r="AM36" s="10">
        <v>12.2</v>
      </c>
      <c r="BA36" s="7">
        <f t="shared" si="22"/>
        <v>11.888888888888889</v>
      </c>
      <c r="BB36" s="7">
        <f t="shared" si="23"/>
        <v>11.344444444444443</v>
      </c>
      <c r="BC36" s="10">
        <v>12.2</v>
      </c>
    </row>
    <row r="37" spans="1:55" ht="15.5" x14ac:dyDescent="0.35">
      <c r="A37" s="13">
        <v>43206</v>
      </c>
      <c r="B37">
        <v>13.5</v>
      </c>
      <c r="C37">
        <v>13.4</v>
      </c>
      <c r="D37">
        <v>13.4</v>
      </c>
      <c r="E37">
        <v>13.3</v>
      </c>
      <c r="F37">
        <v>13.3</v>
      </c>
      <c r="G37">
        <v>13.3</v>
      </c>
      <c r="I37">
        <v>13.5</v>
      </c>
      <c r="J37">
        <v>13.4</v>
      </c>
      <c r="K37">
        <v>13.4</v>
      </c>
      <c r="L37">
        <v>13.3</v>
      </c>
      <c r="M37">
        <v>13.5</v>
      </c>
      <c r="N37">
        <v>13.3</v>
      </c>
      <c r="P37" s="10">
        <v>13.4</v>
      </c>
      <c r="Q37" s="10">
        <v>13.3</v>
      </c>
      <c r="R37">
        <v>13.4</v>
      </c>
      <c r="S37">
        <v>13.3</v>
      </c>
      <c r="T37">
        <v>13.3</v>
      </c>
      <c r="U37">
        <v>13.3</v>
      </c>
      <c r="V37" s="5"/>
      <c r="W37" s="10">
        <v>13.8</v>
      </c>
      <c r="X37" s="10"/>
      <c r="Y37" s="5"/>
      <c r="Z37" s="10">
        <v>12.7</v>
      </c>
      <c r="AC37" s="7"/>
      <c r="AE37" s="1"/>
      <c r="AF37" s="13">
        <v>43206</v>
      </c>
      <c r="AG37" s="7">
        <f t="shared" si="17"/>
        <v>13.366666666666667</v>
      </c>
      <c r="AH37" s="38">
        <f t="shared" si="18"/>
        <v>13.300000000000002</v>
      </c>
      <c r="AI37" s="38">
        <f t="shared" si="19"/>
        <v>13.466666666666667</v>
      </c>
      <c r="AJ37" s="7">
        <f t="shared" si="20"/>
        <v>13.333333333333334</v>
      </c>
      <c r="AK37" s="7">
        <f t="shared" si="21"/>
        <v>13.366666666666667</v>
      </c>
      <c r="AL37" s="38">
        <f t="shared" si="24"/>
        <v>13.300000000000002</v>
      </c>
      <c r="AM37" s="10">
        <v>13.8</v>
      </c>
      <c r="BA37" s="7">
        <f t="shared" si="22"/>
        <v>13.411111111111111</v>
      </c>
      <c r="BB37" s="7">
        <f t="shared" si="23"/>
        <v>13.322222222222223</v>
      </c>
      <c r="BC37" s="10">
        <v>13.8</v>
      </c>
    </row>
    <row r="38" spans="1:55" ht="15.5" x14ac:dyDescent="0.35">
      <c r="A38" s="13">
        <v>43213</v>
      </c>
      <c r="B38" s="43">
        <v>15</v>
      </c>
      <c r="C38" s="43">
        <v>14.4</v>
      </c>
      <c r="D38" s="43">
        <v>16.399999999999999</v>
      </c>
      <c r="E38" s="43">
        <v>14.5</v>
      </c>
      <c r="F38" s="43">
        <v>15.5</v>
      </c>
      <c r="G38" s="43">
        <v>14.6</v>
      </c>
      <c r="I38" s="43">
        <v>16.399999999999999</v>
      </c>
      <c r="J38" s="43">
        <v>15.4</v>
      </c>
      <c r="K38" s="43">
        <v>16.2</v>
      </c>
      <c r="L38" s="43">
        <v>15.1</v>
      </c>
      <c r="M38" s="43">
        <v>16.100000000000001</v>
      </c>
      <c r="N38" s="43">
        <v>15.1</v>
      </c>
      <c r="P38" s="43">
        <v>16.100000000000001</v>
      </c>
      <c r="Q38" s="43">
        <v>15.1</v>
      </c>
      <c r="R38" s="43">
        <v>16.100000000000001</v>
      </c>
      <c r="S38" s="43">
        <v>14.9</v>
      </c>
      <c r="T38" s="43">
        <v>16.5</v>
      </c>
      <c r="U38" s="43">
        <v>14.8</v>
      </c>
      <c r="V38" s="5"/>
      <c r="W38" s="10">
        <v>19.100000000000001</v>
      </c>
      <c r="X38" s="10"/>
      <c r="Y38" s="5"/>
      <c r="Z38" s="10">
        <v>15.4</v>
      </c>
      <c r="AC38" s="7"/>
      <c r="AE38" s="1"/>
      <c r="AF38" s="13">
        <v>43213</v>
      </c>
      <c r="AG38" s="7">
        <f t="shared" si="17"/>
        <v>16.233333333333334</v>
      </c>
      <c r="AH38" s="38">
        <f t="shared" si="18"/>
        <v>14.933333333333332</v>
      </c>
      <c r="AI38" s="38">
        <f t="shared" si="19"/>
        <v>16.233333333333331</v>
      </c>
      <c r="AJ38" s="7">
        <f t="shared" si="20"/>
        <v>15.200000000000001</v>
      </c>
      <c r="AK38" s="7">
        <f t="shared" si="21"/>
        <v>16.233333333333334</v>
      </c>
      <c r="AL38" s="38">
        <f t="shared" si="24"/>
        <v>14.933333333333332</v>
      </c>
      <c r="AM38" s="10">
        <v>19.100000000000001</v>
      </c>
      <c r="BA38" s="7">
        <f t="shared" si="22"/>
        <v>16.033333333333335</v>
      </c>
      <c r="BB38" s="7">
        <f t="shared" si="23"/>
        <v>14.877777777777778</v>
      </c>
      <c r="BC38" s="10">
        <v>19.100000000000001</v>
      </c>
    </row>
    <row r="39" spans="1:55" ht="15.5" x14ac:dyDescent="0.35">
      <c r="A39" s="2">
        <v>43222</v>
      </c>
      <c r="B39" s="43">
        <v>11.7</v>
      </c>
      <c r="C39" s="43">
        <v>11.6</v>
      </c>
      <c r="D39" s="43">
        <v>11.7</v>
      </c>
      <c r="E39" s="43">
        <v>11.7</v>
      </c>
      <c r="F39" s="43">
        <v>11.7</v>
      </c>
      <c r="G39" s="43">
        <v>11.7</v>
      </c>
      <c r="I39" s="43">
        <v>11.8</v>
      </c>
      <c r="J39" s="43">
        <v>11.7</v>
      </c>
      <c r="K39" s="43">
        <v>11.7</v>
      </c>
      <c r="L39" s="43">
        <v>11.7</v>
      </c>
      <c r="M39" s="43">
        <v>11.7</v>
      </c>
      <c r="N39" s="43">
        <v>11.8</v>
      </c>
      <c r="P39" s="43">
        <v>11.8</v>
      </c>
      <c r="Q39" s="43">
        <v>11.8</v>
      </c>
      <c r="R39" s="43">
        <v>11.8</v>
      </c>
      <c r="S39" s="43">
        <v>11.7</v>
      </c>
      <c r="T39" s="43">
        <v>11.7</v>
      </c>
      <c r="U39" s="43">
        <v>11.7</v>
      </c>
      <c r="V39" s="5"/>
      <c r="W39" s="10">
        <v>11.9</v>
      </c>
      <c r="X39" s="10"/>
      <c r="Y39" s="5"/>
      <c r="Z39" s="10">
        <v>11.5</v>
      </c>
      <c r="AC39" s="7"/>
      <c r="AE39" s="1"/>
      <c r="AF39" s="2">
        <v>43222</v>
      </c>
      <c r="AG39" s="7">
        <f t="shared" si="17"/>
        <v>11.766666666666666</v>
      </c>
      <c r="AH39" s="38">
        <f t="shared" si="18"/>
        <v>11.733333333333334</v>
      </c>
      <c r="AI39" s="38">
        <f t="shared" si="19"/>
        <v>11.733333333333334</v>
      </c>
      <c r="AJ39" s="7">
        <f t="shared" si="20"/>
        <v>11.733333333333334</v>
      </c>
      <c r="AK39" s="7">
        <f t="shared" si="21"/>
        <v>11.766666666666666</v>
      </c>
      <c r="AL39" s="38">
        <f t="shared" si="24"/>
        <v>11.733333333333334</v>
      </c>
      <c r="AM39" s="10">
        <v>11.9</v>
      </c>
      <c r="BA39" s="7">
        <f t="shared" si="22"/>
        <v>11.733333333333334</v>
      </c>
      <c r="BB39" s="7">
        <f t="shared" si="23"/>
        <v>11.711111111111112</v>
      </c>
      <c r="BC39" s="10">
        <v>11.9</v>
      </c>
    </row>
    <row r="40" spans="1:55" ht="15.5" x14ac:dyDescent="0.35">
      <c r="A40" s="2">
        <v>43227</v>
      </c>
      <c r="B40" s="43">
        <v>16.399999999999999</v>
      </c>
      <c r="C40" s="43">
        <v>14.6</v>
      </c>
      <c r="D40" s="43">
        <v>19.2</v>
      </c>
      <c r="E40" s="43">
        <v>14.6</v>
      </c>
      <c r="F40" s="43">
        <v>17.7</v>
      </c>
      <c r="G40" s="73">
        <v>14.7</v>
      </c>
      <c r="I40" s="43">
        <v>16.3</v>
      </c>
      <c r="J40" s="43">
        <v>14.9</v>
      </c>
      <c r="K40" s="43">
        <v>17.600000000000001</v>
      </c>
      <c r="L40" s="43">
        <v>14.9</v>
      </c>
      <c r="M40" s="43">
        <v>18.2</v>
      </c>
      <c r="N40" s="43">
        <v>14.9</v>
      </c>
      <c r="P40" s="43">
        <v>16.5</v>
      </c>
      <c r="Q40" s="43">
        <v>14.4</v>
      </c>
      <c r="R40" s="43">
        <v>16.899999999999999</v>
      </c>
      <c r="S40" s="43">
        <v>14.4</v>
      </c>
      <c r="T40" s="43">
        <v>15.7</v>
      </c>
      <c r="U40" s="43">
        <v>14.6</v>
      </c>
      <c r="V40" s="5"/>
      <c r="W40" s="10">
        <v>18.399999999999999</v>
      </c>
      <c r="X40" s="10"/>
      <c r="Y40" s="5"/>
      <c r="Z40" s="5"/>
      <c r="AC40" s="7"/>
      <c r="AE40" s="1"/>
      <c r="AF40" s="2">
        <v>43227</v>
      </c>
      <c r="AG40" s="7">
        <f t="shared" si="17"/>
        <v>16.366666666666664</v>
      </c>
      <c r="AH40" s="38">
        <f t="shared" si="18"/>
        <v>14.466666666666667</v>
      </c>
      <c r="AI40" s="38">
        <f t="shared" si="19"/>
        <v>17.366666666666671</v>
      </c>
      <c r="AJ40" s="7">
        <f t="shared" si="20"/>
        <v>14.9</v>
      </c>
      <c r="AK40" s="7">
        <f t="shared" si="21"/>
        <v>16.366666666666664</v>
      </c>
      <c r="AL40" s="38">
        <f t="shared" si="24"/>
        <v>14.466666666666667</v>
      </c>
      <c r="AM40" s="10">
        <v>18.399999999999999</v>
      </c>
      <c r="BA40" s="7">
        <f t="shared" si="22"/>
        <v>17.166666666666664</v>
      </c>
      <c r="BB40" s="7">
        <f t="shared" si="23"/>
        <v>14.666666666666666</v>
      </c>
      <c r="BC40" s="10">
        <v>18.399999999999999</v>
      </c>
    </row>
    <row r="41" spans="1:55" ht="15.5" x14ac:dyDescent="0.35">
      <c r="A41" s="13">
        <v>43234</v>
      </c>
      <c r="B41" s="43">
        <v>14.7</v>
      </c>
      <c r="C41" s="43">
        <v>15.4</v>
      </c>
      <c r="D41" s="43">
        <v>14.7</v>
      </c>
      <c r="E41" s="43">
        <v>15.4</v>
      </c>
      <c r="F41" s="43">
        <v>14.7</v>
      </c>
      <c r="G41" s="43">
        <v>15.3</v>
      </c>
      <c r="I41" s="43">
        <v>14.4</v>
      </c>
      <c r="J41" s="43">
        <v>15.5</v>
      </c>
      <c r="K41" s="43">
        <v>14.4</v>
      </c>
      <c r="L41" s="43">
        <v>15.6</v>
      </c>
      <c r="M41" s="43">
        <v>14.3</v>
      </c>
      <c r="N41" s="43">
        <v>15.5</v>
      </c>
      <c r="P41" s="43">
        <v>13.6</v>
      </c>
      <c r="Q41" s="43">
        <v>15.4</v>
      </c>
      <c r="R41" s="43">
        <v>13.6</v>
      </c>
      <c r="S41" s="43">
        <v>14.5</v>
      </c>
      <c r="T41" s="43">
        <v>13.6</v>
      </c>
      <c r="U41" s="43">
        <v>15.4</v>
      </c>
      <c r="V41" s="5"/>
      <c r="W41" s="86">
        <v>18.100000000000001</v>
      </c>
      <c r="X41" s="10"/>
      <c r="Y41" s="5"/>
      <c r="Z41" s="10">
        <v>14.4</v>
      </c>
      <c r="AC41" s="7"/>
      <c r="AE41" s="1"/>
      <c r="AF41" s="13">
        <v>43234</v>
      </c>
      <c r="AG41" s="7">
        <f t="shared" si="17"/>
        <v>13.6</v>
      </c>
      <c r="AH41" s="38">
        <f t="shared" si="18"/>
        <v>15.1</v>
      </c>
      <c r="AI41" s="38">
        <f t="shared" si="19"/>
        <v>14.366666666666667</v>
      </c>
      <c r="AJ41" s="7">
        <f t="shared" si="20"/>
        <v>15.533333333333333</v>
      </c>
      <c r="AK41" s="7">
        <f t="shared" si="21"/>
        <v>13.6</v>
      </c>
      <c r="AL41" s="38">
        <f t="shared" si="24"/>
        <v>15.1</v>
      </c>
      <c r="AM41" s="86">
        <v>18.100000000000001</v>
      </c>
      <c r="BA41" s="7">
        <f t="shared" si="22"/>
        <v>14.222222222222221</v>
      </c>
      <c r="BB41" s="7">
        <f t="shared" si="23"/>
        <v>15.333333333333334</v>
      </c>
      <c r="BC41" s="86">
        <v>18.100000000000001</v>
      </c>
    </row>
    <row r="42" spans="1:55" ht="15.5" x14ac:dyDescent="0.35">
      <c r="A42" s="13">
        <v>43242</v>
      </c>
      <c r="B42" s="43">
        <v>18.600000000000001</v>
      </c>
      <c r="C42" s="43">
        <v>17.399999999999999</v>
      </c>
      <c r="D42" s="43">
        <v>18.399999999999999</v>
      </c>
      <c r="E42" s="43">
        <v>17</v>
      </c>
      <c r="F42" s="43">
        <v>18.2</v>
      </c>
      <c r="G42" s="73">
        <v>17.3</v>
      </c>
      <c r="I42" s="43">
        <v>18.2</v>
      </c>
      <c r="J42" s="43">
        <v>12.2</v>
      </c>
      <c r="K42" s="43">
        <v>18.100000000000001</v>
      </c>
      <c r="L42" s="43">
        <v>16.7</v>
      </c>
      <c r="M42" s="43">
        <v>18.2</v>
      </c>
      <c r="N42" s="43">
        <v>16.7</v>
      </c>
      <c r="P42" s="43">
        <v>16.7</v>
      </c>
      <c r="Q42" s="43">
        <v>16</v>
      </c>
      <c r="R42" s="43">
        <v>16.5</v>
      </c>
      <c r="S42" s="43">
        <v>16.5</v>
      </c>
      <c r="T42" s="43">
        <v>16.399999999999999</v>
      </c>
      <c r="U42" s="43">
        <v>16</v>
      </c>
      <c r="V42" s="5"/>
      <c r="W42" s="10">
        <v>17.7</v>
      </c>
      <c r="X42" s="10"/>
      <c r="Y42" s="5"/>
      <c r="Z42" s="5"/>
      <c r="AC42" s="7"/>
      <c r="AE42" s="1"/>
      <c r="AF42" s="13">
        <v>43242</v>
      </c>
      <c r="AG42" s="7">
        <f t="shared" si="17"/>
        <v>16.533333333333335</v>
      </c>
      <c r="AH42" s="38">
        <f t="shared" si="18"/>
        <v>16.166666666666668</v>
      </c>
      <c r="AI42" s="38">
        <f t="shared" si="19"/>
        <v>18.166666666666668</v>
      </c>
      <c r="AJ42" s="7">
        <f t="shared" si="20"/>
        <v>15.199999999999998</v>
      </c>
      <c r="AK42" s="7">
        <f t="shared" si="21"/>
        <v>16.533333333333335</v>
      </c>
      <c r="AL42" s="38">
        <f t="shared" si="24"/>
        <v>16.166666666666668</v>
      </c>
      <c r="AM42" s="10">
        <v>17.7</v>
      </c>
      <c r="BA42" s="7">
        <f t="shared" si="22"/>
        <v>17.700000000000003</v>
      </c>
      <c r="BB42" s="7">
        <f t="shared" si="23"/>
        <v>16.200000000000003</v>
      </c>
      <c r="BC42" s="10">
        <v>17.7</v>
      </c>
    </row>
    <row r="43" spans="1:55" ht="15.5" x14ac:dyDescent="0.35">
      <c r="A43" s="13">
        <v>43248</v>
      </c>
      <c r="B43" s="43">
        <v>20.5</v>
      </c>
      <c r="C43" s="43">
        <v>20</v>
      </c>
      <c r="D43" s="43">
        <v>20.6</v>
      </c>
      <c r="E43" s="43">
        <v>20.100000000000001</v>
      </c>
      <c r="F43" s="43">
        <v>20.5</v>
      </c>
      <c r="G43" s="73">
        <v>19.899999999999999</v>
      </c>
      <c r="I43" s="43">
        <v>20.9</v>
      </c>
      <c r="J43" s="43">
        <v>20.100000000000001</v>
      </c>
      <c r="K43" s="43">
        <v>20.6</v>
      </c>
      <c r="L43" s="43">
        <v>20.399999999999999</v>
      </c>
      <c r="M43" s="43">
        <v>20.6</v>
      </c>
      <c r="N43" s="43">
        <v>20.2</v>
      </c>
      <c r="P43" s="43">
        <v>20.6</v>
      </c>
      <c r="Q43" s="43">
        <v>20.399999999999999</v>
      </c>
      <c r="R43" s="43">
        <v>20.7</v>
      </c>
      <c r="S43" s="43">
        <v>20.5</v>
      </c>
      <c r="T43" s="43">
        <v>20.6</v>
      </c>
      <c r="U43" s="43">
        <v>20.399999999999999</v>
      </c>
      <c r="V43" s="5"/>
      <c r="W43" s="10">
        <v>22.4</v>
      </c>
      <c r="X43" s="10"/>
      <c r="Y43" s="5"/>
      <c r="Z43" s="5"/>
      <c r="AC43" s="7"/>
      <c r="AE43" s="1"/>
      <c r="AF43" s="13">
        <v>43248</v>
      </c>
      <c r="AG43" s="7">
        <f t="shared" si="17"/>
        <v>20.633333333333333</v>
      </c>
      <c r="AH43" s="38">
        <f t="shared" si="18"/>
        <v>20.433333333333334</v>
      </c>
      <c r="AI43" s="38">
        <f t="shared" si="19"/>
        <v>20.7</v>
      </c>
      <c r="AJ43" s="7">
        <f t="shared" si="20"/>
        <v>20.233333333333334</v>
      </c>
      <c r="AK43" s="7">
        <f t="shared" si="21"/>
        <v>20.633333333333333</v>
      </c>
      <c r="AL43" s="38">
        <f t="shared" si="24"/>
        <v>20.433333333333334</v>
      </c>
      <c r="AM43" s="10">
        <v>22.4</v>
      </c>
      <c r="BA43" s="7">
        <f t="shared" si="22"/>
        <v>20.62222222222222</v>
      </c>
      <c r="BB43" s="7">
        <f t="shared" si="23"/>
        <v>20.222222222222221</v>
      </c>
      <c r="BC43" s="10">
        <v>22.4</v>
      </c>
    </row>
    <row r="44" spans="1:55" ht="15.5" x14ac:dyDescent="0.35">
      <c r="A44" s="13"/>
      <c r="B44" s="5"/>
      <c r="C44" s="5"/>
      <c r="G44" s="5"/>
      <c r="H44" s="9"/>
      <c r="I44" s="5"/>
      <c r="J44" s="5"/>
      <c r="K44" s="5"/>
      <c r="L44" s="10"/>
      <c r="M44" s="10"/>
      <c r="N44" s="10"/>
      <c r="O44" s="5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E44" s="1"/>
      <c r="AF44" s="10"/>
      <c r="AH44" s="5"/>
      <c r="AI44" s="5"/>
      <c r="BA44" s="7"/>
      <c r="BB44" s="7"/>
      <c r="BC44" s="10"/>
    </row>
    <row r="45" spans="1:55" ht="15.5" x14ac:dyDescent="0.35">
      <c r="A45" s="13"/>
      <c r="B45" s="9"/>
      <c r="C45" s="9"/>
      <c r="D45" s="9"/>
      <c r="E45" s="9"/>
      <c r="F45" s="9"/>
      <c r="G45" s="9"/>
      <c r="H45" s="9"/>
      <c r="I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AE45" s="1"/>
      <c r="AF45" s="10"/>
      <c r="AG45" s="10"/>
      <c r="AH45" s="10"/>
      <c r="AI45" s="10"/>
      <c r="BA45" s="7"/>
      <c r="BB45" s="7"/>
      <c r="BC45" s="10"/>
    </row>
    <row r="46" spans="1:55" ht="15.5" x14ac:dyDescent="0.35">
      <c r="A46" s="13"/>
      <c r="B46" s="9"/>
      <c r="C46" s="9"/>
      <c r="D46" s="9"/>
      <c r="E46" s="9"/>
      <c r="F46" s="9"/>
      <c r="G46" s="9"/>
      <c r="H46" s="9"/>
      <c r="I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3"/>
      <c r="AE46" s="1"/>
      <c r="AG46" s="5"/>
      <c r="AH46" s="5"/>
      <c r="AI46" s="5"/>
    </row>
    <row r="47" spans="1:55" ht="15.5" x14ac:dyDescent="0.35">
      <c r="A47" s="1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3"/>
      <c r="AE47" s="1"/>
      <c r="AG47" s="5"/>
      <c r="AH47" s="5"/>
      <c r="AI47" s="5"/>
    </row>
    <row r="48" spans="1:55" ht="15.5" x14ac:dyDescent="0.35">
      <c r="A48" s="13"/>
      <c r="B48" s="9"/>
      <c r="C48" s="9"/>
      <c r="D48" s="9"/>
      <c r="E48" s="9"/>
      <c r="F48" s="9"/>
      <c r="G48" s="9"/>
      <c r="H48" s="9"/>
      <c r="I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3"/>
      <c r="AE48" s="1"/>
      <c r="AG48" s="10"/>
      <c r="AH48" s="10"/>
      <c r="AI48" s="10"/>
    </row>
    <row r="49" spans="1:35" ht="15.5" x14ac:dyDescent="0.35">
      <c r="A49" s="13"/>
      <c r="B49" s="9"/>
      <c r="C49" s="9"/>
      <c r="D49" s="9"/>
      <c r="E49" s="9"/>
      <c r="F49" s="9"/>
      <c r="G49" s="9"/>
      <c r="H49" s="9"/>
      <c r="I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3"/>
      <c r="AE49" s="1"/>
      <c r="AH49" s="5"/>
      <c r="AI49" s="5"/>
    </row>
    <row r="50" spans="1:35" ht="15.5" x14ac:dyDescent="0.35">
      <c r="A50" s="13"/>
      <c r="B50" s="9"/>
      <c r="C50" s="9"/>
      <c r="D50" s="9"/>
      <c r="E50" s="9"/>
      <c r="F50" s="9"/>
      <c r="G50" s="9"/>
      <c r="H50" s="9"/>
      <c r="I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3"/>
      <c r="AE50" s="1"/>
      <c r="AH50" s="5"/>
      <c r="AI50" s="5"/>
    </row>
    <row r="51" spans="1:35" ht="15.5" x14ac:dyDescent="0.35">
      <c r="A51" s="13"/>
      <c r="B51" s="9"/>
      <c r="C51" s="9"/>
      <c r="D51" s="9"/>
      <c r="E51" s="9"/>
      <c r="F51" s="9"/>
      <c r="G51" s="9"/>
      <c r="H51" s="9"/>
      <c r="I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3"/>
      <c r="AE51" s="1"/>
      <c r="AH51" s="5"/>
      <c r="AI51" s="5"/>
    </row>
    <row r="52" spans="1:35" ht="15.5" x14ac:dyDescent="0.35">
      <c r="A52" s="13"/>
      <c r="B52" s="9"/>
      <c r="C52" s="9"/>
      <c r="D52" s="9"/>
      <c r="E52" s="9"/>
      <c r="F52" s="9"/>
      <c r="G52" s="9"/>
      <c r="H52" s="9"/>
      <c r="I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3"/>
      <c r="AE52" s="1"/>
      <c r="AH52" s="5"/>
      <c r="AI52" s="5"/>
    </row>
    <row r="53" spans="1:35" ht="15.5" x14ac:dyDescent="0.35">
      <c r="A53" s="13"/>
      <c r="K53" s="5"/>
      <c r="L53" s="5"/>
      <c r="M53" s="5"/>
      <c r="N53" s="5"/>
      <c r="O53" s="5"/>
      <c r="P53" s="5"/>
      <c r="Q53" s="5"/>
      <c r="R53" s="5"/>
      <c r="S53" s="5"/>
      <c r="T53" s="5"/>
      <c r="U53" s="13"/>
      <c r="AE53" s="1"/>
      <c r="AH53" s="10"/>
      <c r="AI53" s="10"/>
    </row>
    <row r="54" spans="1:35" ht="15.5" x14ac:dyDescent="0.35">
      <c r="A54" s="13"/>
      <c r="B54" s="9"/>
      <c r="C54" s="9"/>
      <c r="D54" s="9"/>
      <c r="E54" s="9"/>
      <c r="F54" s="9"/>
      <c r="G54" s="9"/>
      <c r="H54" s="9"/>
      <c r="I54" s="9"/>
      <c r="K54" s="5"/>
      <c r="L54" s="5"/>
      <c r="M54" s="5"/>
      <c r="N54" s="5"/>
      <c r="O54" s="5"/>
      <c r="P54" s="5"/>
      <c r="Q54" s="5"/>
      <c r="R54" s="5"/>
      <c r="S54" s="5"/>
      <c r="T54" s="5"/>
      <c r="U54" s="13"/>
      <c r="AE54" s="1"/>
      <c r="AH54" s="5"/>
      <c r="AI54" s="5"/>
    </row>
    <row r="55" spans="1:35" ht="15.5" x14ac:dyDescent="0.35">
      <c r="A55" s="13"/>
      <c r="B55" s="9"/>
      <c r="C55" s="9"/>
      <c r="D55" s="9"/>
      <c r="E55" s="9"/>
      <c r="F55" s="9"/>
      <c r="G55" s="9"/>
      <c r="H55" s="9"/>
      <c r="I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3"/>
      <c r="AE55" s="1"/>
      <c r="AH55" s="10"/>
      <c r="AI55" s="10"/>
    </row>
    <row r="56" spans="1:35" ht="15.5" x14ac:dyDescent="0.35">
      <c r="A56" s="13"/>
      <c r="B56" s="9"/>
      <c r="C56" s="9"/>
      <c r="D56" s="9"/>
      <c r="E56" s="9"/>
      <c r="F56" s="9"/>
      <c r="G56" s="9"/>
      <c r="H56" s="9"/>
      <c r="I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13"/>
      <c r="V56" s="9"/>
      <c r="AE56" s="1"/>
      <c r="AG56" s="5"/>
      <c r="AH56" s="5"/>
      <c r="AI56" s="5"/>
    </row>
    <row r="57" spans="1:35" ht="15.5" x14ac:dyDescent="0.35">
      <c r="A57" s="13"/>
      <c r="B57" s="9"/>
      <c r="C57" s="9"/>
      <c r="D57" s="9"/>
      <c r="E57" s="9"/>
      <c r="F57" s="9"/>
      <c r="G57" s="9"/>
      <c r="H57" s="9"/>
      <c r="I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3"/>
      <c r="V57" s="9"/>
      <c r="AE57" s="1"/>
      <c r="AG57" s="5"/>
      <c r="AH57" s="5"/>
      <c r="AI57" s="5"/>
    </row>
    <row r="58" spans="1:35" ht="15.5" x14ac:dyDescent="0.35">
      <c r="A58" s="13"/>
      <c r="B58" s="9"/>
      <c r="C58" s="9"/>
      <c r="D58" s="9"/>
      <c r="E58" s="9"/>
      <c r="F58" s="9"/>
      <c r="G58" s="9"/>
      <c r="H58" s="9"/>
      <c r="I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3"/>
      <c r="V58" s="9"/>
      <c r="AE58" s="1"/>
      <c r="AH58" s="5"/>
      <c r="AI58" s="5"/>
    </row>
    <row r="59" spans="1:35" ht="15.5" x14ac:dyDescent="0.35">
      <c r="A59" s="13"/>
      <c r="B59" s="9"/>
      <c r="C59" s="9"/>
      <c r="D59" s="9"/>
      <c r="E59" s="9"/>
      <c r="F59" s="9"/>
      <c r="G59" s="9"/>
      <c r="H59" s="9"/>
      <c r="I59" s="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3"/>
      <c r="V59" s="9"/>
      <c r="AE59" s="1"/>
      <c r="AH59" s="5"/>
      <c r="AI59" s="5"/>
    </row>
    <row r="60" spans="1:35" ht="15.5" x14ac:dyDescent="0.35">
      <c r="A60" s="13"/>
      <c r="B60" s="9"/>
      <c r="C60" s="9"/>
      <c r="D60" s="9"/>
      <c r="E60" s="9"/>
      <c r="F60" s="9"/>
      <c r="G60" s="9"/>
      <c r="H60" s="9"/>
      <c r="I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13"/>
      <c r="V60" s="9"/>
      <c r="AE60" s="1"/>
      <c r="AH60" s="5"/>
      <c r="AI60" s="5"/>
    </row>
    <row r="61" spans="1:35" ht="15.5" x14ac:dyDescent="0.35">
      <c r="A61" s="13"/>
      <c r="B61" s="9"/>
      <c r="C61" s="9"/>
      <c r="D61" s="9"/>
      <c r="E61" s="9"/>
      <c r="F61" s="9"/>
      <c r="G61" s="9"/>
      <c r="H61" s="9"/>
      <c r="I61" s="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E61" s="1"/>
      <c r="AH61" s="5"/>
      <c r="AI61" s="5"/>
    </row>
    <row r="62" spans="1:35" ht="15.5" x14ac:dyDescent="0.35">
      <c r="A62" s="13"/>
      <c r="B62" s="9"/>
      <c r="C62" s="9"/>
      <c r="D62" s="9"/>
      <c r="E62" s="9"/>
      <c r="F62" s="9"/>
      <c r="G62" s="9"/>
      <c r="H62" s="9"/>
      <c r="I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E62" s="1"/>
      <c r="AH62" s="5"/>
      <c r="AI62" s="5"/>
    </row>
    <row r="63" spans="1:35" ht="15.5" x14ac:dyDescent="0.35">
      <c r="A63" s="13"/>
      <c r="B63" s="9"/>
      <c r="C63" s="9"/>
      <c r="D63" s="9"/>
      <c r="E63" s="9"/>
      <c r="F63" s="9"/>
      <c r="G63" s="9"/>
      <c r="H63" s="9"/>
      <c r="I63" s="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E63" s="1"/>
      <c r="AH63" s="5"/>
      <c r="AI63" s="5"/>
    </row>
    <row r="64" spans="1:35" ht="15.5" x14ac:dyDescent="0.35">
      <c r="A64" t="s">
        <v>0</v>
      </c>
      <c r="B64" t="s">
        <v>139</v>
      </c>
      <c r="AE64" s="1"/>
      <c r="AF64" s="10"/>
      <c r="AH64" s="5"/>
      <c r="AI64" s="5"/>
    </row>
    <row r="65" spans="1:55" ht="15.5" x14ac:dyDescent="0.35">
      <c r="B65" t="s">
        <v>136</v>
      </c>
      <c r="I65" t="s">
        <v>134</v>
      </c>
      <c r="P65" t="s">
        <v>135</v>
      </c>
      <c r="AE65" s="1"/>
      <c r="AG65" s="5"/>
      <c r="AH65" s="5"/>
      <c r="AI65" s="5"/>
    </row>
    <row r="66" spans="1:55" ht="15.5" x14ac:dyDescent="0.35">
      <c r="B66" s="9" t="s">
        <v>128</v>
      </c>
      <c r="C66" s="9" t="s">
        <v>129</v>
      </c>
      <c r="D66" s="9" t="s">
        <v>130</v>
      </c>
      <c r="E66" s="9" t="s">
        <v>131</v>
      </c>
      <c r="F66" s="9" t="s">
        <v>132</v>
      </c>
      <c r="G66" s="9" t="s">
        <v>133</v>
      </c>
      <c r="I66" s="9" t="s">
        <v>128</v>
      </c>
      <c r="J66" s="9" t="s">
        <v>129</v>
      </c>
      <c r="K66" s="9" t="s">
        <v>130</v>
      </c>
      <c r="L66" s="9" t="s">
        <v>131</v>
      </c>
      <c r="M66" s="9" t="s">
        <v>132</v>
      </c>
      <c r="N66" s="9" t="s">
        <v>133</v>
      </c>
      <c r="P66" s="9" t="s">
        <v>128</v>
      </c>
      <c r="Q66" s="9" t="s">
        <v>129</v>
      </c>
      <c r="R66" s="9" t="s">
        <v>130</v>
      </c>
      <c r="S66" s="9" t="s">
        <v>131</v>
      </c>
      <c r="T66" s="9" t="s">
        <v>132</v>
      </c>
      <c r="U66" s="9" t="s">
        <v>133</v>
      </c>
      <c r="W66" s="9" t="s">
        <v>6</v>
      </c>
      <c r="X66" s="9" t="s">
        <v>7</v>
      </c>
      <c r="Z66" s="9" t="s">
        <v>20</v>
      </c>
      <c r="AE66" s="1"/>
      <c r="AG66" s="5" t="s">
        <v>535</v>
      </c>
      <c r="AH66" s="5" t="s">
        <v>536</v>
      </c>
      <c r="AI66" s="5" t="s">
        <v>537</v>
      </c>
      <c r="AJ66" s="10" t="s">
        <v>538</v>
      </c>
      <c r="AK66" s="10" t="s">
        <v>533</v>
      </c>
      <c r="AL66" s="10" t="s">
        <v>534</v>
      </c>
      <c r="AM66" s="10" t="s">
        <v>539</v>
      </c>
      <c r="BA66" t="s">
        <v>540</v>
      </c>
      <c r="BB66" t="s">
        <v>541</v>
      </c>
      <c r="BC66" t="s">
        <v>542</v>
      </c>
    </row>
    <row r="67" spans="1:55" ht="15.5" x14ac:dyDescent="0.35">
      <c r="A67" s="13">
        <v>42433</v>
      </c>
      <c r="B67" s="5">
        <v>1863</v>
      </c>
      <c r="C67" s="5">
        <v>1876</v>
      </c>
      <c r="D67" s="5">
        <v>2455</v>
      </c>
      <c r="E67" s="5">
        <v>12703</v>
      </c>
      <c r="F67" s="5">
        <v>1884</v>
      </c>
      <c r="G67" s="5">
        <v>1884</v>
      </c>
      <c r="H67" s="9"/>
      <c r="I67" s="5">
        <v>1881</v>
      </c>
      <c r="J67" s="5">
        <v>8697</v>
      </c>
      <c r="K67" s="5"/>
      <c r="M67" s="5">
        <v>1869</v>
      </c>
      <c r="N67" s="5">
        <v>2070</v>
      </c>
      <c r="P67" s="5">
        <v>1860</v>
      </c>
      <c r="Q67" s="5">
        <v>1874</v>
      </c>
      <c r="T67" s="5">
        <v>1862</v>
      </c>
      <c r="U67" s="5">
        <v>1872</v>
      </c>
      <c r="X67" s="5"/>
      <c r="Y67" s="5"/>
      <c r="AE67" s="1"/>
      <c r="AF67" s="13">
        <v>42433</v>
      </c>
      <c r="AG67" s="14">
        <f>AVERAGE(B67,D67,F67)</f>
        <v>2067.3333333333335</v>
      </c>
      <c r="AH67" s="14">
        <f>AVERAGE(C67,E67,G67)</f>
        <v>5487.666666666667</v>
      </c>
      <c r="AI67" s="14">
        <f>AVERAGE(I67,K67,M67)</f>
        <v>1875</v>
      </c>
      <c r="AJ67" s="8">
        <f>AVERAGE(J67,L67,N67)</f>
        <v>5383.5</v>
      </c>
      <c r="AK67" s="8">
        <f>AVERAGE(P67,R67,T67)</f>
        <v>1861</v>
      </c>
      <c r="AL67" s="8">
        <f>AVERAGE(Q67,S67,U67)</f>
        <v>1873</v>
      </c>
      <c r="BA67" s="8">
        <f>AVERAGE(B67,D67,F67,I67,K67,M67,P67,R67,T67)</f>
        <v>1953.4285714285713</v>
      </c>
      <c r="BB67" s="8">
        <f>AVERAGE(C67,E67,G67,J67,L67,N67,Q67,S67,U67)</f>
        <v>4425.1428571428569</v>
      </c>
    </row>
    <row r="68" spans="1:55" ht="15.5" x14ac:dyDescent="0.35">
      <c r="A68" s="13">
        <v>42440</v>
      </c>
      <c r="B68" s="5">
        <v>1337</v>
      </c>
      <c r="C68" s="5">
        <v>1343</v>
      </c>
      <c r="E68" s="5">
        <v>1343</v>
      </c>
      <c r="F68" s="5">
        <v>1322</v>
      </c>
      <c r="G68" s="5">
        <v>1334</v>
      </c>
      <c r="H68" s="9"/>
      <c r="I68" s="5">
        <v>1352</v>
      </c>
      <c r="J68" s="5">
        <v>1356</v>
      </c>
      <c r="K68" s="5"/>
      <c r="M68" s="5">
        <v>1332</v>
      </c>
      <c r="N68" s="5">
        <v>1338</v>
      </c>
      <c r="P68" s="5">
        <v>1341</v>
      </c>
      <c r="Q68" s="5">
        <v>1350</v>
      </c>
      <c r="T68" s="5">
        <v>1434</v>
      </c>
      <c r="U68" s="5">
        <v>1346</v>
      </c>
      <c r="W68" s="5">
        <v>1328</v>
      </c>
      <c r="X68" s="5">
        <v>1300</v>
      </c>
      <c r="Y68" s="5"/>
      <c r="Z68" s="5">
        <v>1407</v>
      </c>
      <c r="AE68" s="1"/>
      <c r="AF68" s="13">
        <v>42440</v>
      </c>
      <c r="AG68" s="14">
        <f t="shared" ref="AG68:AG77" si="25">AVERAGE(B68,D68,F68)</f>
        <v>1329.5</v>
      </c>
      <c r="AH68" s="14">
        <f t="shared" ref="AH68:AH77" si="26">AVERAGE(C68,E68,G68)</f>
        <v>1340</v>
      </c>
      <c r="AI68" s="14">
        <f t="shared" ref="AI68:AI77" si="27">AVERAGE(I68,K68,M68)</f>
        <v>1342</v>
      </c>
      <c r="AJ68" s="8">
        <f t="shared" ref="AJ68:AJ77" si="28">AVERAGE(J68,L68,N68)</f>
        <v>1347</v>
      </c>
      <c r="AK68" s="8">
        <f t="shared" ref="AK68:AK77" si="29">AVERAGE(P68,R68,T68)</f>
        <v>1387.5</v>
      </c>
      <c r="AL68" s="8">
        <f t="shared" ref="AL68:AL77" si="30">AVERAGE(Q68,S68,U68)</f>
        <v>1348</v>
      </c>
      <c r="AM68">
        <v>1328</v>
      </c>
      <c r="BA68" s="8">
        <f t="shared" ref="BA68:BA77" si="31">AVERAGE(B68,D68,F68,I68,K68,M68,P68,R68,T68)</f>
        <v>1353</v>
      </c>
      <c r="BB68" s="8">
        <f t="shared" ref="BB68:BB77" si="32">AVERAGE(C68,E68,G68,J68,L68,N68,Q68,S68,U68)</f>
        <v>1344.2857142857142</v>
      </c>
      <c r="BC68">
        <v>1328</v>
      </c>
    </row>
    <row r="69" spans="1:55" ht="15.5" x14ac:dyDescent="0.35">
      <c r="A69" s="13">
        <v>42447</v>
      </c>
      <c r="B69" s="10">
        <v>1981</v>
      </c>
      <c r="C69" s="10">
        <v>16123</v>
      </c>
      <c r="F69" s="10">
        <v>2104</v>
      </c>
      <c r="G69" s="10">
        <v>9102</v>
      </c>
      <c r="H69" s="9"/>
      <c r="I69" s="10">
        <v>2027</v>
      </c>
      <c r="J69" s="10">
        <v>15184</v>
      </c>
      <c r="K69" s="10"/>
      <c r="M69" s="10">
        <v>2033</v>
      </c>
      <c r="N69" s="10">
        <v>10996</v>
      </c>
      <c r="P69" s="10">
        <v>1965</v>
      </c>
      <c r="Q69" s="10">
        <v>7026</v>
      </c>
      <c r="T69" s="10">
        <v>1770</v>
      </c>
      <c r="U69" s="10">
        <v>8623</v>
      </c>
      <c r="W69" s="10">
        <v>1624</v>
      </c>
      <c r="X69" s="10">
        <v>1586</v>
      </c>
      <c r="Y69" s="5"/>
      <c r="Z69" s="5">
        <v>2013</v>
      </c>
      <c r="AE69" s="1"/>
      <c r="AF69" s="13">
        <v>42447</v>
      </c>
      <c r="AG69" s="14">
        <f t="shared" si="25"/>
        <v>2042.5</v>
      </c>
      <c r="AH69" s="14">
        <f t="shared" si="26"/>
        <v>12612.5</v>
      </c>
      <c r="AI69" s="14">
        <f t="shared" si="27"/>
        <v>2030</v>
      </c>
      <c r="AJ69" s="8">
        <f t="shared" si="28"/>
        <v>13090</v>
      </c>
      <c r="AK69" s="8">
        <f t="shared" si="29"/>
        <v>1867.5</v>
      </c>
      <c r="AL69" s="8">
        <f t="shared" si="30"/>
        <v>7824.5</v>
      </c>
      <c r="AM69">
        <v>1624</v>
      </c>
      <c r="BA69" s="8">
        <f t="shared" si="31"/>
        <v>1980</v>
      </c>
      <c r="BB69" s="8">
        <f t="shared" si="32"/>
        <v>11175.666666666666</v>
      </c>
      <c r="BC69">
        <v>1624</v>
      </c>
    </row>
    <row r="70" spans="1:55" ht="15.5" x14ac:dyDescent="0.35">
      <c r="A70" s="13">
        <v>42454</v>
      </c>
      <c r="B70" s="5">
        <v>1801</v>
      </c>
      <c r="C70" s="5">
        <v>4355</v>
      </c>
      <c r="F70" s="5">
        <v>1772</v>
      </c>
      <c r="G70" s="5">
        <v>6376</v>
      </c>
      <c r="H70" s="9"/>
      <c r="I70" s="5">
        <v>1815</v>
      </c>
      <c r="J70" s="5">
        <v>9743</v>
      </c>
      <c r="K70" s="5"/>
      <c r="M70" s="5">
        <v>1813</v>
      </c>
      <c r="N70" s="5">
        <v>2500</v>
      </c>
      <c r="P70" s="5">
        <v>1790</v>
      </c>
      <c r="Q70" s="5">
        <v>2081</v>
      </c>
      <c r="T70" s="5">
        <v>1783</v>
      </c>
      <c r="U70" s="5">
        <v>1786</v>
      </c>
      <c r="W70" s="5">
        <v>1733</v>
      </c>
      <c r="X70" s="5">
        <v>1729</v>
      </c>
      <c r="Y70" s="5"/>
      <c r="Z70" s="5">
        <v>1798</v>
      </c>
      <c r="AE70" s="1"/>
      <c r="AF70" s="13">
        <v>42454</v>
      </c>
      <c r="AG70" s="14">
        <f t="shared" si="25"/>
        <v>1786.5</v>
      </c>
      <c r="AH70" s="14">
        <f t="shared" si="26"/>
        <v>5365.5</v>
      </c>
      <c r="AI70" s="14">
        <f t="shared" si="27"/>
        <v>1814</v>
      </c>
      <c r="AJ70" s="8">
        <f t="shared" si="28"/>
        <v>6121.5</v>
      </c>
      <c r="AK70" s="8">
        <f t="shared" si="29"/>
        <v>1786.5</v>
      </c>
      <c r="AL70" s="8">
        <f t="shared" si="30"/>
        <v>1933.5</v>
      </c>
      <c r="AM70">
        <v>1733</v>
      </c>
      <c r="BA70" s="8">
        <f t="shared" si="31"/>
        <v>1795.6666666666667</v>
      </c>
      <c r="BB70" s="8">
        <f t="shared" si="32"/>
        <v>4473.5</v>
      </c>
      <c r="BC70">
        <v>1733</v>
      </c>
    </row>
    <row r="71" spans="1:55" ht="15.5" x14ac:dyDescent="0.35">
      <c r="A71" s="13">
        <v>42461</v>
      </c>
      <c r="B71" s="10">
        <v>1957</v>
      </c>
      <c r="C71" s="10">
        <v>8185</v>
      </c>
      <c r="D71" s="10">
        <v>1854</v>
      </c>
      <c r="E71" s="10">
        <v>13660</v>
      </c>
      <c r="F71" s="10">
        <v>1973</v>
      </c>
      <c r="G71" s="10">
        <v>3200</v>
      </c>
      <c r="H71" s="9"/>
      <c r="I71" s="10">
        <v>1995</v>
      </c>
      <c r="J71" s="10">
        <v>9080</v>
      </c>
      <c r="K71" s="10">
        <v>2001</v>
      </c>
      <c r="L71" s="10">
        <v>11942</v>
      </c>
      <c r="M71" s="10">
        <v>2006</v>
      </c>
      <c r="N71" s="10">
        <v>11480</v>
      </c>
      <c r="P71" s="10">
        <v>1968</v>
      </c>
      <c r="Q71" s="10">
        <v>9209</v>
      </c>
      <c r="R71" s="10">
        <v>1976</v>
      </c>
      <c r="S71" s="10">
        <v>9392</v>
      </c>
      <c r="T71" s="10">
        <v>1981</v>
      </c>
      <c r="U71" s="10">
        <v>8777</v>
      </c>
      <c r="W71" s="10">
        <v>1924</v>
      </c>
      <c r="X71" s="10">
        <v>1922</v>
      </c>
      <c r="Y71" s="5"/>
      <c r="Z71" s="5">
        <v>1947</v>
      </c>
      <c r="AE71" s="1"/>
      <c r="AF71" s="13">
        <v>42461</v>
      </c>
      <c r="AG71" s="14">
        <f t="shared" si="25"/>
        <v>1928</v>
      </c>
      <c r="AH71" s="14">
        <f t="shared" si="26"/>
        <v>8348.3333333333339</v>
      </c>
      <c r="AI71" s="14">
        <f t="shared" si="27"/>
        <v>2000.6666666666667</v>
      </c>
      <c r="AJ71" s="8">
        <f t="shared" si="28"/>
        <v>10834</v>
      </c>
      <c r="AK71" s="8">
        <f t="shared" si="29"/>
        <v>1975</v>
      </c>
      <c r="AL71" s="8">
        <f t="shared" si="30"/>
        <v>9126</v>
      </c>
      <c r="AM71">
        <v>1924</v>
      </c>
      <c r="BA71" s="8">
        <f t="shared" si="31"/>
        <v>1967.8888888888889</v>
      </c>
      <c r="BB71" s="8">
        <f t="shared" si="32"/>
        <v>9436.1111111111113</v>
      </c>
      <c r="BC71">
        <v>1924</v>
      </c>
    </row>
    <row r="72" spans="1:55" ht="15.5" x14ac:dyDescent="0.35">
      <c r="A72" s="13">
        <v>42468</v>
      </c>
      <c r="B72" s="10">
        <v>2080</v>
      </c>
      <c r="C72" s="10">
        <v>8680</v>
      </c>
      <c r="D72" s="10">
        <v>2080</v>
      </c>
      <c r="E72" s="10">
        <v>6052</v>
      </c>
      <c r="F72" s="10">
        <v>2098</v>
      </c>
      <c r="G72" s="10">
        <v>21380</v>
      </c>
      <c r="H72" s="9"/>
      <c r="I72" s="10">
        <v>2103</v>
      </c>
      <c r="J72" s="10">
        <v>18967</v>
      </c>
      <c r="K72" s="10">
        <v>2106</v>
      </c>
      <c r="L72" s="10">
        <v>18870</v>
      </c>
      <c r="M72" s="10">
        <v>2085</v>
      </c>
      <c r="N72" s="10">
        <v>7560</v>
      </c>
      <c r="P72" s="10">
        <v>2110</v>
      </c>
      <c r="Q72" s="10">
        <v>5764</v>
      </c>
      <c r="R72" s="10">
        <v>2088</v>
      </c>
      <c r="S72" s="10">
        <v>15185</v>
      </c>
      <c r="T72" s="10">
        <v>2148</v>
      </c>
      <c r="U72" s="10">
        <v>15800</v>
      </c>
      <c r="W72" s="10">
        <v>2005</v>
      </c>
      <c r="X72" s="10">
        <v>2000</v>
      </c>
      <c r="Y72" s="5"/>
      <c r="Z72" s="5">
        <v>2147</v>
      </c>
      <c r="AE72" s="1"/>
      <c r="AF72" s="13">
        <v>42468</v>
      </c>
      <c r="AG72" s="14">
        <f t="shared" si="25"/>
        <v>2086</v>
      </c>
      <c r="AH72" s="14">
        <f t="shared" si="26"/>
        <v>12037.333333333334</v>
      </c>
      <c r="AI72" s="14">
        <f t="shared" si="27"/>
        <v>2098</v>
      </c>
      <c r="AJ72" s="8">
        <f t="shared" si="28"/>
        <v>15132.333333333334</v>
      </c>
      <c r="AK72" s="8">
        <f t="shared" si="29"/>
        <v>2115.3333333333335</v>
      </c>
      <c r="AL72" s="8">
        <f t="shared" si="30"/>
        <v>12249.666666666666</v>
      </c>
      <c r="AM72">
        <v>2005</v>
      </c>
      <c r="BA72" s="8">
        <f t="shared" si="31"/>
        <v>2099.7777777777778</v>
      </c>
      <c r="BB72" s="8">
        <f t="shared" si="32"/>
        <v>13139.777777777777</v>
      </c>
      <c r="BC72">
        <v>2005</v>
      </c>
    </row>
    <row r="73" spans="1:55" ht="15.5" x14ac:dyDescent="0.35">
      <c r="A73" s="13">
        <v>42475</v>
      </c>
      <c r="B73" s="10">
        <v>2219</v>
      </c>
      <c r="C73" s="10">
        <v>12021</v>
      </c>
      <c r="D73" s="10">
        <v>2216</v>
      </c>
      <c r="E73" s="10">
        <v>28656</v>
      </c>
      <c r="F73" s="10">
        <v>2204</v>
      </c>
      <c r="G73" s="10">
        <v>13024</v>
      </c>
      <c r="H73" s="9"/>
      <c r="I73" s="10">
        <v>2304</v>
      </c>
      <c r="J73" s="10">
        <v>16064</v>
      </c>
      <c r="K73" s="10">
        <v>2307</v>
      </c>
      <c r="L73" s="10">
        <v>27381</v>
      </c>
      <c r="M73" s="10">
        <v>2298</v>
      </c>
      <c r="N73" s="10">
        <v>2304</v>
      </c>
      <c r="P73" s="10">
        <v>2423</v>
      </c>
      <c r="Q73" s="10">
        <v>10860</v>
      </c>
      <c r="R73" s="10">
        <v>2325</v>
      </c>
      <c r="S73" s="10">
        <v>20400</v>
      </c>
      <c r="T73" s="10">
        <v>2650</v>
      </c>
      <c r="U73" s="10">
        <v>3672</v>
      </c>
      <c r="W73" s="10">
        <v>1919</v>
      </c>
      <c r="X73" s="10">
        <v>1872</v>
      </c>
      <c r="Y73" s="5"/>
      <c r="Z73" s="5">
        <v>1992</v>
      </c>
      <c r="AE73" s="1"/>
      <c r="AF73" s="13">
        <v>42475</v>
      </c>
      <c r="AG73" s="14">
        <f t="shared" si="25"/>
        <v>2213</v>
      </c>
      <c r="AH73" s="14">
        <f t="shared" si="26"/>
        <v>17900.333333333332</v>
      </c>
      <c r="AI73" s="14">
        <f t="shared" si="27"/>
        <v>2303</v>
      </c>
      <c r="AJ73" s="8">
        <f t="shared" si="28"/>
        <v>15249.666666666666</v>
      </c>
      <c r="AK73" s="8">
        <f t="shared" si="29"/>
        <v>2466</v>
      </c>
      <c r="AL73" s="8">
        <f t="shared" si="30"/>
        <v>11644</v>
      </c>
      <c r="AM73">
        <v>1919</v>
      </c>
      <c r="BA73" s="8">
        <f t="shared" si="31"/>
        <v>2327.3333333333335</v>
      </c>
      <c r="BB73" s="8">
        <f t="shared" si="32"/>
        <v>14931.333333333334</v>
      </c>
      <c r="BC73">
        <v>1919</v>
      </c>
    </row>
    <row r="74" spans="1:55" ht="15.5" x14ac:dyDescent="0.35">
      <c r="A74" s="13">
        <v>42482</v>
      </c>
      <c r="B74" s="10">
        <v>6546</v>
      </c>
      <c r="C74" s="10">
        <v>24680</v>
      </c>
      <c r="D74" s="10">
        <v>6102</v>
      </c>
      <c r="E74" s="10">
        <v>26980</v>
      </c>
      <c r="F74">
        <v>6112</v>
      </c>
      <c r="G74">
        <v>17880</v>
      </c>
      <c r="H74" s="9"/>
      <c r="I74" s="10">
        <v>4631</v>
      </c>
      <c r="J74" s="10">
        <v>24110</v>
      </c>
      <c r="K74" s="10">
        <v>5051</v>
      </c>
      <c r="L74" s="10">
        <v>25950</v>
      </c>
      <c r="M74" s="10">
        <v>4761</v>
      </c>
      <c r="N74" s="10">
        <v>19042</v>
      </c>
      <c r="P74" s="10">
        <v>2620</v>
      </c>
      <c r="Q74" s="10">
        <v>23350</v>
      </c>
      <c r="R74" s="10">
        <v>2650</v>
      </c>
      <c r="S74" s="10">
        <v>23850</v>
      </c>
      <c r="T74" s="10">
        <v>2560</v>
      </c>
      <c r="U74" s="10">
        <v>22350</v>
      </c>
      <c r="W74" s="10">
        <v>2003</v>
      </c>
      <c r="X74" s="10">
        <v>1976</v>
      </c>
      <c r="Y74" s="5"/>
      <c r="Z74" s="5"/>
      <c r="AE74" s="1"/>
      <c r="AF74" s="13">
        <v>42482</v>
      </c>
      <c r="AG74" s="14">
        <f t="shared" si="25"/>
        <v>6253.333333333333</v>
      </c>
      <c r="AH74" s="14">
        <f t="shared" si="26"/>
        <v>23180</v>
      </c>
      <c r="AI74" s="14">
        <f t="shared" si="27"/>
        <v>4814.333333333333</v>
      </c>
      <c r="AJ74" s="8">
        <f t="shared" si="28"/>
        <v>23034</v>
      </c>
      <c r="AK74" s="8">
        <f t="shared" si="29"/>
        <v>2610</v>
      </c>
      <c r="AL74" s="8">
        <f t="shared" si="30"/>
        <v>23183.333333333332</v>
      </c>
      <c r="AM74">
        <v>2003</v>
      </c>
      <c r="BA74" s="8">
        <f t="shared" si="31"/>
        <v>4559.2222222222226</v>
      </c>
      <c r="BB74" s="8">
        <f t="shared" si="32"/>
        <v>23132.444444444445</v>
      </c>
      <c r="BC74">
        <v>2003</v>
      </c>
    </row>
    <row r="75" spans="1:55" ht="15.5" x14ac:dyDescent="0.35">
      <c r="A75" s="13">
        <v>42489</v>
      </c>
      <c r="B75">
        <v>2280</v>
      </c>
      <c r="C75">
        <v>14600</v>
      </c>
      <c r="D75">
        <v>2290</v>
      </c>
      <c r="E75">
        <v>28023</v>
      </c>
      <c r="F75">
        <v>2301</v>
      </c>
      <c r="G75">
        <v>22400</v>
      </c>
      <c r="H75" s="9"/>
      <c r="I75">
        <v>2631</v>
      </c>
      <c r="J75">
        <v>20330</v>
      </c>
      <c r="K75">
        <v>2480</v>
      </c>
      <c r="L75">
        <v>25401</v>
      </c>
      <c r="M75">
        <v>2902</v>
      </c>
      <c r="N75">
        <v>23700</v>
      </c>
      <c r="P75">
        <v>3062</v>
      </c>
      <c r="Q75">
        <v>21410</v>
      </c>
      <c r="R75">
        <v>3196</v>
      </c>
      <c r="S75">
        <v>22045</v>
      </c>
      <c r="T75">
        <v>3220</v>
      </c>
      <c r="U75">
        <v>21501</v>
      </c>
      <c r="W75" s="55">
        <v>2000</v>
      </c>
      <c r="X75" s="10"/>
      <c r="Y75" s="5"/>
      <c r="Z75" s="4">
        <v>4408</v>
      </c>
      <c r="AE75" s="1"/>
      <c r="AF75" s="13">
        <v>42489</v>
      </c>
      <c r="AG75" s="14">
        <f t="shared" si="25"/>
        <v>2290.3333333333335</v>
      </c>
      <c r="AH75" s="14">
        <f t="shared" si="26"/>
        <v>21674.333333333332</v>
      </c>
      <c r="AI75" s="14">
        <f t="shared" si="27"/>
        <v>2671</v>
      </c>
      <c r="AJ75" s="8">
        <f t="shared" si="28"/>
        <v>23143.666666666668</v>
      </c>
      <c r="AK75" s="8">
        <f t="shared" si="29"/>
        <v>3159.3333333333335</v>
      </c>
      <c r="AL75" s="8">
        <f t="shared" si="30"/>
        <v>21652</v>
      </c>
      <c r="AM75" s="23">
        <v>2000</v>
      </c>
      <c r="BA75" s="8">
        <f t="shared" si="31"/>
        <v>2706.8888888888887</v>
      </c>
      <c r="BB75" s="8">
        <f t="shared" si="32"/>
        <v>22156.666666666668</v>
      </c>
      <c r="BC75" s="23">
        <v>2000</v>
      </c>
    </row>
    <row r="76" spans="1:55" ht="15.5" x14ac:dyDescent="0.35">
      <c r="A76" s="13">
        <v>42494</v>
      </c>
      <c r="B76">
        <v>2943</v>
      </c>
      <c r="C76">
        <v>22610</v>
      </c>
      <c r="D76">
        <v>2932</v>
      </c>
      <c r="E76">
        <v>25699</v>
      </c>
      <c r="F76">
        <v>2932</v>
      </c>
      <c r="G76">
        <v>16756</v>
      </c>
      <c r="H76" s="9"/>
      <c r="I76">
        <v>4545</v>
      </c>
      <c r="J76">
        <v>20980</v>
      </c>
      <c r="K76">
        <v>3048</v>
      </c>
      <c r="L76">
        <v>25403</v>
      </c>
      <c r="M76">
        <v>2993</v>
      </c>
      <c r="N76">
        <v>25291</v>
      </c>
      <c r="P76">
        <v>3471</v>
      </c>
      <c r="Q76">
        <v>20550</v>
      </c>
      <c r="R76">
        <v>4630</v>
      </c>
      <c r="S76">
        <v>21778</v>
      </c>
      <c r="T76">
        <v>4167</v>
      </c>
      <c r="U76">
        <v>21449</v>
      </c>
      <c r="W76" s="10">
        <v>2009</v>
      </c>
      <c r="X76" s="10">
        <v>1989</v>
      </c>
      <c r="Y76" s="5"/>
      <c r="Z76" s="5"/>
      <c r="AE76" s="1"/>
      <c r="AF76" s="13">
        <v>42494</v>
      </c>
      <c r="AG76" s="14">
        <f t="shared" si="25"/>
        <v>2935.6666666666665</v>
      </c>
      <c r="AH76" s="14">
        <f t="shared" si="26"/>
        <v>21688.333333333332</v>
      </c>
      <c r="AI76" s="14">
        <f t="shared" si="27"/>
        <v>3528.6666666666665</v>
      </c>
      <c r="AJ76" s="8">
        <f t="shared" si="28"/>
        <v>23891.333333333332</v>
      </c>
      <c r="AK76" s="8">
        <f t="shared" si="29"/>
        <v>4089.3333333333335</v>
      </c>
      <c r="AL76" s="8">
        <f t="shared" si="30"/>
        <v>21259</v>
      </c>
      <c r="AM76">
        <v>2009</v>
      </c>
      <c r="BA76" s="8">
        <f t="shared" si="31"/>
        <v>3517.8888888888887</v>
      </c>
      <c r="BB76" s="8">
        <f t="shared" si="32"/>
        <v>22279.555555555555</v>
      </c>
      <c r="BC76">
        <v>2009</v>
      </c>
    </row>
    <row r="77" spans="1:55" ht="15.5" x14ac:dyDescent="0.35">
      <c r="A77" s="13">
        <v>42503</v>
      </c>
      <c r="B77">
        <v>23748</v>
      </c>
      <c r="C77">
        <v>31888</v>
      </c>
      <c r="D77">
        <v>26054</v>
      </c>
      <c r="E77">
        <v>32985</v>
      </c>
      <c r="F77">
        <v>25463</v>
      </c>
      <c r="G77">
        <v>32862</v>
      </c>
      <c r="H77" s="9"/>
      <c r="I77">
        <v>20596</v>
      </c>
      <c r="J77">
        <v>32286</v>
      </c>
      <c r="K77">
        <v>26555</v>
      </c>
      <c r="L77">
        <v>32590</v>
      </c>
      <c r="M77">
        <v>20537</v>
      </c>
      <c r="N77">
        <v>32222</v>
      </c>
      <c r="P77">
        <v>14822</v>
      </c>
      <c r="Q77">
        <v>30798</v>
      </c>
      <c r="R77">
        <v>16694</v>
      </c>
      <c r="S77">
        <v>31186</v>
      </c>
      <c r="T77">
        <v>15749</v>
      </c>
      <c r="U77">
        <v>30705</v>
      </c>
      <c r="W77" s="10">
        <v>2139</v>
      </c>
      <c r="X77" s="10">
        <v>2222</v>
      </c>
      <c r="Y77" s="5"/>
      <c r="Z77" s="5"/>
      <c r="AE77" s="1"/>
      <c r="AF77" s="13">
        <v>42503</v>
      </c>
      <c r="AG77" s="14">
        <f t="shared" si="25"/>
        <v>25088.333333333332</v>
      </c>
      <c r="AH77" s="14">
        <f t="shared" si="26"/>
        <v>32578.333333333332</v>
      </c>
      <c r="AI77" s="14">
        <f t="shared" si="27"/>
        <v>22562.666666666668</v>
      </c>
      <c r="AJ77" s="8">
        <f t="shared" si="28"/>
        <v>32366</v>
      </c>
      <c r="AK77" s="8">
        <f t="shared" si="29"/>
        <v>15755</v>
      </c>
      <c r="AL77" s="8">
        <f t="shared" si="30"/>
        <v>30896.333333333332</v>
      </c>
      <c r="AM77">
        <v>2139</v>
      </c>
      <c r="BA77" s="8">
        <f t="shared" si="31"/>
        <v>21135.333333333332</v>
      </c>
      <c r="BB77" s="8">
        <f t="shared" si="32"/>
        <v>31946.888888888891</v>
      </c>
      <c r="BC77">
        <v>2139</v>
      </c>
    </row>
    <row r="78" spans="1:55" ht="15.5" x14ac:dyDescent="0.35">
      <c r="A78" s="13"/>
      <c r="H78" s="9"/>
      <c r="W78" s="10"/>
      <c r="X78" s="10"/>
      <c r="Y78" s="5"/>
      <c r="Z78" s="5"/>
      <c r="AE78" s="1"/>
      <c r="AF78" s="13"/>
      <c r="AG78" s="14"/>
      <c r="AH78" s="14"/>
      <c r="AI78" s="14"/>
      <c r="AJ78" s="8"/>
      <c r="AK78" s="8"/>
      <c r="AL78" s="8"/>
      <c r="BA78" s="8"/>
      <c r="BB78" s="8"/>
    </row>
    <row r="79" spans="1:55" ht="15.5" x14ac:dyDescent="0.35">
      <c r="A79" s="13"/>
      <c r="H79" s="9"/>
      <c r="W79" s="10"/>
      <c r="X79" s="10"/>
      <c r="Y79" s="5"/>
      <c r="Z79" s="5"/>
      <c r="AE79" s="1"/>
      <c r="AF79" s="13"/>
      <c r="AG79" s="14"/>
      <c r="AH79" s="14"/>
      <c r="AI79" s="14"/>
      <c r="AJ79" s="8"/>
      <c r="AK79" s="8"/>
      <c r="AL79" s="8"/>
      <c r="BA79" s="8"/>
      <c r="BB79" s="8"/>
    </row>
    <row r="80" spans="1:55" x14ac:dyDescent="0.35">
      <c r="A80" s="2">
        <v>42797</v>
      </c>
      <c r="B80">
        <v>1751</v>
      </c>
      <c r="C80">
        <v>1753</v>
      </c>
      <c r="F80">
        <v>1740</v>
      </c>
      <c r="G80">
        <v>1745</v>
      </c>
      <c r="I80">
        <v>1752</v>
      </c>
      <c r="J80">
        <v>1752</v>
      </c>
      <c r="M80">
        <v>1746</v>
      </c>
      <c r="N80">
        <v>1747</v>
      </c>
      <c r="P80">
        <v>1744</v>
      </c>
      <c r="Q80">
        <v>1741</v>
      </c>
      <c r="T80">
        <v>1734</v>
      </c>
      <c r="U80">
        <v>1742</v>
      </c>
      <c r="W80" s="10">
        <v>1505</v>
      </c>
      <c r="X80" s="10"/>
      <c r="Y80" s="5"/>
      <c r="AF80" s="2">
        <v>42797</v>
      </c>
      <c r="AG80" s="14">
        <f>AVERAGE(B80,D80,F80)</f>
        <v>1745.5</v>
      </c>
      <c r="AH80" s="14">
        <f t="shared" ref="AH80:AH91" si="33">AVERAGE(C80,E80,G80)</f>
        <v>1749</v>
      </c>
      <c r="AI80" s="14">
        <f>AVERAGE(I80,K80,M80)</f>
        <v>1749</v>
      </c>
      <c r="AJ80" s="8">
        <f t="shared" ref="AJ80:AJ92" si="34">AVERAGE(J80,L80,N80)</f>
        <v>1749.5</v>
      </c>
      <c r="AK80" s="8">
        <f t="shared" ref="AK80:AK91" si="35">AVERAGE(P80,R80,T80)</f>
        <v>1739</v>
      </c>
      <c r="AL80" s="8">
        <f t="shared" ref="AL80:AL91" si="36">AVERAGE(Q80,S80,U80)</f>
        <v>1741.5</v>
      </c>
      <c r="AM80">
        <v>1505</v>
      </c>
      <c r="BA80" s="8">
        <f t="shared" ref="BA80:BA91" si="37">AVERAGE(P80,R80,T80,I80,K80,M80,B80,D80,F80)</f>
        <v>1744.5</v>
      </c>
      <c r="BB80" s="8">
        <f t="shared" ref="BB80:BB91" si="38">AVERAGE(Q80,S80,U80,J80,L80,N80,C80,E80,G80)</f>
        <v>1746.6666666666667</v>
      </c>
      <c r="BC80">
        <v>1505</v>
      </c>
    </row>
    <row r="81" spans="1:55" x14ac:dyDescent="0.35">
      <c r="A81" s="2">
        <v>42804</v>
      </c>
      <c r="B81">
        <v>1713</v>
      </c>
      <c r="C81">
        <v>1718</v>
      </c>
      <c r="D81">
        <v>1721</v>
      </c>
      <c r="E81">
        <v>1718</v>
      </c>
      <c r="F81">
        <v>1713</v>
      </c>
      <c r="G81">
        <v>1718</v>
      </c>
      <c r="I81">
        <v>1712</v>
      </c>
      <c r="J81">
        <v>1715</v>
      </c>
      <c r="K81">
        <v>1713</v>
      </c>
      <c r="L81">
        <v>1714</v>
      </c>
      <c r="M81">
        <v>1712</v>
      </c>
      <c r="N81">
        <v>1713</v>
      </c>
      <c r="P81" s="10">
        <v>1688</v>
      </c>
      <c r="Q81" s="10">
        <v>1697</v>
      </c>
      <c r="R81" s="10">
        <v>1690</v>
      </c>
      <c r="S81" s="10">
        <v>1702</v>
      </c>
      <c r="T81">
        <v>1685</v>
      </c>
      <c r="U81">
        <v>1695</v>
      </c>
      <c r="W81" s="10">
        <v>1570</v>
      </c>
      <c r="X81" s="10"/>
      <c r="Y81" s="5"/>
      <c r="AF81" s="2">
        <v>42804</v>
      </c>
      <c r="AG81" s="14">
        <f t="shared" ref="AG81:AG91" si="39">AVERAGE(B81,D81,F81)</f>
        <v>1715.6666666666667</v>
      </c>
      <c r="AH81" s="14">
        <f t="shared" si="33"/>
        <v>1718</v>
      </c>
      <c r="AI81" s="14">
        <f t="shared" ref="AI81:AI91" si="40">AVERAGE(I81,K81,M81)</f>
        <v>1712.3333333333333</v>
      </c>
      <c r="AJ81" s="8">
        <f t="shared" si="34"/>
        <v>1714</v>
      </c>
      <c r="AK81" s="8">
        <f t="shared" si="35"/>
        <v>1687.6666666666667</v>
      </c>
      <c r="AL81" s="8">
        <f t="shared" si="36"/>
        <v>1698</v>
      </c>
      <c r="AM81">
        <v>1570</v>
      </c>
      <c r="BA81" s="8">
        <f t="shared" si="37"/>
        <v>1705.2222222222222</v>
      </c>
      <c r="BB81" s="8">
        <f t="shared" si="38"/>
        <v>1710</v>
      </c>
      <c r="BC81">
        <v>1570</v>
      </c>
    </row>
    <row r="82" spans="1:55" x14ac:dyDescent="0.35">
      <c r="A82" s="2">
        <v>42811</v>
      </c>
      <c r="B82">
        <v>2640</v>
      </c>
      <c r="C82">
        <v>2760</v>
      </c>
      <c r="D82">
        <v>2580</v>
      </c>
      <c r="E82">
        <v>2800</v>
      </c>
      <c r="F82">
        <v>2530</v>
      </c>
      <c r="G82">
        <v>2580</v>
      </c>
      <c r="I82">
        <v>2290</v>
      </c>
      <c r="J82">
        <v>2480</v>
      </c>
      <c r="K82">
        <v>2250</v>
      </c>
      <c r="L82">
        <v>2310</v>
      </c>
      <c r="M82">
        <v>2280</v>
      </c>
      <c r="N82">
        <v>2350</v>
      </c>
      <c r="P82" s="10">
        <v>1951</v>
      </c>
      <c r="Q82" s="10">
        <v>2160</v>
      </c>
      <c r="R82">
        <v>2390</v>
      </c>
      <c r="S82">
        <v>2350</v>
      </c>
      <c r="T82">
        <v>1978</v>
      </c>
      <c r="U82">
        <v>1978</v>
      </c>
      <c r="W82" s="10">
        <v>1888</v>
      </c>
      <c r="X82" s="10"/>
      <c r="Y82" s="5"/>
      <c r="AF82" s="2">
        <v>42811</v>
      </c>
      <c r="AG82" s="14">
        <f t="shared" si="39"/>
        <v>2583.3333333333335</v>
      </c>
      <c r="AH82" s="14">
        <f t="shared" si="33"/>
        <v>2713.3333333333335</v>
      </c>
      <c r="AI82" s="14">
        <f t="shared" si="40"/>
        <v>2273.3333333333335</v>
      </c>
      <c r="AJ82" s="8">
        <f t="shared" si="34"/>
        <v>2380</v>
      </c>
      <c r="AK82" s="8">
        <f t="shared" si="35"/>
        <v>2106.3333333333335</v>
      </c>
      <c r="AL82" s="8">
        <f t="shared" si="36"/>
        <v>2162.6666666666665</v>
      </c>
      <c r="AM82">
        <v>1888</v>
      </c>
      <c r="BA82" s="8">
        <f t="shared" si="37"/>
        <v>2321</v>
      </c>
      <c r="BB82" s="8">
        <f t="shared" si="38"/>
        <v>2418.6666666666665</v>
      </c>
      <c r="BC82">
        <v>1888</v>
      </c>
    </row>
    <row r="83" spans="1:55" x14ac:dyDescent="0.35">
      <c r="A83" s="2">
        <v>42818</v>
      </c>
      <c r="B83">
        <v>15330</v>
      </c>
      <c r="C83">
        <v>23000</v>
      </c>
      <c r="D83">
        <v>19230</v>
      </c>
      <c r="E83">
        <v>23500</v>
      </c>
      <c r="F83">
        <v>15300</v>
      </c>
      <c r="G83">
        <v>23600</v>
      </c>
      <c r="I83" s="10">
        <v>23000</v>
      </c>
      <c r="J83" s="10">
        <v>25000</v>
      </c>
      <c r="K83" s="10">
        <v>20100</v>
      </c>
      <c r="L83" s="10">
        <v>25200</v>
      </c>
      <c r="M83">
        <v>23300</v>
      </c>
      <c r="N83">
        <v>25100</v>
      </c>
      <c r="P83" s="10">
        <v>13450</v>
      </c>
      <c r="Q83" s="10">
        <v>25900</v>
      </c>
      <c r="R83" s="10">
        <v>4920</v>
      </c>
      <c r="S83" s="10">
        <v>25100</v>
      </c>
      <c r="T83" s="10">
        <v>5170</v>
      </c>
      <c r="U83" s="10">
        <v>13380</v>
      </c>
      <c r="W83" s="10">
        <v>2250</v>
      </c>
      <c r="X83" s="10"/>
      <c r="Y83" s="5"/>
      <c r="AF83" s="2">
        <v>42818</v>
      </c>
      <c r="AG83" s="14">
        <f t="shared" si="39"/>
        <v>16620</v>
      </c>
      <c r="AH83" s="14">
        <f t="shared" si="33"/>
        <v>23366.666666666668</v>
      </c>
      <c r="AI83" s="14">
        <f t="shared" si="40"/>
        <v>22133.333333333332</v>
      </c>
      <c r="AJ83" s="8">
        <f t="shared" si="34"/>
        <v>25100</v>
      </c>
      <c r="AK83" s="8">
        <f t="shared" si="35"/>
        <v>7846.666666666667</v>
      </c>
      <c r="AL83" s="8">
        <f t="shared" si="36"/>
        <v>21460</v>
      </c>
      <c r="AM83">
        <v>2250</v>
      </c>
      <c r="BA83" s="8">
        <f t="shared" si="37"/>
        <v>15533.333333333334</v>
      </c>
      <c r="BB83" s="8">
        <f t="shared" si="38"/>
        <v>23308.888888888891</v>
      </c>
      <c r="BC83">
        <v>2250</v>
      </c>
    </row>
    <row r="84" spans="1:55" x14ac:dyDescent="0.35">
      <c r="A84" s="2">
        <v>42825</v>
      </c>
      <c r="B84">
        <v>32100</v>
      </c>
      <c r="C84">
        <v>40400</v>
      </c>
      <c r="D84">
        <v>32500</v>
      </c>
      <c r="E84">
        <v>41700</v>
      </c>
      <c r="F84">
        <v>32300</v>
      </c>
      <c r="G84">
        <v>40500</v>
      </c>
      <c r="I84">
        <v>36100</v>
      </c>
      <c r="J84">
        <v>40600</v>
      </c>
      <c r="K84">
        <v>36600</v>
      </c>
      <c r="L84">
        <v>40900</v>
      </c>
      <c r="M84">
        <v>36600</v>
      </c>
      <c r="N84">
        <v>41600</v>
      </c>
      <c r="P84" s="10">
        <v>39300</v>
      </c>
      <c r="Q84" s="10">
        <v>41000</v>
      </c>
      <c r="R84" s="10">
        <v>39800</v>
      </c>
      <c r="S84" s="10">
        <v>40800</v>
      </c>
      <c r="T84">
        <v>39700</v>
      </c>
      <c r="U84">
        <v>41400</v>
      </c>
      <c r="W84" s="10">
        <v>2580</v>
      </c>
      <c r="X84" s="10"/>
      <c r="Y84" s="5"/>
      <c r="AF84" s="2">
        <v>42825</v>
      </c>
      <c r="AG84" s="14">
        <f t="shared" si="39"/>
        <v>32300</v>
      </c>
      <c r="AH84" s="14">
        <f t="shared" si="33"/>
        <v>40866.666666666664</v>
      </c>
      <c r="AI84" s="14">
        <f t="shared" si="40"/>
        <v>36433.333333333336</v>
      </c>
      <c r="AJ84" s="8">
        <f t="shared" si="34"/>
        <v>41033.333333333336</v>
      </c>
      <c r="AK84" s="8">
        <f t="shared" si="35"/>
        <v>39600</v>
      </c>
      <c r="AL84" s="8">
        <f t="shared" si="36"/>
        <v>41066.666666666664</v>
      </c>
      <c r="AM84">
        <v>2580</v>
      </c>
      <c r="BA84" s="8">
        <f t="shared" si="37"/>
        <v>36111.111111111109</v>
      </c>
      <c r="BB84" s="8">
        <f t="shared" si="38"/>
        <v>40988.888888888891</v>
      </c>
      <c r="BC84">
        <v>2580</v>
      </c>
    </row>
    <row r="85" spans="1:55" x14ac:dyDescent="0.35">
      <c r="A85" s="2">
        <v>42832</v>
      </c>
      <c r="B85">
        <v>29600</v>
      </c>
      <c r="C85">
        <v>41900</v>
      </c>
      <c r="D85">
        <v>29400</v>
      </c>
      <c r="E85">
        <v>41500</v>
      </c>
      <c r="F85">
        <v>29500</v>
      </c>
      <c r="G85">
        <v>41200</v>
      </c>
      <c r="I85">
        <v>29100</v>
      </c>
      <c r="J85">
        <v>42300</v>
      </c>
      <c r="K85">
        <v>28800</v>
      </c>
      <c r="L85">
        <v>42900</v>
      </c>
      <c r="M85">
        <v>28400</v>
      </c>
      <c r="N85">
        <v>42500</v>
      </c>
      <c r="P85">
        <v>28700</v>
      </c>
      <c r="Q85">
        <v>42700</v>
      </c>
      <c r="R85">
        <v>28800</v>
      </c>
      <c r="S85">
        <v>43100</v>
      </c>
      <c r="T85">
        <v>28100</v>
      </c>
      <c r="U85">
        <v>42800</v>
      </c>
      <c r="W85" s="10">
        <v>2960</v>
      </c>
      <c r="X85" s="10"/>
      <c r="Y85" s="5"/>
      <c r="AF85" s="2">
        <v>42832</v>
      </c>
      <c r="AG85" s="14">
        <f t="shared" si="39"/>
        <v>29500</v>
      </c>
      <c r="AH85" s="14">
        <f t="shared" si="33"/>
        <v>41533.333333333336</v>
      </c>
      <c r="AI85" s="14">
        <f t="shared" si="40"/>
        <v>28766.666666666668</v>
      </c>
      <c r="AJ85" s="8">
        <f t="shared" si="34"/>
        <v>42566.666666666664</v>
      </c>
      <c r="AK85" s="8">
        <f t="shared" si="35"/>
        <v>28533.333333333332</v>
      </c>
      <c r="AL85" s="8">
        <f t="shared" si="36"/>
        <v>42866.666666666664</v>
      </c>
      <c r="AM85">
        <v>2960</v>
      </c>
      <c r="BA85" s="8">
        <f t="shared" si="37"/>
        <v>28933.333333333332</v>
      </c>
      <c r="BB85" s="8">
        <f t="shared" si="38"/>
        <v>42322.222222222219</v>
      </c>
      <c r="BC85">
        <v>2960</v>
      </c>
    </row>
    <row r="86" spans="1:55" x14ac:dyDescent="0.35">
      <c r="A86" s="2">
        <v>42839</v>
      </c>
      <c r="B86">
        <v>14510</v>
      </c>
      <c r="C86">
        <v>28900</v>
      </c>
      <c r="D86">
        <v>14500</v>
      </c>
      <c r="E86">
        <v>29000</v>
      </c>
      <c r="F86">
        <v>14830</v>
      </c>
      <c r="G86">
        <v>27200</v>
      </c>
      <c r="I86">
        <v>17980</v>
      </c>
      <c r="J86">
        <v>28600</v>
      </c>
      <c r="K86">
        <v>15930</v>
      </c>
      <c r="L86">
        <v>29600</v>
      </c>
      <c r="M86">
        <v>15610</v>
      </c>
      <c r="N86">
        <v>30000</v>
      </c>
      <c r="P86" s="10">
        <v>17450</v>
      </c>
      <c r="Q86" s="10">
        <v>28200</v>
      </c>
      <c r="R86">
        <v>19160</v>
      </c>
      <c r="S86">
        <v>29500</v>
      </c>
      <c r="T86">
        <v>17770</v>
      </c>
      <c r="U86">
        <v>30200</v>
      </c>
      <c r="W86" s="10">
        <v>3050</v>
      </c>
      <c r="X86" s="10"/>
      <c r="Y86" s="5"/>
      <c r="AF86" s="2">
        <v>42839</v>
      </c>
      <c r="AG86" s="14">
        <f t="shared" si="39"/>
        <v>14613.333333333334</v>
      </c>
      <c r="AH86" s="14">
        <f t="shared" si="33"/>
        <v>28366.666666666668</v>
      </c>
      <c r="AI86" s="14">
        <f t="shared" si="40"/>
        <v>16506.666666666668</v>
      </c>
      <c r="AJ86" s="8">
        <f t="shared" si="34"/>
        <v>29400</v>
      </c>
      <c r="AK86" s="8">
        <f t="shared" si="35"/>
        <v>18126.666666666668</v>
      </c>
      <c r="AL86" s="8">
        <f t="shared" si="36"/>
        <v>29300</v>
      </c>
      <c r="AM86">
        <v>3050</v>
      </c>
      <c r="BA86" s="8">
        <f t="shared" si="37"/>
        <v>16415.555555555555</v>
      </c>
      <c r="BB86" s="8">
        <f t="shared" si="38"/>
        <v>29022.222222222223</v>
      </c>
      <c r="BC86">
        <v>3050</v>
      </c>
    </row>
    <row r="87" spans="1:55" x14ac:dyDescent="0.35">
      <c r="A87" s="2">
        <v>42846</v>
      </c>
      <c r="B87">
        <v>19020</v>
      </c>
      <c r="C87">
        <v>23500</v>
      </c>
      <c r="D87">
        <v>19000</v>
      </c>
      <c r="E87">
        <v>23600</v>
      </c>
      <c r="F87">
        <v>18760</v>
      </c>
      <c r="G87" s="5">
        <v>22600</v>
      </c>
      <c r="I87">
        <v>18880</v>
      </c>
      <c r="J87">
        <v>22400</v>
      </c>
      <c r="K87">
        <v>18890</v>
      </c>
      <c r="L87">
        <v>23100</v>
      </c>
      <c r="M87">
        <v>18710</v>
      </c>
      <c r="N87">
        <v>21700</v>
      </c>
      <c r="P87">
        <v>18250</v>
      </c>
      <c r="Q87">
        <v>19950</v>
      </c>
      <c r="R87">
        <v>17970</v>
      </c>
      <c r="S87">
        <v>23400</v>
      </c>
      <c r="T87">
        <v>16710</v>
      </c>
      <c r="U87">
        <v>23000</v>
      </c>
      <c r="W87" s="10">
        <v>2840</v>
      </c>
      <c r="X87" s="10"/>
      <c r="Y87" s="5"/>
      <c r="AF87" s="2">
        <v>42846</v>
      </c>
      <c r="AG87" s="14">
        <f t="shared" si="39"/>
        <v>18926.666666666668</v>
      </c>
      <c r="AH87" s="14">
        <f t="shared" si="33"/>
        <v>23233.333333333332</v>
      </c>
      <c r="AI87" s="14">
        <f t="shared" si="40"/>
        <v>18826.666666666668</v>
      </c>
      <c r="AJ87" s="8">
        <f t="shared" si="34"/>
        <v>22400</v>
      </c>
      <c r="AK87" s="8">
        <f t="shared" si="35"/>
        <v>17643.333333333332</v>
      </c>
      <c r="AL87" s="8">
        <f t="shared" si="36"/>
        <v>22116.666666666668</v>
      </c>
      <c r="AM87">
        <v>2840</v>
      </c>
      <c r="BA87" s="8">
        <f t="shared" si="37"/>
        <v>18465.555555555555</v>
      </c>
      <c r="BB87" s="8">
        <f t="shared" si="38"/>
        <v>22583.333333333332</v>
      </c>
      <c r="BC87">
        <v>2840</v>
      </c>
    </row>
    <row r="88" spans="1:55" x14ac:dyDescent="0.35">
      <c r="A88" s="2">
        <v>42853</v>
      </c>
      <c r="B88">
        <v>9420</v>
      </c>
      <c r="C88">
        <v>20600</v>
      </c>
      <c r="D88">
        <v>9890</v>
      </c>
      <c r="E88">
        <v>22600</v>
      </c>
      <c r="F88">
        <v>10850</v>
      </c>
      <c r="G88" s="5">
        <v>21900</v>
      </c>
      <c r="I88">
        <v>8500</v>
      </c>
      <c r="J88">
        <v>18750</v>
      </c>
      <c r="K88">
        <v>7720</v>
      </c>
      <c r="L88">
        <v>20900</v>
      </c>
      <c r="M88">
        <v>7750</v>
      </c>
      <c r="N88">
        <v>20700</v>
      </c>
      <c r="P88">
        <v>7210</v>
      </c>
      <c r="Q88">
        <v>21600</v>
      </c>
      <c r="R88">
        <v>7250</v>
      </c>
      <c r="S88">
        <v>22100</v>
      </c>
      <c r="T88">
        <v>7150</v>
      </c>
      <c r="U88">
        <v>21300</v>
      </c>
      <c r="W88">
        <v>2850</v>
      </c>
      <c r="X88" s="10"/>
      <c r="Y88" s="5"/>
      <c r="AF88" s="2">
        <v>42853</v>
      </c>
      <c r="AG88" s="14">
        <f t="shared" si="39"/>
        <v>10053.333333333334</v>
      </c>
      <c r="AH88" s="14">
        <f t="shared" si="33"/>
        <v>21700</v>
      </c>
      <c r="AI88" s="14">
        <f t="shared" si="40"/>
        <v>7990</v>
      </c>
      <c r="AJ88" s="8">
        <f t="shared" si="34"/>
        <v>20116.666666666668</v>
      </c>
      <c r="AK88" s="8">
        <f t="shared" si="35"/>
        <v>7203.333333333333</v>
      </c>
      <c r="AL88" s="8">
        <f t="shared" si="36"/>
        <v>21666.666666666668</v>
      </c>
      <c r="AM88">
        <v>2850</v>
      </c>
      <c r="BA88" s="8">
        <f t="shared" si="37"/>
        <v>8415.5555555555547</v>
      </c>
      <c r="BB88" s="8">
        <f t="shared" si="38"/>
        <v>21161.111111111109</v>
      </c>
      <c r="BC88">
        <v>2850</v>
      </c>
    </row>
    <row r="89" spans="1:55" x14ac:dyDescent="0.35">
      <c r="A89" s="2">
        <v>42860</v>
      </c>
      <c r="B89">
        <v>17410</v>
      </c>
      <c r="C89">
        <v>23600</v>
      </c>
      <c r="D89">
        <v>17330</v>
      </c>
      <c r="E89">
        <v>23800</v>
      </c>
      <c r="F89">
        <v>17630</v>
      </c>
      <c r="G89" s="5">
        <v>23800</v>
      </c>
      <c r="I89">
        <v>16810</v>
      </c>
      <c r="J89">
        <v>23700</v>
      </c>
      <c r="K89">
        <v>16690</v>
      </c>
      <c r="L89">
        <v>24300</v>
      </c>
      <c r="M89">
        <v>16790</v>
      </c>
      <c r="N89">
        <v>23900</v>
      </c>
      <c r="P89" s="10">
        <v>15000</v>
      </c>
      <c r="Q89" s="10">
        <v>22800</v>
      </c>
      <c r="R89" s="10">
        <v>14450</v>
      </c>
      <c r="S89" s="10">
        <v>23300</v>
      </c>
      <c r="T89">
        <v>13750</v>
      </c>
      <c r="U89">
        <v>24300</v>
      </c>
      <c r="W89" s="10">
        <v>2780</v>
      </c>
      <c r="X89" s="10"/>
      <c r="Y89" s="5"/>
      <c r="AF89" s="2">
        <v>42860</v>
      </c>
      <c r="AG89" s="14">
        <f t="shared" si="39"/>
        <v>17456.666666666668</v>
      </c>
      <c r="AH89" s="14">
        <f t="shared" si="33"/>
        <v>23733.333333333332</v>
      </c>
      <c r="AI89" s="14">
        <f t="shared" si="40"/>
        <v>16763.333333333332</v>
      </c>
      <c r="AJ89" s="8">
        <f t="shared" si="34"/>
        <v>23966.666666666668</v>
      </c>
      <c r="AK89" s="8">
        <f t="shared" si="35"/>
        <v>14400</v>
      </c>
      <c r="AL89" s="8">
        <f t="shared" si="36"/>
        <v>23466.666666666668</v>
      </c>
      <c r="AM89">
        <v>2780</v>
      </c>
      <c r="BA89" s="8">
        <f t="shared" si="37"/>
        <v>16206.666666666666</v>
      </c>
      <c r="BB89" s="8">
        <f t="shared" si="38"/>
        <v>23722.222222222223</v>
      </c>
      <c r="BC89">
        <v>2780</v>
      </c>
    </row>
    <row r="90" spans="1:55" x14ac:dyDescent="0.35">
      <c r="A90" s="2">
        <v>42867</v>
      </c>
      <c r="B90">
        <v>19090</v>
      </c>
      <c r="C90">
        <v>28200</v>
      </c>
      <c r="D90">
        <v>19120</v>
      </c>
      <c r="E90">
        <v>27700</v>
      </c>
      <c r="F90">
        <v>19150</v>
      </c>
      <c r="G90" s="5">
        <v>28900</v>
      </c>
      <c r="I90">
        <v>20100</v>
      </c>
      <c r="J90">
        <v>27800</v>
      </c>
      <c r="K90">
        <v>20200</v>
      </c>
      <c r="L90">
        <v>26800</v>
      </c>
      <c r="M90">
        <v>20300</v>
      </c>
      <c r="N90">
        <v>27300</v>
      </c>
      <c r="P90">
        <v>22200</v>
      </c>
      <c r="Q90">
        <v>26600</v>
      </c>
      <c r="R90">
        <v>20900</v>
      </c>
      <c r="S90">
        <v>26800</v>
      </c>
      <c r="T90">
        <v>20400</v>
      </c>
      <c r="U90">
        <v>28700</v>
      </c>
      <c r="W90" s="10">
        <v>2710</v>
      </c>
      <c r="X90" s="10"/>
      <c r="Y90" s="5"/>
      <c r="AF90" s="2">
        <v>42867</v>
      </c>
      <c r="AG90" s="14">
        <f t="shared" si="39"/>
        <v>19120</v>
      </c>
      <c r="AH90" s="14">
        <f t="shared" si="33"/>
        <v>28266.666666666668</v>
      </c>
      <c r="AI90" s="14">
        <f t="shared" si="40"/>
        <v>20200</v>
      </c>
      <c r="AJ90" s="8">
        <f t="shared" si="34"/>
        <v>27300</v>
      </c>
      <c r="AK90" s="8">
        <f t="shared" si="35"/>
        <v>21166.666666666668</v>
      </c>
      <c r="AL90" s="8">
        <f t="shared" si="36"/>
        <v>27366.666666666668</v>
      </c>
      <c r="AM90">
        <v>2710</v>
      </c>
      <c r="BA90" s="8">
        <f t="shared" si="37"/>
        <v>20162.222222222223</v>
      </c>
      <c r="BB90" s="8">
        <f t="shared" si="38"/>
        <v>27644.444444444445</v>
      </c>
      <c r="BC90">
        <v>2710</v>
      </c>
    </row>
    <row r="91" spans="1:55" x14ac:dyDescent="0.35">
      <c r="A91" s="13">
        <v>42874</v>
      </c>
      <c r="B91" s="10">
        <v>19580</v>
      </c>
      <c r="C91" s="10">
        <v>27800</v>
      </c>
      <c r="D91" s="10">
        <v>19610</v>
      </c>
      <c r="E91" s="10">
        <v>27010</v>
      </c>
      <c r="F91" s="5">
        <v>19530</v>
      </c>
      <c r="G91" s="5">
        <v>26600</v>
      </c>
      <c r="I91" s="10">
        <v>19740</v>
      </c>
      <c r="J91" s="10">
        <v>26500</v>
      </c>
      <c r="K91" s="10">
        <v>19850</v>
      </c>
      <c r="L91" s="10">
        <v>25400</v>
      </c>
      <c r="M91" s="5">
        <v>19770</v>
      </c>
      <c r="N91" s="5">
        <v>26600</v>
      </c>
      <c r="P91" s="10">
        <v>19200</v>
      </c>
      <c r="Q91" s="10">
        <v>26400</v>
      </c>
      <c r="R91" s="10">
        <v>19850</v>
      </c>
      <c r="S91" s="10">
        <v>26400</v>
      </c>
      <c r="T91" s="5">
        <v>19590</v>
      </c>
      <c r="U91" s="5">
        <v>26500</v>
      </c>
      <c r="W91" s="10">
        <v>2780</v>
      </c>
      <c r="X91" s="10"/>
      <c r="Y91" s="5"/>
      <c r="AF91" s="2">
        <v>42874</v>
      </c>
      <c r="AG91" s="14">
        <f t="shared" si="39"/>
        <v>19573.333333333332</v>
      </c>
      <c r="AH91" s="14">
        <f t="shared" si="33"/>
        <v>27136.666666666668</v>
      </c>
      <c r="AI91" s="14">
        <f t="shared" si="40"/>
        <v>19786.666666666668</v>
      </c>
      <c r="AJ91" s="8">
        <f t="shared" si="34"/>
        <v>26166.666666666668</v>
      </c>
      <c r="AK91" s="8">
        <f t="shared" si="35"/>
        <v>19546.666666666668</v>
      </c>
      <c r="AL91" s="8">
        <f t="shared" si="36"/>
        <v>26433.333333333332</v>
      </c>
      <c r="AM91">
        <v>2780</v>
      </c>
      <c r="BA91" s="8">
        <f t="shared" si="37"/>
        <v>19635.555555555555</v>
      </c>
      <c r="BB91" s="8">
        <f t="shared" si="38"/>
        <v>26578.888888888891</v>
      </c>
      <c r="BC91">
        <v>2780</v>
      </c>
    </row>
    <row r="92" spans="1:55" ht="15.5" x14ac:dyDescent="0.35">
      <c r="A92" s="13">
        <v>42879</v>
      </c>
      <c r="B92" s="5">
        <v>16700</v>
      </c>
      <c r="C92" s="5">
        <v>23200</v>
      </c>
      <c r="D92">
        <v>18010</v>
      </c>
      <c r="E92">
        <v>23600</v>
      </c>
      <c r="F92">
        <v>17120</v>
      </c>
      <c r="G92" s="5">
        <v>22800</v>
      </c>
      <c r="H92" s="9"/>
      <c r="I92" s="5">
        <v>16600</v>
      </c>
      <c r="J92" s="5">
        <v>22800</v>
      </c>
      <c r="K92" s="5">
        <v>16640</v>
      </c>
      <c r="L92" s="10">
        <v>23500</v>
      </c>
      <c r="M92" s="10">
        <v>16600</v>
      </c>
      <c r="N92" s="10">
        <v>23200</v>
      </c>
      <c r="P92" s="10">
        <v>15810</v>
      </c>
      <c r="Q92" s="10">
        <v>23300</v>
      </c>
      <c r="R92" s="10">
        <v>15770</v>
      </c>
      <c r="S92" s="10">
        <v>22200</v>
      </c>
      <c r="T92" s="10">
        <v>16060</v>
      </c>
      <c r="U92" s="10">
        <v>23030</v>
      </c>
      <c r="W92" s="10">
        <v>2850</v>
      </c>
      <c r="X92" s="10"/>
      <c r="Y92" s="5"/>
      <c r="Z92" s="5"/>
      <c r="AE92" s="1"/>
      <c r="AF92" s="2">
        <v>42879</v>
      </c>
      <c r="AG92" s="14">
        <f>AVERAGE(B92,D92,F92)</f>
        <v>17276.666666666668</v>
      </c>
      <c r="AH92" s="14">
        <f>AVERAGE(C92,E92,G92)</f>
        <v>23200</v>
      </c>
      <c r="AI92" s="14">
        <f>AVERAGE(I92,K92,M92)</f>
        <v>16613.333333333332</v>
      </c>
      <c r="AJ92" s="8">
        <f t="shared" si="34"/>
        <v>23166.666666666668</v>
      </c>
      <c r="AK92" s="8">
        <f>AVERAGE(P92,R92,T92)</f>
        <v>15880</v>
      </c>
      <c r="AL92" s="8">
        <f>AVERAGE(Q92,S92,U92)</f>
        <v>22843.333333333332</v>
      </c>
      <c r="AM92">
        <v>2850</v>
      </c>
      <c r="BA92" s="8">
        <f>AVERAGE(P92,R92,T92,I92,K92,M92,B92,D92,F92)</f>
        <v>16590</v>
      </c>
      <c r="BB92" s="8">
        <f>AVERAGE(Q92,S92,U92,J92,L92,N92,C92,E92,G92)</f>
        <v>23070</v>
      </c>
      <c r="BC92">
        <v>2850</v>
      </c>
    </row>
    <row r="93" spans="1:55" ht="15.5" x14ac:dyDescent="0.35">
      <c r="A93" s="13"/>
      <c r="B93" s="5"/>
      <c r="C93" s="5"/>
      <c r="G93" s="5"/>
      <c r="H93" s="9"/>
      <c r="I93" s="5"/>
      <c r="J93" s="5"/>
      <c r="K93" s="5"/>
      <c r="L93" s="10"/>
      <c r="M93" s="10"/>
      <c r="N93" s="10"/>
      <c r="P93" s="10"/>
      <c r="Q93" s="10"/>
      <c r="R93" s="10"/>
      <c r="S93" s="10"/>
      <c r="T93" s="10"/>
      <c r="U93" s="10"/>
      <c r="W93" s="10"/>
      <c r="X93" s="10"/>
      <c r="Y93" s="5"/>
      <c r="Z93" s="5"/>
      <c r="AE93" s="1"/>
      <c r="AF93" s="2"/>
      <c r="AG93" s="14"/>
      <c r="AH93" s="14"/>
      <c r="AI93" s="14"/>
      <c r="AJ93" s="8"/>
      <c r="AK93" s="8"/>
      <c r="AL93" s="8"/>
      <c r="BA93" s="8"/>
      <c r="BB93" s="8"/>
    </row>
    <row r="94" spans="1:55" ht="15.5" x14ac:dyDescent="0.35">
      <c r="A94" s="13"/>
      <c r="B94" s="5"/>
      <c r="C94" s="5"/>
      <c r="G94" s="5"/>
      <c r="H94" s="9"/>
      <c r="I94" s="5"/>
      <c r="J94" s="5"/>
      <c r="K94" s="5"/>
      <c r="L94" s="10"/>
      <c r="M94" s="10"/>
      <c r="N94" s="10"/>
      <c r="P94" s="10"/>
      <c r="Q94" s="10"/>
      <c r="R94" s="10"/>
      <c r="S94" s="10"/>
      <c r="T94" s="10"/>
      <c r="U94" s="10"/>
      <c r="W94" s="10"/>
      <c r="X94" s="10"/>
      <c r="Y94" s="5"/>
      <c r="Z94" s="5"/>
      <c r="AE94" s="1"/>
      <c r="AF94" s="2"/>
      <c r="AG94" s="14"/>
      <c r="AH94" s="14"/>
      <c r="AI94" s="14"/>
      <c r="AJ94" s="8"/>
      <c r="AK94" s="8"/>
      <c r="AL94" s="8"/>
      <c r="BA94" s="8"/>
      <c r="BB94" s="8"/>
    </row>
    <row r="95" spans="1:55" ht="15.5" x14ac:dyDescent="0.35">
      <c r="A95" s="13">
        <v>43171</v>
      </c>
      <c r="B95">
        <v>2260</v>
      </c>
      <c r="C95">
        <v>2310</v>
      </c>
      <c r="D95">
        <v>2250</v>
      </c>
      <c r="E95">
        <v>2290</v>
      </c>
      <c r="F95">
        <v>2190</v>
      </c>
      <c r="G95" s="5">
        <v>2220</v>
      </c>
      <c r="I95">
        <v>2090</v>
      </c>
      <c r="J95">
        <v>2190</v>
      </c>
      <c r="K95">
        <v>2160</v>
      </c>
      <c r="L95">
        <v>2130</v>
      </c>
      <c r="M95">
        <v>2010</v>
      </c>
      <c r="N95">
        <v>2200</v>
      </c>
      <c r="P95">
        <v>2040</v>
      </c>
      <c r="Q95">
        <v>2040</v>
      </c>
      <c r="R95">
        <v>2050</v>
      </c>
      <c r="S95">
        <v>2040</v>
      </c>
      <c r="T95">
        <v>2040</v>
      </c>
      <c r="U95">
        <v>2130</v>
      </c>
      <c r="W95" s="10"/>
      <c r="X95" s="10"/>
      <c r="Y95" s="5"/>
      <c r="Z95" s="5"/>
      <c r="AE95" s="1"/>
      <c r="AF95" s="13">
        <v>43171</v>
      </c>
      <c r="AG95" s="14">
        <f t="shared" ref="AG95:AG106" si="41">AVERAGE(P95,R95,T95)</f>
        <v>2043.3333333333333</v>
      </c>
      <c r="AH95" s="14">
        <f t="shared" ref="AH95:AH106" si="42">AVERAGE(Q95,S95,U95)</f>
        <v>2070</v>
      </c>
      <c r="AI95" s="14">
        <f t="shared" ref="AI95:AI106" si="43">AVERAGE(I95,K95,M95)</f>
        <v>2086.6666666666665</v>
      </c>
      <c r="AJ95" s="8">
        <f t="shared" ref="AJ95:AJ106" si="44">AVERAGE(J95,L95,N95)</f>
        <v>2173.3333333333335</v>
      </c>
      <c r="AK95" s="8">
        <f t="shared" ref="AK95:AK106" si="45">AVERAGE(B95,D95,F95)</f>
        <v>2233.3333333333335</v>
      </c>
      <c r="AL95" s="8">
        <f t="shared" ref="AL95:AL106" si="46">AVERAGE(C95,E95,G95)</f>
        <v>2273.3333333333335</v>
      </c>
      <c r="AM95" s="10"/>
      <c r="BA95" s="8">
        <f t="shared" ref="BA95:BA106" si="47">AVERAGE(B95,D95,F95,I95,K95,M95,P95,R95,T95)</f>
        <v>2121.1111111111113</v>
      </c>
      <c r="BB95" s="8">
        <f t="shared" ref="BB95:BB106" si="48">AVERAGE(C95,E95,G95,J95,L95,N95,Q95,S95,U95)</f>
        <v>2172.2222222222222</v>
      </c>
    </row>
    <row r="96" spans="1:55" ht="15.5" x14ac:dyDescent="0.35">
      <c r="A96" s="13">
        <v>43178</v>
      </c>
      <c r="B96">
        <v>2510</v>
      </c>
      <c r="C96">
        <v>2530</v>
      </c>
      <c r="D96">
        <v>2450</v>
      </c>
      <c r="E96">
        <v>2490</v>
      </c>
      <c r="F96">
        <v>2510</v>
      </c>
      <c r="G96">
        <v>2530</v>
      </c>
      <c r="I96">
        <v>2280</v>
      </c>
      <c r="J96">
        <v>2310</v>
      </c>
      <c r="K96">
        <v>2270</v>
      </c>
      <c r="L96">
        <v>2280</v>
      </c>
      <c r="M96">
        <v>2280</v>
      </c>
      <c r="N96">
        <v>2280</v>
      </c>
      <c r="P96">
        <v>2050</v>
      </c>
      <c r="Q96">
        <v>2050</v>
      </c>
      <c r="R96">
        <v>1932</v>
      </c>
      <c r="S96">
        <v>2070</v>
      </c>
      <c r="T96">
        <v>1964</v>
      </c>
      <c r="U96">
        <v>2070</v>
      </c>
      <c r="W96" s="10"/>
      <c r="X96" s="10"/>
      <c r="Y96" s="5"/>
      <c r="Z96" s="5">
        <v>4170</v>
      </c>
      <c r="AE96" s="1"/>
      <c r="AF96" s="13">
        <v>43178</v>
      </c>
      <c r="AG96" s="14">
        <f t="shared" si="41"/>
        <v>1982</v>
      </c>
      <c r="AH96" s="14">
        <f t="shared" si="42"/>
        <v>2063.3333333333335</v>
      </c>
      <c r="AI96" s="14">
        <f t="shared" si="43"/>
        <v>2276.6666666666665</v>
      </c>
      <c r="AJ96" s="8">
        <f t="shared" si="44"/>
        <v>2290</v>
      </c>
      <c r="AK96" s="8">
        <f t="shared" si="45"/>
        <v>2490</v>
      </c>
      <c r="AL96" s="8">
        <f t="shared" si="46"/>
        <v>2516.6666666666665</v>
      </c>
      <c r="AM96" s="10"/>
      <c r="BA96" s="8">
        <f t="shared" si="47"/>
        <v>2249.5555555555557</v>
      </c>
      <c r="BB96" s="8">
        <f t="shared" si="48"/>
        <v>2290</v>
      </c>
    </row>
    <row r="97" spans="1:55" ht="15.5" x14ac:dyDescent="0.35">
      <c r="A97" s="13">
        <v>43185</v>
      </c>
      <c r="B97">
        <v>25700</v>
      </c>
      <c r="C97">
        <v>35100</v>
      </c>
      <c r="D97">
        <v>23400</v>
      </c>
      <c r="E97">
        <v>36900</v>
      </c>
      <c r="F97">
        <v>22100</v>
      </c>
      <c r="G97">
        <v>37400</v>
      </c>
      <c r="I97">
        <v>22400</v>
      </c>
      <c r="J97">
        <v>32700</v>
      </c>
      <c r="K97">
        <v>22800</v>
      </c>
      <c r="L97">
        <v>30800</v>
      </c>
      <c r="M97">
        <v>23500</v>
      </c>
      <c r="N97">
        <v>31200</v>
      </c>
      <c r="P97" s="10">
        <v>26500</v>
      </c>
      <c r="Q97" s="10">
        <v>36600</v>
      </c>
      <c r="R97" s="10">
        <v>28800</v>
      </c>
      <c r="S97" s="10">
        <v>37300</v>
      </c>
      <c r="T97">
        <v>28600</v>
      </c>
      <c r="U97">
        <v>37500</v>
      </c>
      <c r="W97" s="10">
        <v>1846</v>
      </c>
      <c r="X97" s="10"/>
      <c r="Y97" s="5"/>
      <c r="Z97" s="5">
        <v>2400</v>
      </c>
      <c r="AE97" s="1"/>
      <c r="AF97" s="13">
        <v>43185</v>
      </c>
      <c r="AG97" s="14">
        <f t="shared" si="41"/>
        <v>27966.666666666668</v>
      </c>
      <c r="AH97" s="14">
        <f t="shared" si="42"/>
        <v>37133.333333333336</v>
      </c>
      <c r="AI97" s="14">
        <f t="shared" si="43"/>
        <v>22900</v>
      </c>
      <c r="AJ97" s="8">
        <f t="shared" si="44"/>
        <v>31566.666666666668</v>
      </c>
      <c r="AK97" s="8">
        <f t="shared" si="45"/>
        <v>23733.333333333332</v>
      </c>
      <c r="AL97" s="8">
        <f t="shared" si="46"/>
        <v>36466.666666666664</v>
      </c>
      <c r="AM97" s="10">
        <v>1846</v>
      </c>
      <c r="BA97" s="8">
        <f t="shared" si="47"/>
        <v>24866.666666666668</v>
      </c>
      <c r="BB97" s="8">
        <f t="shared" si="48"/>
        <v>35055.555555555555</v>
      </c>
      <c r="BC97" s="10">
        <v>1846</v>
      </c>
    </row>
    <row r="98" spans="1:55" ht="15.5" x14ac:dyDescent="0.35">
      <c r="A98" s="13">
        <v>43193</v>
      </c>
      <c r="B98">
        <v>6160</v>
      </c>
      <c r="C98">
        <v>6080</v>
      </c>
      <c r="D98">
        <v>6040</v>
      </c>
      <c r="E98">
        <v>6020</v>
      </c>
      <c r="F98">
        <v>6080</v>
      </c>
      <c r="G98">
        <v>6120</v>
      </c>
      <c r="I98">
        <v>6700</v>
      </c>
      <c r="J98">
        <v>6730</v>
      </c>
      <c r="K98">
        <v>6740</v>
      </c>
      <c r="L98">
        <v>6810</v>
      </c>
      <c r="M98">
        <v>6810</v>
      </c>
      <c r="N98">
        <v>6900</v>
      </c>
      <c r="P98" s="10">
        <v>7830</v>
      </c>
      <c r="Q98" s="10">
        <v>9480</v>
      </c>
      <c r="R98" s="10">
        <v>7740</v>
      </c>
      <c r="S98" s="10">
        <v>10090</v>
      </c>
      <c r="T98">
        <v>9250</v>
      </c>
      <c r="U98">
        <v>10070</v>
      </c>
      <c r="W98" s="10">
        <v>2080</v>
      </c>
      <c r="X98" s="10"/>
      <c r="Y98" s="5"/>
      <c r="Z98" s="5">
        <v>5430</v>
      </c>
      <c r="AE98" s="1"/>
      <c r="AF98" s="13">
        <v>43193</v>
      </c>
      <c r="AG98" s="14">
        <f t="shared" si="41"/>
        <v>8273.3333333333339</v>
      </c>
      <c r="AH98" s="14">
        <f t="shared" si="42"/>
        <v>9880</v>
      </c>
      <c r="AI98" s="14">
        <f t="shared" si="43"/>
        <v>6750</v>
      </c>
      <c r="AJ98" s="8">
        <f t="shared" si="44"/>
        <v>6813.333333333333</v>
      </c>
      <c r="AK98" s="8">
        <f t="shared" si="45"/>
        <v>6093.333333333333</v>
      </c>
      <c r="AL98" s="8">
        <f t="shared" si="46"/>
        <v>6073.333333333333</v>
      </c>
      <c r="AM98" s="10">
        <v>2080</v>
      </c>
      <c r="BA98" s="8">
        <f t="shared" si="47"/>
        <v>7038.8888888888887</v>
      </c>
      <c r="BB98" s="8">
        <f t="shared" si="48"/>
        <v>7588.8888888888887</v>
      </c>
      <c r="BC98" s="10">
        <v>2080</v>
      </c>
    </row>
    <row r="99" spans="1:55" ht="15.5" x14ac:dyDescent="0.35">
      <c r="A99" s="13">
        <v>43199</v>
      </c>
      <c r="B99">
        <v>5760</v>
      </c>
      <c r="C99">
        <v>14070</v>
      </c>
      <c r="D99">
        <v>4850</v>
      </c>
      <c r="E99">
        <v>14570</v>
      </c>
      <c r="F99">
        <v>4810</v>
      </c>
      <c r="G99">
        <v>20600</v>
      </c>
      <c r="I99">
        <v>4320</v>
      </c>
      <c r="J99">
        <v>21300</v>
      </c>
      <c r="K99">
        <v>4070</v>
      </c>
      <c r="L99">
        <v>20300</v>
      </c>
      <c r="M99">
        <v>4200</v>
      </c>
      <c r="N99">
        <v>20300</v>
      </c>
      <c r="P99" s="10">
        <v>2910</v>
      </c>
      <c r="Q99" s="55">
        <v>12400</v>
      </c>
      <c r="R99" s="10">
        <v>2970</v>
      </c>
      <c r="S99" s="55">
        <v>6200</v>
      </c>
      <c r="T99" s="10">
        <v>3000</v>
      </c>
      <c r="U99" s="10">
        <v>21300</v>
      </c>
      <c r="W99" s="10">
        <v>2020</v>
      </c>
      <c r="X99" s="10"/>
      <c r="Y99" s="5"/>
      <c r="Z99" s="10">
        <v>2160</v>
      </c>
      <c r="AE99" s="1"/>
      <c r="AF99" s="13">
        <v>43199</v>
      </c>
      <c r="AG99" s="14">
        <f t="shared" si="41"/>
        <v>2960</v>
      </c>
      <c r="AH99" s="14">
        <f t="shared" si="42"/>
        <v>13300</v>
      </c>
      <c r="AI99" s="14">
        <f t="shared" si="43"/>
        <v>4196.666666666667</v>
      </c>
      <c r="AJ99" s="8">
        <f t="shared" si="44"/>
        <v>20633.333333333332</v>
      </c>
      <c r="AK99" s="8">
        <f t="shared" si="45"/>
        <v>5140</v>
      </c>
      <c r="AL99" s="8">
        <f t="shared" si="46"/>
        <v>16413.333333333332</v>
      </c>
      <c r="AM99" s="10">
        <v>2020</v>
      </c>
      <c r="BA99" s="8">
        <f t="shared" si="47"/>
        <v>4098.8888888888887</v>
      </c>
      <c r="BB99" s="8">
        <f t="shared" si="48"/>
        <v>16782.222222222223</v>
      </c>
      <c r="BC99" s="10">
        <v>2020</v>
      </c>
    </row>
    <row r="100" spans="1:55" ht="15.5" x14ac:dyDescent="0.35">
      <c r="A100" s="13">
        <v>43206</v>
      </c>
      <c r="B100">
        <v>1996</v>
      </c>
      <c r="C100">
        <v>1999</v>
      </c>
      <c r="D100">
        <v>1995</v>
      </c>
      <c r="E100">
        <v>1995</v>
      </c>
      <c r="F100">
        <v>1997</v>
      </c>
      <c r="G100">
        <v>1997</v>
      </c>
      <c r="I100">
        <v>1996</v>
      </c>
      <c r="J100">
        <v>2010</v>
      </c>
      <c r="K100">
        <v>1998</v>
      </c>
      <c r="L100">
        <v>2010</v>
      </c>
      <c r="M100">
        <v>1994</v>
      </c>
      <c r="N100">
        <v>1998</v>
      </c>
      <c r="P100" s="10">
        <v>1997</v>
      </c>
      <c r="Q100" s="10">
        <v>1975</v>
      </c>
      <c r="R100">
        <v>1976</v>
      </c>
      <c r="S100">
        <v>1993</v>
      </c>
      <c r="T100">
        <v>1969</v>
      </c>
      <c r="U100">
        <v>1970</v>
      </c>
      <c r="W100" s="10">
        <v>1932</v>
      </c>
      <c r="X100" s="10"/>
      <c r="Y100" s="5"/>
      <c r="Z100" s="10">
        <v>2340</v>
      </c>
      <c r="AE100" s="1"/>
      <c r="AF100" s="13">
        <v>43206</v>
      </c>
      <c r="AG100" s="14">
        <f t="shared" si="41"/>
        <v>1980.6666666666667</v>
      </c>
      <c r="AH100" s="14">
        <f t="shared" si="42"/>
        <v>1979.3333333333333</v>
      </c>
      <c r="AI100" s="14">
        <f t="shared" si="43"/>
        <v>1996</v>
      </c>
      <c r="AJ100" s="8">
        <f t="shared" si="44"/>
        <v>2006</v>
      </c>
      <c r="AK100" s="8">
        <f t="shared" si="45"/>
        <v>1996</v>
      </c>
      <c r="AL100" s="8">
        <f t="shared" si="46"/>
        <v>1997</v>
      </c>
      <c r="AM100" s="10">
        <v>1932</v>
      </c>
      <c r="BA100" s="8">
        <f t="shared" si="47"/>
        <v>1990.8888888888889</v>
      </c>
      <c r="BB100" s="8">
        <f t="shared" si="48"/>
        <v>1994.1111111111111</v>
      </c>
      <c r="BC100" s="10">
        <v>1932</v>
      </c>
    </row>
    <row r="101" spans="1:55" ht="15.5" x14ac:dyDescent="0.35">
      <c r="A101" s="13">
        <v>43213</v>
      </c>
      <c r="B101" s="43">
        <v>40600</v>
      </c>
      <c r="C101" s="43">
        <v>42000</v>
      </c>
      <c r="D101" s="43">
        <v>33000</v>
      </c>
      <c r="E101" s="43">
        <v>41900</v>
      </c>
      <c r="F101" s="43">
        <v>31400</v>
      </c>
      <c r="G101" s="43">
        <v>41800</v>
      </c>
      <c r="I101" s="43">
        <v>34200</v>
      </c>
      <c r="J101" s="43">
        <v>40400</v>
      </c>
      <c r="K101" s="43">
        <v>34800</v>
      </c>
      <c r="L101" s="43">
        <v>41400</v>
      </c>
      <c r="M101" s="43">
        <v>35500</v>
      </c>
      <c r="N101" s="43">
        <v>41400</v>
      </c>
      <c r="P101" s="43">
        <v>27000</v>
      </c>
      <c r="Q101" s="43">
        <v>36500</v>
      </c>
      <c r="R101" s="43">
        <v>33100</v>
      </c>
      <c r="S101" s="43">
        <v>41800</v>
      </c>
      <c r="T101" s="43">
        <v>32900</v>
      </c>
      <c r="U101" s="43">
        <v>41800</v>
      </c>
      <c r="W101" s="74">
        <v>2050</v>
      </c>
      <c r="X101" s="10"/>
      <c r="Y101" s="5"/>
      <c r="Z101" s="10">
        <v>34200</v>
      </c>
      <c r="AE101" s="1"/>
      <c r="AF101" s="13">
        <v>43213</v>
      </c>
      <c r="AG101" s="14">
        <f t="shared" si="41"/>
        <v>31000</v>
      </c>
      <c r="AH101" s="14">
        <f t="shared" si="42"/>
        <v>40033.333333333336</v>
      </c>
      <c r="AI101" s="14">
        <f t="shared" si="43"/>
        <v>34833.333333333336</v>
      </c>
      <c r="AJ101" s="8">
        <f t="shared" si="44"/>
        <v>41066.666666666664</v>
      </c>
      <c r="AK101" s="8">
        <f t="shared" si="45"/>
        <v>35000</v>
      </c>
      <c r="AL101" s="8">
        <f t="shared" si="46"/>
        <v>41900</v>
      </c>
      <c r="AM101" s="74">
        <v>2050</v>
      </c>
      <c r="BA101" s="8">
        <f t="shared" si="47"/>
        <v>33611.111111111109</v>
      </c>
      <c r="BB101" s="8">
        <f t="shared" si="48"/>
        <v>41000</v>
      </c>
      <c r="BC101" s="74">
        <v>2050</v>
      </c>
    </row>
    <row r="102" spans="1:55" ht="15.5" x14ac:dyDescent="0.35">
      <c r="A102" s="2">
        <v>43222</v>
      </c>
      <c r="B102" s="43">
        <v>1926</v>
      </c>
      <c r="C102" s="43">
        <v>1921</v>
      </c>
      <c r="D102" s="43">
        <v>1913</v>
      </c>
      <c r="E102" s="43">
        <v>1916</v>
      </c>
      <c r="F102" s="43">
        <v>1901</v>
      </c>
      <c r="G102" s="43">
        <v>1906</v>
      </c>
      <c r="I102" s="43">
        <v>1915</v>
      </c>
      <c r="J102" s="43">
        <v>1907</v>
      </c>
      <c r="K102" s="43">
        <v>1878</v>
      </c>
      <c r="L102" s="43">
        <v>1888</v>
      </c>
      <c r="M102" s="43">
        <v>1895</v>
      </c>
      <c r="N102" s="43">
        <v>1893</v>
      </c>
      <c r="P102" s="43">
        <v>1950</v>
      </c>
      <c r="Q102" s="43">
        <v>1946</v>
      </c>
      <c r="R102" s="43">
        <v>1883</v>
      </c>
      <c r="S102" s="43">
        <v>1920</v>
      </c>
      <c r="T102" s="43">
        <v>1883</v>
      </c>
      <c r="U102" s="43">
        <v>1829</v>
      </c>
      <c r="W102" s="74">
        <v>1937</v>
      </c>
      <c r="X102" s="10"/>
      <c r="Y102" s="5"/>
      <c r="Z102" s="10">
        <v>1934</v>
      </c>
      <c r="AE102" s="1"/>
      <c r="AF102" s="2">
        <v>43222</v>
      </c>
      <c r="AG102" s="14">
        <f t="shared" si="41"/>
        <v>1905.3333333333333</v>
      </c>
      <c r="AH102" s="14">
        <f t="shared" si="42"/>
        <v>1898.3333333333333</v>
      </c>
      <c r="AI102" s="14">
        <f t="shared" si="43"/>
        <v>1896</v>
      </c>
      <c r="AJ102" s="8">
        <f t="shared" si="44"/>
        <v>1896</v>
      </c>
      <c r="AK102" s="8">
        <f t="shared" si="45"/>
        <v>1913.3333333333333</v>
      </c>
      <c r="AL102" s="8">
        <f t="shared" si="46"/>
        <v>1914.3333333333333</v>
      </c>
      <c r="AM102" s="74">
        <v>1937</v>
      </c>
      <c r="BA102" s="8">
        <f t="shared" si="47"/>
        <v>1904.8888888888889</v>
      </c>
      <c r="BB102" s="8">
        <f t="shared" si="48"/>
        <v>1902.8888888888889</v>
      </c>
      <c r="BC102" s="74">
        <v>1937</v>
      </c>
    </row>
    <row r="103" spans="1:55" ht="15.5" x14ac:dyDescent="0.35">
      <c r="A103" s="2">
        <v>43227</v>
      </c>
      <c r="B103" s="43">
        <v>18830</v>
      </c>
      <c r="C103" s="43">
        <v>29600</v>
      </c>
      <c r="D103" s="43">
        <v>8840</v>
      </c>
      <c r="E103" s="43">
        <v>28700</v>
      </c>
      <c r="F103" s="43">
        <v>9490</v>
      </c>
      <c r="G103" s="73">
        <v>28800</v>
      </c>
      <c r="I103" s="43">
        <v>15840</v>
      </c>
      <c r="J103" s="43">
        <v>28100</v>
      </c>
      <c r="K103" s="43">
        <v>11350</v>
      </c>
      <c r="L103" s="43">
        <v>27100</v>
      </c>
      <c r="M103" s="43">
        <v>11380</v>
      </c>
      <c r="N103" s="43">
        <v>28400</v>
      </c>
      <c r="P103" s="43">
        <v>14400</v>
      </c>
      <c r="Q103" s="43">
        <v>29300</v>
      </c>
      <c r="R103" s="43">
        <v>16780</v>
      </c>
      <c r="S103" s="43">
        <v>29000</v>
      </c>
      <c r="T103" s="43">
        <v>16460</v>
      </c>
      <c r="U103" s="43">
        <v>29900</v>
      </c>
      <c r="W103" s="74">
        <v>1792</v>
      </c>
      <c r="X103" s="10"/>
      <c r="Y103" s="5"/>
      <c r="Z103" s="5"/>
      <c r="AE103" s="1"/>
      <c r="AF103" s="2">
        <v>43227</v>
      </c>
      <c r="AG103" s="14">
        <f t="shared" si="41"/>
        <v>15880</v>
      </c>
      <c r="AH103" s="14">
        <f t="shared" si="42"/>
        <v>29400</v>
      </c>
      <c r="AI103" s="14">
        <f t="shared" si="43"/>
        <v>12856.666666666666</v>
      </c>
      <c r="AJ103" s="8">
        <f t="shared" si="44"/>
        <v>27866.666666666668</v>
      </c>
      <c r="AK103" s="8">
        <f t="shared" si="45"/>
        <v>12386.666666666666</v>
      </c>
      <c r="AL103" s="8">
        <f t="shared" si="46"/>
        <v>29033.333333333332</v>
      </c>
      <c r="AM103" s="74">
        <v>1792</v>
      </c>
      <c r="BA103" s="8">
        <f t="shared" si="47"/>
        <v>13707.777777777777</v>
      </c>
      <c r="BB103" s="8">
        <f t="shared" si="48"/>
        <v>28766.666666666668</v>
      </c>
      <c r="BC103" s="74">
        <v>1792</v>
      </c>
    </row>
    <row r="104" spans="1:55" ht="15.5" x14ac:dyDescent="0.35">
      <c r="A104" s="13">
        <v>43234</v>
      </c>
      <c r="B104" s="43">
        <v>31400</v>
      </c>
      <c r="C104" s="43">
        <v>39300</v>
      </c>
      <c r="D104" s="43">
        <v>31600</v>
      </c>
      <c r="E104" s="43">
        <v>39100</v>
      </c>
      <c r="F104" s="43">
        <v>32100</v>
      </c>
      <c r="G104" s="43">
        <v>35900</v>
      </c>
      <c r="I104" s="43">
        <v>27200</v>
      </c>
      <c r="J104" s="43">
        <v>39100</v>
      </c>
      <c r="K104" s="43">
        <v>27100</v>
      </c>
      <c r="L104" s="43">
        <v>38400</v>
      </c>
      <c r="M104" s="43">
        <v>27300</v>
      </c>
      <c r="N104" s="43">
        <v>39700</v>
      </c>
      <c r="P104" s="43">
        <v>19620</v>
      </c>
      <c r="Q104" s="43">
        <v>38900</v>
      </c>
      <c r="R104" s="43">
        <v>19320</v>
      </c>
      <c r="S104" s="43">
        <v>21900</v>
      </c>
      <c r="T104" s="43">
        <v>20500</v>
      </c>
      <c r="U104" s="43">
        <v>40000</v>
      </c>
      <c r="W104" s="55">
        <f>(W103+W105)/2</f>
        <v>1936</v>
      </c>
      <c r="X104" s="10"/>
      <c r="Y104" s="5"/>
      <c r="Z104" s="10">
        <v>25600</v>
      </c>
      <c r="AE104" s="1"/>
      <c r="AF104" s="13">
        <v>43234</v>
      </c>
      <c r="AG104" s="14">
        <f t="shared" si="41"/>
        <v>19813.333333333332</v>
      </c>
      <c r="AH104" s="14">
        <f t="shared" si="42"/>
        <v>33600</v>
      </c>
      <c r="AI104" s="14">
        <f t="shared" si="43"/>
        <v>27200</v>
      </c>
      <c r="AJ104" s="8">
        <f t="shared" si="44"/>
        <v>39066.666666666664</v>
      </c>
      <c r="AK104" s="8">
        <f t="shared" si="45"/>
        <v>31700</v>
      </c>
      <c r="AL104" s="8">
        <f t="shared" si="46"/>
        <v>38100</v>
      </c>
      <c r="AM104" s="10"/>
      <c r="BA104" s="8">
        <f t="shared" si="47"/>
        <v>26237.777777777777</v>
      </c>
      <c r="BB104" s="8">
        <f t="shared" si="48"/>
        <v>36922.222222222219</v>
      </c>
      <c r="BC104" s="10"/>
    </row>
    <row r="105" spans="1:55" ht="15.5" x14ac:dyDescent="0.35">
      <c r="A105" s="13">
        <v>43242</v>
      </c>
      <c r="B105" s="43">
        <v>28700</v>
      </c>
      <c r="C105" s="43">
        <v>33500</v>
      </c>
      <c r="D105" s="43">
        <v>28800</v>
      </c>
      <c r="E105" s="43">
        <v>34200</v>
      </c>
      <c r="F105" s="43">
        <v>28500</v>
      </c>
      <c r="G105" s="73">
        <v>33900</v>
      </c>
      <c r="I105" s="43">
        <v>27700</v>
      </c>
      <c r="J105" s="43">
        <v>33200</v>
      </c>
      <c r="K105" s="43">
        <v>28000</v>
      </c>
      <c r="L105" s="43">
        <v>34300</v>
      </c>
      <c r="M105" s="43">
        <v>27700</v>
      </c>
      <c r="N105" s="43">
        <v>33800</v>
      </c>
      <c r="P105" s="43">
        <v>25000</v>
      </c>
      <c r="Q105" s="43">
        <v>33800</v>
      </c>
      <c r="R105" s="43">
        <v>24400</v>
      </c>
      <c r="S105" s="43">
        <v>25300</v>
      </c>
      <c r="T105" s="43">
        <v>24800</v>
      </c>
      <c r="U105" s="43">
        <v>34000</v>
      </c>
      <c r="W105" s="74">
        <v>2080</v>
      </c>
      <c r="X105" s="10"/>
      <c r="Y105" s="5"/>
      <c r="Z105" s="5"/>
      <c r="AE105" s="1"/>
      <c r="AF105" s="13">
        <v>43242</v>
      </c>
      <c r="AG105" s="14">
        <f t="shared" si="41"/>
        <v>24733.333333333332</v>
      </c>
      <c r="AH105" s="14">
        <f t="shared" si="42"/>
        <v>31033.333333333332</v>
      </c>
      <c r="AI105" s="14">
        <f t="shared" si="43"/>
        <v>27800</v>
      </c>
      <c r="AJ105" s="8">
        <f t="shared" si="44"/>
        <v>33766.666666666664</v>
      </c>
      <c r="AK105" s="8">
        <f t="shared" si="45"/>
        <v>28666.666666666668</v>
      </c>
      <c r="AL105" s="8">
        <f t="shared" si="46"/>
        <v>33866.666666666664</v>
      </c>
      <c r="AM105" s="74">
        <v>2080</v>
      </c>
      <c r="BA105" s="8">
        <f t="shared" si="47"/>
        <v>27066.666666666668</v>
      </c>
      <c r="BB105" s="8">
        <f t="shared" si="48"/>
        <v>32888.888888888891</v>
      </c>
      <c r="BC105" s="74">
        <v>2080</v>
      </c>
    </row>
    <row r="106" spans="1:55" ht="15.5" x14ac:dyDescent="0.35">
      <c r="A106" s="13">
        <v>43248</v>
      </c>
      <c r="B106" s="43">
        <v>2630</v>
      </c>
      <c r="C106" s="43">
        <v>3340</v>
      </c>
      <c r="D106" s="43">
        <v>2630</v>
      </c>
      <c r="E106" s="43">
        <v>3100</v>
      </c>
      <c r="F106" s="43">
        <v>2560</v>
      </c>
      <c r="G106" s="73">
        <v>2850</v>
      </c>
      <c r="I106" s="43">
        <v>2620</v>
      </c>
      <c r="J106" s="43">
        <v>2910</v>
      </c>
      <c r="K106" s="43">
        <v>2660</v>
      </c>
      <c r="L106" s="43">
        <v>2920</v>
      </c>
      <c r="M106" s="43">
        <v>2630</v>
      </c>
      <c r="N106" s="43">
        <v>2750</v>
      </c>
      <c r="P106" s="43">
        <v>2220</v>
      </c>
      <c r="Q106" s="43">
        <v>2510</v>
      </c>
      <c r="R106" s="43">
        <v>2500</v>
      </c>
      <c r="S106" s="43">
        <v>2500</v>
      </c>
      <c r="T106" s="43">
        <v>2420</v>
      </c>
      <c r="U106" s="43">
        <v>2500</v>
      </c>
      <c r="W106" s="74">
        <v>2010</v>
      </c>
      <c r="X106" s="10"/>
      <c r="Y106" s="5"/>
      <c r="Z106" s="5"/>
      <c r="AE106" s="1"/>
      <c r="AF106" s="13">
        <v>43248</v>
      </c>
      <c r="AG106" s="14">
        <f t="shared" si="41"/>
        <v>2380</v>
      </c>
      <c r="AH106" s="14">
        <f t="shared" si="42"/>
        <v>2503.3333333333335</v>
      </c>
      <c r="AI106" s="14">
        <f t="shared" si="43"/>
        <v>2636.6666666666665</v>
      </c>
      <c r="AJ106" s="8">
        <f t="shared" si="44"/>
        <v>2860</v>
      </c>
      <c r="AK106" s="8">
        <f t="shared" si="45"/>
        <v>2606.6666666666665</v>
      </c>
      <c r="AL106" s="8">
        <f t="shared" si="46"/>
        <v>3096.6666666666665</v>
      </c>
      <c r="AM106" s="74">
        <v>2010</v>
      </c>
      <c r="BA106" s="8">
        <f t="shared" si="47"/>
        <v>2541.1111111111113</v>
      </c>
      <c r="BB106" s="8">
        <f t="shared" si="48"/>
        <v>2820</v>
      </c>
      <c r="BC106" s="74">
        <v>2010</v>
      </c>
    </row>
    <row r="107" spans="1:55" ht="15.5" x14ac:dyDescent="0.35">
      <c r="A107" s="13"/>
      <c r="B107" s="5"/>
      <c r="C107" s="5"/>
      <c r="G107" s="5"/>
      <c r="H107" s="9"/>
      <c r="I107" s="5"/>
      <c r="J107" s="5"/>
      <c r="K107" s="5"/>
      <c r="L107" s="10"/>
      <c r="M107" s="10"/>
      <c r="N107" s="10"/>
      <c r="P107" s="10"/>
      <c r="Q107" s="10"/>
      <c r="R107" s="10"/>
      <c r="S107" s="10"/>
      <c r="T107" s="10"/>
      <c r="U107" s="10"/>
      <c r="W107" s="10"/>
      <c r="X107" s="10"/>
      <c r="Y107" s="5"/>
      <c r="Z107" s="5"/>
      <c r="AE107" s="1"/>
      <c r="AF107" s="2"/>
      <c r="AG107" s="14"/>
      <c r="AH107" s="14"/>
      <c r="AI107" s="14"/>
      <c r="AJ107" s="8"/>
      <c r="AK107" s="8"/>
      <c r="AL107" s="8"/>
      <c r="BA107" s="8"/>
      <c r="BB107" s="8"/>
      <c r="BC107" s="74"/>
    </row>
    <row r="108" spans="1:55" ht="15.5" x14ac:dyDescent="0.35">
      <c r="A108" s="13"/>
      <c r="B108" s="5"/>
      <c r="C108" s="5"/>
      <c r="G108" s="5"/>
      <c r="H108" s="9"/>
      <c r="I108" s="5"/>
      <c r="J108" s="5"/>
      <c r="K108" s="5"/>
      <c r="L108" s="10"/>
      <c r="M108" s="10"/>
      <c r="N108" s="10"/>
      <c r="P108" s="10"/>
      <c r="Q108" s="10"/>
      <c r="R108" s="10"/>
      <c r="S108" s="10"/>
      <c r="T108" s="10"/>
      <c r="U108" s="10"/>
      <c r="W108" s="10"/>
      <c r="X108" s="10"/>
      <c r="Y108" s="5"/>
      <c r="AF108" s="2"/>
      <c r="AG108" s="14"/>
      <c r="AH108" s="14"/>
      <c r="AI108" s="14"/>
      <c r="AJ108" s="8"/>
      <c r="AK108" s="8"/>
      <c r="AL108" s="8"/>
      <c r="BA108" s="8"/>
      <c r="BB108" s="8"/>
    </row>
    <row r="109" spans="1:55" ht="15.5" x14ac:dyDescent="0.35">
      <c r="A109" s="34">
        <f>(-0.0267243*25^3)+(4.6636947*25^2)+(861.302764*25)+29035.1640851</f>
        <v>53064.975185100004</v>
      </c>
      <c r="B109" s="5" t="s">
        <v>590</v>
      </c>
      <c r="C109" s="5"/>
      <c r="G109" s="5"/>
      <c r="H109" s="9"/>
      <c r="I109" s="5"/>
      <c r="J109" s="5"/>
      <c r="K109" s="5"/>
      <c r="L109" s="10"/>
      <c r="M109" s="10"/>
      <c r="N109" s="10"/>
      <c r="P109" s="10"/>
      <c r="Q109" s="10"/>
      <c r="R109" s="10"/>
      <c r="S109" s="10"/>
      <c r="T109" s="10"/>
      <c r="U109" s="10"/>
      <c r="W109" s="10"/>
      <c r="X109" s="10"/>
      <c r="Y109" s="5"/>
      <c r="AF109" s="2"/>
      <c r="AG109" s="14"/>
      <c r="AH109" s="14"/>
      <c r="AI109" s="14"/>
      <c r="AJ109" s="8"/>
      <c r="AK109" s="8"/>
      <c r="AL109" s="8"/>
      <c r="BA109" s="8"/>
      <c r="BB109" s="8"/>
    </row>
    <row r="110" spans="1:55" x14ac:dyDescent="0.35">
      <c r="A110" s="13">
        <v>42433</v>
      </c>
      <c r="B110" s="56">
        <f t="shared" ref="B110:G110" si="49">0.008+(-0.1692*((B67/53065)^(1/2)))+25.3851*(B67/53065)+(14.0941*((B67/53065)^(3/2)))+(-7.0261*(B67/53065)^2)+(2.7081*((B67/53065)^(5/2)))+((10/1.162)*((0.0005+(-0.0056*((B67/53065)^(1/2)))+(-0.0066*(B67/53065))+(-0.0375*((B67/53065)^(3/2)))+(0.0636*((B67/53065)^2))+(-0.0144*((B67/53065)^(5/2))))))</f>
        <v>0.94399515854145555</v>
      </c>
      <c r="C110" s="56">
        <f t="shared" si="49"/>
        <v>0.95090677789853106</v>
      </c>
      <c r="D110" s="56">
        <f t="shared" si="49"/>
        <v>1.2616939462829275</v>
      </c>
      <c r="E110" s="56">
        <f t="shared" si="49"/>
        <v>7.2833210102258334</v>
      </c>
      <c r="F110" s="56">
        <f t="shared" si="49"/>
        <v>0.95516163353679406</v>
      </c>
      <c r="G110" s="56">
        <f t="shared" si="49"/>
        <v>0.95516163353679406</v>
      </c>
      <c r="H110" s="56"/>
      <c r="I110" s="56">
        <f t="shared" ref="I110:J120" si="50">0.008+(-0.1692*((I67/53065)^(1/2)))+25.3851*(I67/53065)+(14.0941*((I67/53065)^(3/2)))+(-7.0261*(I67/53065)^2)+(2.7081*((I67/53065)^(5/2)))+((10/1.162)*((0.0005+(-0.0056*((I67/53065)^(1/2)))+(-0.0066*(I67/53065))+(-0.0375*((I67/53065)^(3/2)))+(0.0636*((I67/53065)^2))+(-0.0144*((I67/53065)^(5/2))))))</f>
        <v>0.95356592448361932</v>
      </c>
      <c r="J110" s="56">
        <f t="shared" si="50"/>
        <v>4.8432421956900473</v>
      </c>
      <c r="K110" s="56"/>
      <c r="L110" s="56"/>
      <c r="M110" s="56">
        <f t="shared" ref="M110:N120" si="51">0.008+(-0.1692*((M67/53065)^(1/2)))+25.3851*(M67/53065)+(14.0941*((M67/53065)^(3/2)))+(-7.0261*(M67/53065)^2)+(2.7081*((M67/53065)^(5/2)))+((10/1.162)*((0.0005+(-0.0056*((M67/53065)^(1/2)))+(-0.0066*(M67/53065))+(-0.0375*((M67/53065)^(3/2)))+(0.0636*((M67/53065)^2))+(-0.0144*((M67/53065)^(5/2))))))</f>
        <v>0.94718474807775532</v>
      </c>
      <c r="N110" s="56">
        <f t="shared" si="51"/>
        <v>1.0544115012031643</v>
      </c>
      <c r="O110" s="56"/>
      <c r="P110" s="56">
        <f t="shared" ref="P110:Q120" si="52">0.008+(-0.1692*((P67/53065)^(1/2)))+25.3851*(P67/53065)+(14.0941*((P67/53065)^(3/2)))+(-7.0261*(P67/53065)^2)+(2.7081*((P67/53065)^(5/2)))+((10/1.162)*((0.0005+(-0.0056*((P67/53065)^(1/2)))+(-0.0066*(P67/53065))+(-0.0375*((P67/53065)^(3/2)))+(0.0636*((P67/53065)^2))+(-0.0144*((P67/53065)^(5/2))))))</f>
        <v>0.94240061413971155</v>
      </c>
      <c r="Q110" s="56">
        <f t="shared" si="52"/>
        <v>0.94984324841173706</v>
      </c>
      <c r="R110" s="56"/>
      <c r="S110" s="56"/>
      <c r="T110" s="56">
        <f t="shared" ref="T110:U120" si="53">0.008+(-0.1692*((T67/53065)^(1/2)))+25.3851*(T67/53065)+(14.0941*((T67/53065)^(3/2)))+(-7.0261*(T67/53065)^2)+(2.7081*((T67/53065)^(5/2)))+((10/1.162)*((0.0005+(-0.0056*((T67/53065)^(1/2)))+(-0.0066*(T67/53065))+(-0.0375*((T67/53065)^(3/2)))+(0.0636*((T67/53065)^2))+(-0.0144*((T67/53065)^(5/2))))))</f>
        <v>0.94346362517785587</v>
      </c>
      <c r="U110" s="56">
        <f t="shared" si="53"/>
        <v>0.94877979281157021</v>
      </c>
      <c r="V110" s="56"/>
      <c r="W110" s="56"/>
      <c r="X110" s="10"/>
      <c r="Y110" s="5"/>
      <c r="AF110" s="13">
        <v>42433</v>
      </c>
      <c r="AG110" s="50">
        <f t="shared" ref="AG110:AG120" si="54">AVERAGE(B110,D110,F110)</f>
        <v>1.0536169127870589</v>
      </c>
      <c r="AH110" s="50">
        <f t="shared" ref="AH110:AH120" si="55">AVERAGE(C110,E110,G110)</f>
        <v>3.0631298072203861</v>
      </c>
      <c r="AI110" s="50">
        <f t="shared" ref="AI110:AI120" si="56">AVERAGE(I110,K110,M110)</f>
        <v>0.95037533628068727</v>
      </c>
      <c r="AJ110" s="42">
        <f t="shared" ref="AJ110:AJ120" si="57">AVERAGE(J110,L110,N110)</f>
        <v>2.9488268484466058</v>
      </c>
      <c r="AK110" s="42">
        <f t="shared" ref="AK110:AK120" si="58">AVERAGE(P110,R110,T110)</f>
        <v>0.94293211965878365</v>
      </c>
      <c r="AL110" s="42">
        <f t="shared" ref="AL110:AL120" si="59">AVERAGE(Q110,S110,U110)</f>
        <v>0.94931152061165358</v>
      </c>
      <c r="AM110" s="56"/>
      <c r="BA110" s="7">
        <f t="shared" ref="BA110:BA134" si="60">AVERAGE(P110,R110,T110,I110,K110,M110,B110,D110,F110)</f>
        <v>0.99249509289144555</v>
      </c>
      <c r="BB110" s="7">
        <f t="shared" ref="BB110:BB134" si="61">AVERAGE(Q110,S110,U110,J110,L110,N110,C110,E110,G110)</f>
        <v>2.4265237371110966</v>
      </c>
      <c r="BC110" s="56"/>
    </row>
    <row r="111" spans="1:55" x14ac:dyDescent="0.35">
      <c r="A111" s="13">
        <v>42440</v>
      </c>
      <c r="B111" s="56">
        <f t="shared" ref="B111:C120" si="62">0.008+(-0.1692*((B68/53065)^(1/2)))+25.3851*(B68/53065)+(14.0941*((B68/53065)^(3/2)))+(-7.0261*(B68/53065)^2)+(2.7081*((B68/53065)^(5/2)))+((10/1.162)*((0.0005+(-0.0056*((B68/53065)^(1/2)))+(-0.0066*(B68/53065))+(-0.0375*((B68/53065)^(3/2)))+(0.0636*((B68/53065)^2))+(-0.0144*((B68/53065)^(5/2))))))</f>
        <v>0.66717913456986078</v>
      </c>
      <c r="C111" s="56">
        <f t="shared" si="62"/>
        <v>0.67030272976731697</v>
      </c>
      <c r="D111" s="56"/>
      <c r="E111" s="56">
        <f>0.008+(-0.1692*((E68/53065)^(1/2)))+25.3851*(E68/53065)+(14.0941*((E68/53065)^(3/2)))+(-7.0261*(E68/53065)^2)+(2.7081*((E68/53065)^(5/2)))+((10/1.162)*((0.0005+(-0.0056*((E68/53065)^(1/2)))+(-0.0066*(E68/53065))+(-0.0375*((E68/53065)^(3/2)))+(0.0636*((E68/53065)^2))+(-0.0144*((E68/53065)^(5/2))))))</f>
        <v>0.67030272976731697</v>
      </c>
      <c r="F111" s="56">
        <f>0.008+(-0.1692*((F68/53065)^(1/2)))+25.3851*(F68/53065)+(14.0941*((F68/53065)^(3/2)))+(-7.0261*(F68/53065)^2)+(2.7081*((F68/53065)^(5/2)))+((10/1.162)*((0.0005+(-0.0056*((F68/53065)^(1/2)))+(-0.0066*(F68/53065))+(-0.0375*((F68/53065)^(3/2)))+(0.0636*((F68/53065)^2))+(-0.0144*((F68/53065)^(5/2))))))</f>
        <v>0.65937391404006118</v>
      </c>
      <c r="G111" s="56">
        <f>0.008+(-0.1692*((G68/53065)^(1/2)))+25.3851*(G68/53065)+(14.0941*((G68/53065)^(3/2)))+(-7.0261*(G68/53065)^2)+(2.7081*((G68/53065)^(5/2)))+((10/1.162)*((0.0005+(-0.0056*((G68/53065)^(1/2)))+(-0.0066*(G68/53065))+(-0.0375*((G68/53065)^(3/2)))+(0.0636*((G68/53065)^2))+(-0.0144*((G68/53065)^(5/2))))))</f>
        <v>0.66561765914538773</v>
      </c>
      <c r="H111" s="56"/>
      <c r="I111" s="56">
        <f t="shared" si="50"/>
        <v>0.67498972786053779</v>
      </c>
      <c r="J111" s="56">
        <f t="shared" si="50"/>
        <v>0.67707345421201603</v>
      </c>
      <c r="K111" s="56"/>
      <c r="L111" s="56"/>
      <c r="M111" s="56">
        <f t="shared" si="51"/>
        <v>0.66457679510700107</v>
      </c>
      <c r="N111" s="56">
        <f t="shared" si="51"/>
        <v>0.66769967415364473</v>
      </c>
      <c r="O111" s="56"/>
      <c r="P111" s="56">
        <f t="shared" si="52"/>
        <v>0.66926143603808796</v>
      </c>
      <c r="Q111" s="56">
        <f t="shared" si="52"/>
        <v>0.67394800666859467</v>
      </c>
      <c r="R111" s="56"/>
      <c r="S111" s="56"/>
      <c r="T111" s="56">
        <f t="shared" si="53"/>
        <v>0.71778061579927277</v>
      </c>
      <c r="U111" s="56">
        <f t="shared" si="53"/>
        <v>0.67186484879548836</v>
      </c>
      <c r="V111" s="56"/>
      <c r="W111" s="56">
        <f t="shared" ref="W111:W117" si="63">0.008+(-0.1692*((W68/53065)^(1/2)))+25.3851*(W68/53065)+(14.0941*((W68/53065)^(3/2)))+(-7.0261*(W68/53065)^2)+(2.7081*((W68/53065)^(5/2)))+((10/1.162)*((0.0005+(-0.0056*((W68/53065)^(1/2)))+(-0.0066*(W68/53065))+(-0.0375*((W68/53065)^(3/2)))+(0.0636*((W68/53065)^2))+(-0.0144*((W68/53065)^(5/2))))))</f>
        <v>0.66249535451895769</v>
      </c>
      <c r="X111" s="10"/>
      <c r="Y111" s="5"/>
      <c r="AF111" s="13">
        <v>42440</v>
      </c>
      <c r="AG111" s="50">
        <f t="shared" si="54"/>
        <v>0.66327652430496098</v>
      </c>
      <c r="AH111" s="50">
        <f t="shared" si="55"/>
        <v>0.66874103956000719</v>
      </c>
      <c r="AI111" s="50">
        <f t="shared" si="56"/>
        <v>0.66978326148376943</v>
      </c>
      <c r="AJ111" s="42">
        <f t="shared" si="57"/>
        <v>0.67238656418283038</v>
      </c>
      <c r="AK111" s="42">
        <f t="shared" si="58"/>
        <v>0.69352102591868037</v>
      </c>
      <c r="AL111" s="42">
        <f t="shared" si="59"/>
        <v>0.67290642773204157</v>
      </c>
      <c r="AM111" s="56">
        <f t="shared" ref="AM111:AM120" si="64">0.008+(-0.1692*((AM68/53065)^(1/2)))+25.3851*(AM68/53065)+(14.0941*((AM68/53065)^(3/2)))+(-7.0261*(AM68/53065)^2)+(2.7081*((AM68/53065)^(5/2)))+((10/1.162)*((0.0005+(-0.0056*((AM68/53065)^(1/2)))+(-0.0066*(AM68/53065))+(-0.0375*((AM68/53065)^(3/2)))+(0.0636*((AM68/53065)^2))+(-0.0144*((AM68/53065)^(5/2))))))</f>
        <v>0.66249535451895769</v>
      </c>
      <c r="BA111" s="7">
        <f t="shared" si="60"/>
        <v>0.67552693723580359</v>
      </c>
      <c r="BB111" s="7">
        <f t="shared" si="61"/>
        <v>0.67097272892996662</v>
      </c>
      <c r="BC111" s="56">
        <f t="shared" ref="BC111:BC120" si="65">0.008+(-0.1692*((BC68/53065)^(1/2)))+25.3851*(BC68/53065)+(14.0941*((BC68/53065)^(3/2)))+(-7.0261*(BC68/53065)^2)+(2.7081*((BC68/53065)^(5/2)))+((10/1.162)*((0.0005+(-0.0056*((BC68/53065)^(1/2)))+(-0.0066*(BC68/53065))+(-0.0375*((BC68/53065)^(3/2)))+(0.0636*((BC68/53065)^2))+(-0.0144*((BC68/53065)^(5/2))))))</f>
        <v>0.66249535451895769</v>
      </c>
    </row>
    <row r="112" spans="1:55" x14ac:dyDescent="0.35">
      <c r="A112" s="13">
        <v>42447</v>
      </c>
      <c r="B112" s="56">
        <f t="shared" si="62"/>
        <v>1.0068443758840806</v>
      </c>
      <c r="C112" s="56">
        <f t="shared" si="62"/>
        <v>9.4278978882661058</v>
      </c>
      <c r="D112" s="56"/>
      <c r="E112" s="56"/>
      <c r="F112" s="56">
        <f t="shared" ref="F112:G120" si="66">0.008+(-0.1692*((F69/53065)^(1/2)))+25.3851*(F69/53065)+(14.0941*((F69/53065)^(3/2)))+(-7.0261*(F69/53065)^2)+(2.7081*((F69/53065)^(5/2)))+((10/1.162)*((0.0005+(-0.0056*((F69/53065)^(1/2)))+(-0.0066*(F69/53065))+(-0.0375*((F69/53065)^(3/2)))+(0.0636*((F69/53065)^2))+(-0.0144*((F69/53065)^(5/2))))))</f>
        <v>1.0726193231325021</v>
      </c>
      <c r="G112" s="56">
        <f t="shared" si="66"/>
        <v>5.085890130951876</v>
      </c>
      <c r="H112" s="56"/>
      <c r="I112" s="56">
        <f t="shared" si="50"/>
        <v>1.031412392599329</v>
      </c>
      <c r="J112" s="56">
        <f t="shared" si="50"/>
        <v>8.8340439804447044</v>
      </c>
      <c r="K112" s="56"/>
      <c r="L112" s="56"/>
      <c r="M112" s="56">
        <f t="shared" si="51"/>
        <v>1.0346196479862102</v>
      </c>
      <c r="N112" s="56">
        <f t="shared" si="51"/>
        <v>6.2331552729910431</v>
      </c>
      <c r="O112" s="56"/>
      <c r="P112" s="56">
        <f t="shared" si="52"/>
        <v>0.9983077368063239</v>
      </c>
      <c r="Q112" s="56">
        <f t="shared" si="52"/>
        <v>3.8531454790182362</v>
      </c>
      <c r="R112" s="56"/>
      <c r="S112" s="56"/>
      <c r="T112" s="56">
        <f t="shared" si="53"/>
        <v>0.89464294715062265</v>
      </c>
      <c r="U112" s="56">
        <f t="shared" si="53"/>
        <v>4.7990144526687217</v>
      </c>
      <c r="V112" s="56"/>
      <c r="W112" s="56">
        <f t="shared" si="63"/>
        <v>0.8175043703654683</v>
      </c>
      <c r="X112" s="10"/>
      <c r="Y112" s="5"/>
      <c r="AF112" s="13">
        <v>42447</v>
      </c>
      <c r="AG112" s="50">
        <f t="shared" si="54"/>
        <v>1.0397318495082915</v>
      </c>
      <c r="AH112" s="50">
        <f t="shared" si="55"/>
        <v>7.2568940096089909</v>
      </c>
      <c r="AI112" s="50">
        <f t="shared" si="56"/>
        <v>1.0330160202927696</v>
      </c>
      <c r="AJ112" s="42">
        <f t="shared" si="57"/>
        <v>7.5335996267178738</v>
      </c>
      <c r="AK112" s="42">
        <f t="shared" si="58"/>
        <v>0.94647534197847327</v>
      </c>
      <c r="AL112" s="42">
        <f t="shared" si="59"/>
        <v>4.326079965843479</v>
      </c>
      <c r="AM112" s="56">
        <f t="shared" si="64"/>
        <v>0.8175043703654683</v>
      </c>
      <c r="BA112" s="7">
        <f t="shared" si="60"/>
        <v>1.0064077372598448</v>
      </c>
      <c r="BB112" s="7">
        <f t="shared" si="61"/>
        <v>6.3721912007234485</v>
      </c>
      <c r="BC112" s="56">
        <f t="shared" si="65"/>
        <v>0.8175043703654683</v>
      </c>
    </row>
    <row r="113" spans="1:55" x14ac:dyDescent="0.35">
      <c r="A113" s="13">
        <v>42454</v>
      </c>
      <c r="B113" s="56">
        <f t="shared" si="62"/>
        <v>0.91107547407595113</v>
      </c>
      <c r="C113" s="56">
        <f t="shared" si="62"/>
        <v>2.3138248666687722</v>
      </c>
      <c r="D113" s="56"/>
      <c r="E113" s="56"/>
      <c r="F113" s="56">
        <f t="shared" si="66"/>
        <v>0.89570255368344043</v>
      </c>
      <c r="G113" s="56">
        <f t="shared" si="66"/>
        <v>3.4732266511811116</v>
      </c>
      <c r="H113" s="56"/>
      <c r="I113" s="56">
        <f t="shared" si="50"/>
        <v>0.91850262375346625</v>
      </c>
      <c r="J113" s="56">
        <f t="shared" si="50"/>
        <v>5.4719170306646534</v>
      </c>
      <c r="K113" s="56"/>
      <c r="L113" s="56"/>
      <c r="M113" s="56">
        <f t="shared" si="51"/>
        <v>0.91744137484075072</v>
      </c>
      <c r="N113" s="56">
        <f t="shared" si="51"/>
        <v>1.2860734903441029</v>
      </c>
      <c r="O113" s="56"/>
      <c r="P113" s="56">
        <f t="shared" si="52"/>
        <v>0.90524247190883589</v>
      </c>
      <c r="Q113" s="56">
        <f t="shared" si="52"/>
        <v>1.0603001086300434</v>
      </c>
      <c r="R113" s="56"/>
      <c r="S113" s="56"/>
      <c r="T113" s="56">
        <f t="shared" si="53"/>
        <v>0.90153176512886746</v>
      </c>
      <c r="U113" s="56">
        <f t="shared" si="53"/>
        <v>0.90312195315704591</v>
      </c>
      <c r="V113" s="56"/>
      <c r="W113" s="56">
        <f t="shared" si="63"/>
        <v>0.87505420543716406</v>
      </c>
      <c r="X113" s="10"/>
      <c r="Y113" s="5"/>
      <c r="AF113" s="13">
        <v>42454</v>
      </c>
      <c r="AG113" s="50">
        <f t="shared" si="54"/>
        <v>0.90338901387969583</v>
      </c>
      <c r="AH113" s="50">
        <f t="shared" si="55"/>
        <v>2.8935257589249419</v>
      </c>
      <c r="AI113" s="50">
        <f t="shared" si="56"/>
        <v>0.91797199929710849</v>
      </c>
      <c r="AJ113" s="42">
        <f t="shared" si="57"/>
        <v>3.3789952605043783</v>
      </c>
      <c r="AK113" s="42">
        <f t="shared" si="58"/>
        <v>0.90338711851885167</v>
      </c>
      <c r="AL113" s="42">
        <f t="shared" si="59"/>
        <v>0.98171103089354461</v>
      </c>
      <c r="AM113" s="56">
        <f t="shared" si="64"/>
        <v>0.87505420543716406</v>
      </c>
      <c r="BA113" s="7">
        <f t="shared" si="60"/>
        <v>0.90824937723188526</v>
      </c>
      <c r="BB113" s="7">
        <f t="shared" si="61"/>
        <v>2.4180773501076218</v>
      </c>
      <c r="BC113" s="56">
        <f t="shared" si="65"/>
        <v>0.87505420543716406</v>
      </c>
    </row>
    <row r="114" spans="1:55" x14ac:dyDescent="0.35">
      <c r="A114" s="13">
        <v>42461</v>
      </c>
      <c r="B114" s="56">
        <f t="shared" si="62"/>
        <v>0.99404112724839222</v>
      </c>
      <c r="C114" s="56">
        <f t="shared" si="62"/>
        <v>4.5379338562590119</v>
      </c>
      <c r="D114" s="56">
        <f t="shared" ref="D114:E120" si="67">0.008+(-0.1692*((D71/53065)^(1/2)))+25.3851*(D71/53065)+(14.0941*((D71/53065)^(3/2)))+(-7.0261*(D71/53065)^2)+(2.7081*((D71/53065)^(5/2)))+((10/1.162)*((0.0005+(-0.0056*((D71/53065)^(1/2)))+(-0.0066*(D71/53065))+(-0.0375*((D71/53065)^(3/2)))+(0.0636*((D71/53065)^2))+(-0.0144*((D71/53065)^(5/2))))))</f>
        <v>0.93921202707535067</v>
      </c>
      <c r="E114" s="56">
        <f t="shared" si="67"/>
        <v>7.8782132709887494</v>
      </c>
      <c r="F114" s="56">
        <f t="shared" si="66"/>
        <v>1.0025754874991502</v>
      </c>
      <c r="G114" s="56">
        <f t="shared" si="66"/>
        <v>1.6689829575529995</v>
      </c>
      <c r="H114" s="56"/>
      <c r="I114" s="56">
        <f t="shared" si="50"/>
        <v>1.0143176578648463</v>
      </c>
      <c r="J114" s="56">
        <f t="shared" si="50"/>
        <v>5.0726839032951458</v>
      </c>
      <c r="K114" s="56">
        <f t="shared" ref="K114:L120" si="68">0.008+(-0.1692*((K71/53065)^(1/2)))+25.3851*(K71/53065)+(14.0941*((K71/53065)^(3/2)))+(-7.0261*(K71/53065)^2)+(2.7081*((K71/53065)^(5/2)))+((10/1.162)*((0.0005+(-0.0056*((K71/53065)^(1/2)))+(-0.0066*(K71/53065))+(-0.0375*((K71/53065)^(3/2)))+(0.0636*((K71/53065)^2))+(-0.0144*((K71/53065)^(5/2))))))</f>
        <v>1.0175215518849843</v>
      </c>
      <c r="L114" s="56">
        <f t="shared" si="68"/>
        <v>6.8133585317067293</v>
      </c>
      <c r="M114" s="56">
        <f t="shared" si="51"/>
        <v>1.0201919473875845</v>
      </c>
      <c r="N114" s="56">
        <f t="shared" si="51"/>
        <v>6.5294354908699717</v>
      </c>
      <c r="O114" s="56"/>
      <c r="P114" s="56">
        <f t="shared" si="52"/>
        <v>0.99990800977486272</v>
      </c>
      <c r="Q114" s="56">
        <f t="shared" si="52"/>
        <v>5.1501614084126626</v>
      </c>
      <c r="R114" s="56">
        <f t="shared" ref="R114:S120" si="69">0.008+(-0.1692*((R71/53065)^(1/2)))+25.3851*(R71/53065)+(14.0941*((R71/53065)^(3/2)))+(-7.0261*(R71/53065)^2)+(2.7081*((R71/53065)^(5/2)))+((10/1.162)*((0.0005+(-0.0056*((R71/53065)^(1/2)))+(-0.0066*(R71/53065))+(-0.0375*((R71/53065)^(3/2)))+(0.0636*((R71/53065)^2))+(-0.0144*((R71/53065)^(5/2))))))</f>
        <v>1.0041761875043058</v>
      </c>
      <c r="S114" s="56">
        <f t="shared" si="69"/>
        <v>5.2602396780460632</v>
      </c>
      <c r="T114" s="56">
        <f t="shared" si="53"/>
        <v>1.0068443758840806</v>
      </c>
      <c r="U114" s="56">
        <f t="shared" si="53"/>
        <v>4.8910938059219449</v>
      </c>
      <c r="V114" s="56"/>
      <c r="W114" s="56">
        <f t="shared" si="63"/>
        <v>0.9764535002713125</v>
      </c>
      <c r="X114" s="10"/>
      <c r="Y114" s="5"/>
      <c r="AF114" s="13">
        <v>42461</v>
      </c>
      <c r="AG114" s="50">
        <f t="shared" si="54"/>
        <v>0.97860954727429761</v>
      </c>
      <c r="AH114" s="50">
        <f t="shared" si="55"/>
        <v>4.6950433616002538</v>
      </c>
      <c r="AI114" s="50">
        <f t="shared" si="56"/>
        <v>1.017343719045805</v>
      </c>
      <c r="AJ114" s="42">
        <f t="shared" si="57"/>
        <v>6.1384926419572823</v>
      </c>
      <c r="AK114" s="42">
        <f t="shared" si="58"/>
        <v>1.003642857721083</v>
      </c>
      <c r="AL114" s="42">
        <f t="shared" si="59"/>
        <v>5.1004982974602235</v>
      </c>
      <c r="AM114" s="56">
        <f t="shared" si="64"/>
        <v>0.9764535002713125</v>
      </c>
      <c r="BA114" s="7">
        <f t="shared" si="60"/>
        <v>0.99986537468039516</v>
      </c>
      <c r="BB114" s="7">
        <f t="shared" si="61"/>
        <v>5.3113447670059193</v>
      </c>
      <c r="BC114" s="56">
        <f t="shared" si="65"/>
        <v>0.9764535002713125</v>
      </c>
    </row>
    <row r="115" spans="1:55" x14ac:dyDescent="0.35">
      <c r="A115" s="13">
        <v>42468</v>
      </c>
      <c r="B115" s="56">
        <f t="shared" si="62"/>
        <v>1.0597646951237396</v>
      </c>
      <c r="C115" s="56">
        <f t="shared" si="62"/>
        <v>4.8330787848018568</v>
      </c>
      <c r="D115" s="56">
        <f t="shared" si="67"/>
        <v>1.0597646951237396</v>
      </c>
      <c r="E115" s="56">
        <f t="shared" si="67"/>
        <v>3.2850430805938431</v>
      </c>
      <c r="F115" s="56">
        <f t="shared" si="66"/>
        <v>1.0694047476544783</v>
      </c>
      <c r="G115" s="56">
        <f t="shared" si="66"/>
        <v>12.815607793319607</v>
      </c>
      <c r="H115" s="56"/>
      <c r="I115" s="56">
        <f t="shared" si="50"/>
        <v>1.0720835181457589</v>
      </c>
      <c r="J115" s="56">
        <f t="shared" si="50"/>
        <v>11.247911119483781</v>
      </c>
      <c r="K115" s="56">
        <f t="shared" si="68"/>
        <v>1.0736909839467645</v>
      </c>
      <c r="L115" s="56">
        <f t="shared" si="68"/>
        <v>11.185329437138741</v>
      </c>
      <c r="M115" s="56">
        <f t="shared" si="51"/>
        <v>1.062441933467636</v>
      </c>
      <c r="N115" s="56">
        <f t="shared" si="51"/>
        <v>4.167528333608093</v>
      </c>
      <c r="O115" s="56"/>
      <c r="P115" s="56">
        <f t="shared" si="52"/>
        <v>1.075834508771834</v>
      </c>
      <c r="Q115" s="56">
        <f t="shared" si="52"/>
        <v>3.118466231912405</v>
      </c>
      <c r="R115" s="56">
        <f t="shared" si="69"/>
        <v>1.0640484812790179</v>
      </c>
      <c r="S115" s="56">
        <f t="shared" si="69"/>
        <v>8.834674457774927</v>
      </c>
      <c r="T115" s="56">
        <f t="shared" si="53"/>
        <v>1.0962114382278838</v>
      </c>
      <c r="U115" s="56">
        <f t="shared" si="53"/>
        <v>9.2232110332337349</v>
      </c>
      <c r="V115" s="56"/>
      <c r="W115" s="56">
        <f t="shared" si="63"/>
        <v>1.0196578331437121</v>
      </c>
      <c r="X115" s="10"/>
      <c r="Y115" s="5"/>
      <c r="AF115" s="13">
        <v>42468</v>
      </c>
      <c r="AG115" s="50">
        <f t="shared" si="54"/>
        <v>1.0629780459673193</v>
      </c>
      <c r="AH115" s="50">
        <f t="shared" si="55"/>
        <v>6.9779098862384359</v>
      </c>
      <c r="AI115" s="50">
        <f t="shared" si="56"/>
        <v>1.0694054785200533</v>
      </c>
      <c r="AJ115" s="42">
        <f t="shared" si="57"/>
        <v>8.8669229634102056</v>
      </c>
      <c r="AK115" s="42">
        <f t="shared" si="58"/>
        <v>1.0786981427595785</v>
      </c>
      <c r="AL115" s="42">
        <f t="shared" si="59"/>
        <v>7.0587839076403567</v>
      </c>
      <c r="AM115" s="56">
        <f t="shared" si="64"/>
        <v>1.0196578331437121</v>
      </c>
      <c r="BA115" s="7">
        <f t="shared" si="60"/>
        <v>1.0703605557489837</v>
      </c>
      <c r="BB115" s="7">
        <f t="shared" si="61"/>
        <v>7.6345389190963324</v>
      </c>
      <c r="BC115" s="56">
        <f t="shared" si="65"/>
        <v>1.0196578331437121</v>
      </c>
    </row>
    <row r="116" spans="1:55" x14ac:dyDescent="0.35">
      <c r="A116" s="13">
        <v>42475</v>
      </c>
      <c r="B116" s="56">
        <f t="shared" si="62"/>
        <v>1.134348472245315</v>
      </c>
      <c r="C116" s="56">
        <f t="shared" si="62"/>
        <v>6.8620145601382276</v>
      </c>
      <c r="D116" s="56">
        <f t="shared" si="67"/>
        <v>1.1327353722548208</v>
      </c>
      <c r="E116" s="56">
        <f t="shared" si="67"/>
        <v>17.659699168753058</v>
      </c>
      <c r="F116" s="56">
        <f t="shared" si="66"/>
        <v>1.1262844418770461</v>
      </c>
      <c r="G116" s="56">
        <f t="shared" si="66"/>
        <v>7.4823878465500604</v>
      </c>
      <c r="H116" s="56"/>
      <c r="I116" s="56">
        <f t="shared" si="50"/>
        <v>1.1801133760735321</v>
      </c>
      <c r="J116" s="56">
        <f t="shared" si="50"/>
        <v>9.3904774514142293</v>
      </c>
      <c r="K116" s="56">
        <f t="shared" si="68"/>
        <v>1.181730718952589</v>
      </c>
      <c r="L116" s="56">
        <f t="shared" si="68"/>
        <v>16.798907787017747</v>
      </c>
      <c r="M116" s="56">
        <f t="shared" si="51"/>
        <v>1.1768791184503902</v>
      </c>
      <c r="N116" s="56">
        <f t="shared" si="51"/>
        <v>1.1801133760735321</v>
      </c>
      <c r="O116" s="56"/>
      <c r="P116" s="56">
        <f t="shared" si="52"/>
        <v>1.2443759997415431</v>
      </c>
      <c r="Q116" s="56">
        <f t="shared" si="52"/>
        <v>6.1501218164035318</v>
      </c>
      <c r="R116" s="56">
        <f t="shared" si="69"/>
        <v>1.1914377646061265</v>
      </c>
      <c r="S116" s="56">
        <f t="shared" si="69"/>
        <v>12.176424390293722</v>
      </c>
      <c r="T116" s="56">
        <f t="shared" si="53"/>
        <v>1.3675548450747428</v>
      </c>
      <c r="U116" s="56">
        <f t="shared" si="53"/>
        <v>1.9307002227358563</v>
      </c>
      <c r="V116" s="56"/>
      <c r="W116" s="56">
        <f t="shared" si="63"/>
        <v>0.97379042280449146</v>
      </c>
      <c r="X116" s="10"/>
      <c r="Y116" s="5"/>
      <c r="AF116" s="13">
        <v>42475</v>
      </c>
      <c r="AG116" s="50">
        <f t="shared" si="54"/>
        <v>1.1311227621257274</v>
      </c>
      <c r="AH116" s="50">
        <f t="shared" si="55"/>
        <v>10.668033858480449</v>
      </c>
      <c r="AI116" s="50">
        <f t="shared" si="56"/>
        <v>1.1795744044921703</v>
      </c>
      <c r="AJ116" s="42">
        <f t="shared" si="57"/>
        <v>9.1231662048351687</v>
      </c>
      <c r="AK116" s="42">
        <f t="shared" si="58"/>
        <v>1.2677895364741374</v>
      </c>
      <c r="AL116" s="42">
        <f t="shared" si="59"/>
        <v>6.7524154764777036</v>
      </c>
      <c r="AM116" s="56">
        <f t="shared" si="64"/>
        <v>0.97379042280449146</v>
      </c>
      <c r="BA116" s="7">
        <f t="shared" si="60"/>
        <v>1.1928289010306787</v>
      </c>
      <c r="BB116" s="7">
        <f t="shared" si="61"/>
        <v>8.8478718465977746</v>
      </c>
      <c r="BC116" s="56">
        <f t="shared" si="65"/>
        <v>0.97379042280449146</v>
      </c>
    </row>
    <row r="117" spans="1:55" x14ac:dyDescent="0.35">
      <c r="A117" s="13">
        <v>42482</v>
      </c>
      <c r="B117" s="56">
        <f t="shared" si="62"/>
        <v>3.5722874823811939</v>
      </c>
      <c r="C117" s="56">
        <f t="shared" si="62"/>
        <v>14.991785477376359</v>
      </c>
      <c r="D117" s="56">
        <f t="shared" si="67"/>
        <v>3.3140302551586807</v>
      </c>
      <c r="E117" s="56">
        <f t="shared" si="67"/>
        <v>16.529193420418522</v>
      </c>
      <c r="F117" s="56">
        <f t="shared" si="66"/>
        <v>3.3198300568282169</v>
      </c>
      <c r="G117" s="56">
        <f t="shared" si="66"/>
        <v>10.548615083900879</v>
      </c>
      <c r="H117" s="56"/>
      <c r="I117" s="56">
        <f t="shared" si="50"/>
        <v>2.4700021815789381</v>
      </c>
      <c r="J117" s="56">
        <f t="shared" si="50"/>
        <v>14.613351540041629</v>
      </c>
      <c r="K117" s="56">
        <f t="shared" si="68"/>
        <v>2.7090540721089122</v>
      </c>
      <c r="L117" s="56">
        <f t="shared" si="68"/>
        <v>15.838666734700421</v>
      </c>
      <c r="M117" s="56">
        <f t="shared" si="51"/>
        <v>2.5438187382464372</v>
      </c>
      <c r="N117" s="56">
        <f t="shared" si="51"/>
        <v>11.296322768651345</v>
      </c>
      <c r="O117" s="56"/>
      <c r="P117" s="56">
        <f t="shared" si="52"/>
        <v>1.3512323791792962</v>
      </c>
      <c r="Q117" s="56">
        <f t="shared" si="52"/>
        <v>14.110404068232933</v>
      </c>
      <c r="R117" s="56">
        <f t="shared" si="69"/>
        <v>1.3675548450747428</v>
      </c>
      <c r="S117" s="56">
        <f t="shared" si="69"/>
        <v>14.441079535781418</v>
      </c>
      <c r="T117" s="56">
        <f t="shared" si="53"/>
        <v>1.318626517475654</v>
      </c>
      <c r="U117" s="56">
        <f t="shared" si="53"/>
        <v>13.451520335263028</v>
      </c>
      <c r="V117" s="56"/>
      <c r="W117" s="56">
        <f t="shared" si="63"/>
        <v>1.0185896573579709</v>
      </c>
      <c r="X117" s="10"/>
      <c r="Y117" s="5"/>
      <c r="AF117" s="13">
        <v>42482</v>
      </c>
      <c r="AG117" s="50">
        <f t="shared" si="54"/>
        <v>3.4020492647893636</v>
      </c>
      <c r="AH117" s="50">
        <f t="shared" si="55"/>
        <v>14.023197993898586</v>
      </c>
      <c r="AI117" s="50">
        <f t="shared" si="56"/>
        <v>2.5742916639780957</v>
      </c>
      <c r="AJ117" s="42">
        <f t="shared" si="57"/>
        <v>13.916113681131131</v>
      </c>
      <c r="AK117" s="42">
        <f t="shared" si="58"/>
        <v>1.3458045805765646</v>
      </c>
      <c r="AL117" s="42">
        <f t="shared" si="59"/>
        <v>14.001001313092459</v>
      </c>
      <c r="AM117" s="56">
        <f t="shared" si="64"/>
        <v>1.0185896573579709</v>
      </c>
      <c r="BA117" s="7">
        <f t="shared" si="60"/>
        <v>2.440715169781341</v>
      </c>
      <c r="BB117" s="7">
        <f t="shared" si="61"/>
        <v>13.980104329374059</v>
      </c>
      <c r="BC117" s="56">
        <f t="shared" si="65"/>
        <v>1.0185896573579709</v>
      </c>
    </row>
    <row r="118" spans="1:55" x14ac:dyDescent="0.35">
      <c r="A118" s="13">
        <v>42489</v>
      </c>
      <c r="B118" s="56">
        <f t="shared" si="62"/>
        <v>1.1671797805367394</v>
      </c>
      <c r="C118" s="56">
        <f t="shared" si="62"/>
        <v>8.4665724966706861</v>
      </c>
      <c r="D118" s="56">
        <f t="shared" si="67"/>
        <v>1.1725676645454697</v>
      </c>
      <c r="E118" s="56">
        <f t="shared" si="67"/>
        <v>17.231732536101138</v>
      </c>
      <c r="F118" s="56">
        <f t="shared" si="66"/>
        <v>1.1784961758605987</v>
      </c>
      <c r="G118" s="56">
        <f t="shared" si="66"/>
        <v>13.484385516826585</v>
      </c>
      <c r="H118" s="56"/>
      <c r="I118" s="56">
        <f t="shared" si="50"/>
        <v>1.3572157811381229</v>
      </c>
      <c r="J118" s="56">
        <f t="shared" si="50"/>
        <v>12.130897049034957</v>
      </c>
      <c r="K118" s="56">
        <f t="shared" si="68"/>
        <v>1.2752343806633211</v>
      </c>
      <c r="L118" s="56">
        <f t="shared" si="68"/>
        <v>15.471951940793067</v>
      </c>
      <c r="M118" s="56">
        <f t="shared" si="51"/>
        <v>1.5051621283444845</v>
      </c>
      <c r="N118" s="56">
        <f t="shared" si="51"/>
        <v>14.341791418280529</v>
      </c>
      <c r="O118" s="56"/>
      <c r="P118" s="56">
        <f t="shared" si="52"/>
        <v>1.5929770650767834</v>
      </c>
      <c r="Q118" s="56">
        <f t="shared" si="52"/>
        <v>12.835227140952178</v>
      </c>
      <c r="R118" s="56">
        <f t="shared" si="69"/>
        <v>1.6667765062631255</v>
      </c>
      <c r="S118" s="56">
        <f t="shared" si="69"/>
        <v>13.251224696548954</v>
      </c>
      <c r="T118" s="56">
        <f t="shared" si="53"/>
        <v>1.6800182064417819</v>
      </c>
      <c r="U118" s="56">
        <f t="shared" si="53"/>
        <v>12.894758059395691</v>
      </c>
      <c r="V118" s="56"/>
      <c r="W118" s="56">
        <f t="shared" ref="W118" si="70">0.008+(-0.1692*((W75/53065)^(1/2)))+25.3851*(W75/53065)+(14.0941*((W75/53065)^(3/2)))+(-7.0261*(W75/53065)^2)+(2.7081*((W75/53065)^(5/2)))+((10/1.162)*((0.0005+(-0.0056*((W75/53065)^(1/2)))+(-0.0066*(W75/53065))+(-0.0375*((W75/53065)^(3/2)))+(0.0636*((W75/53065)^2))+(-0.0144*((W75/53065)^(5/2))))))</f>
        <v>1.0169875255320771</v>
      </c>
      <c r="X118" s="10"/>
      <c r="Y118" s="5"/>
      <c r="AF118" s="13">
        <v>42489</v>
      </c>
      <c r="AG118" s="50">
        <f t="shared" si="54"/>
        <v>1.1727478736476027</v>
      </c>
      <c r="AH118" s="50">
        <f t="shared" si="55"/>
        <v>13.060896849866134</v>
      </c>
      <c r="AI118" s="50">
        <f t="shared" si="56"/>
        <v>1.3792040967153094</v>
      </c>
      <c r="AJ118" s="42">
        <f t="shared" si="57"/>
        <v>13.981546802702852</v>
      </c>
      <c r="AK118" s="42">
        <f t="shared" si="58"/>
        <v>1.6465905925938966</v>
      </c>
      <c r="AL118" s="42">
        <f t="shared" si="59"/>
        <v>12.99373663229894</v>
      </c>
      <c r="AM118" s="56">
        <f t="shared" si="64"/>
        <v>1.0169875255320771</v>
      </c>
      <c r="BA118" s="7">
        <f t="shared" si="60"/>
        <v>1.3995141876522696</v>
      </c>
      <c r="BB118" s="7">
        <f t="shared" si="61"/>
        <v>13.345393428289311</v>
      </c>
      <c r="BC118" s="56">
        <f t="shared" si="65"/>
        <v>1.0169875255320771</v>
      </c>
    </row>
    <row r="119" spans="1:55" x14ac:dyDescent="0.35">
      <c r="A119" s="13">
        <v>42494</v>
      </c>
      <c r="B119" s="56">
        <f t="shared" si="62"/>
        <v>1.5276325564714468</v>
      </c>
      <c r="C119" s="56">
        <f t="shared" si="62"/>
        <v>13.622510623565496</v>
      </c>
      <c r="D119" s="56">
        <f t="shared" si="67"/>
        <v>1.5216017074471824</v>
      </c>
      <c r="E119" s="56">
        <f t="shared" si="67"/>
        <v>15.670889831033568</v>
      </c>
      <c r="F119" s="56">
        <f t="shared" si="66"/>
        <v>1.5216017074471824</v>
      </c>
      <c r="G119" s="56">
        <f t="shared" si="66"/>
        <v>9.8302585666314819</v>
      </c>
      <c r="H119" s="56"/>
      <c r="I119" s="56">
        <f t="shared" si="50"/>
        <v>2.4212584734196674</v>
      </c>
      <c r="J119" s="56">
        <f t="shared" si="50"/>
        <v>12.554313024127447</v>
      </c>
      <c r="K119" s="56">
        <f t="shared" si="68"/>
        <v>1.5852799030441806</v>
      </c>
      <c r="L119" s="56">
        <f t="shared" si="68"/>
        <v>15.473286166998109</v>
      </c>
      <c r="M119" s="56">
        <f t="shared" si="51"/>
        <v>1.5550656665757321</v>
      </c>
      <c r="N119" s="56">
        <f t="shared" si="51"/>
        <v>15.398588850717351</v>
      </c>
      <c r="O119" s="56"/>
      <c r="P119" s="56">
        <f t="shared" si="52"/>
        <v>1.8189262018525192</v>
      </c>
      <c r="Q119" s="56">
        <f t="shared" si="52"/>
        <v>12.274041163130175</v>
      </c>
      <c r="R119" s="56">
        <f t="shared" si="69"/>
        <v>2.4694349852974922</v>
      </c>
      <c r="S119" s="56">
        <f t="shared" si="69"/>
        <v>13.076141906946967</v>
      </c>
      <c r="T119" s="56">
        <f t="shared" si="53"/>
        <v>2.2078778046702139</v>
      </c>
      <c r="U119" s="56">
        <f t="shared" si="53"/>
        <v>12.860736913293252</v>
      </c>
      <c r="V119" s="56"/>
      <c r="W119" s="56">
        <f>0.008+(-0.1692*((W76/53065)^(1/2)))+25.3851*(W76/53065)+(14.0941*((W76/53065)^(3/2)))+(-7.0261*(W76/53065)^2)+(2.7081*((W76/53065)^(5/2)))+((10/1.162)*((0.0005+(-0.0056*((W76/53065)^(1/2)))+(-0.0066*(W76/53065))+(-0.0375*((W76/53065)^(3/2)))+(0.0636*((W76/53065)^2))+(-0.0144*((W76/53065)^(5/2))))))</f>
        <v>1.0217943954452047</v>
      </c>
      <c r="X119" s="10"/>
      <c r="Y119" s="5"/>
      <c r="AF119" s="13">
        <v>42494</v>
      </c>
      <c r="AG119" s="50">
        <f t="shared" si="54"/>
        <v>1.5236119904552705</v>
      </c>
      <c r="AH119" s="50">
        <f t="shared" si="55"/>
        <v>13.041219673743518</v>
      </c>
      <c r="AI119" s="50">
        <f t="shared" si="56"/>
        <v>1.8538680143465267</v>
      </c>
      <c r="AJ119" s="42">
        <f t="shared" si="57"/>
        <v>14.475396013947636</v>
      </c>
      <c r="AK119" s="42">
        <f t="shared" si="58"/>
        <v>2.1654129972734082</v>
      </c>
      <c r="AL119" s="42">
        <f t="shared" si="59"/>
        <v>12.736973327790132</v>
      </c>
      <c r="AM119" s="56">
        <f t="shared" si="64"/>
        <v>1.0217943954452047</v>
      </c>
      <c r="BA119" s="7">
        <f t="shared" si="60"/>
        <v>1.8476310006917354</v>
      </c>
      <c r="BB119" s="7">
        <f t="shared" si="61"/>
        <v>13.417863005160427</v>
      </c>
      <c r="BC119" s="56">
        <f t="shared" si="65"/>
        <v>1.0217943954452047</v>
      </c>
    </row>
    <row r="120" spans="1:55" ht="15.5" x14ac:dyDescent="0.35">
      <c r="A120" s="13">
        <v>42503</v>
      </c>
      <c r="B120" s="56">
        <f t="shared" si="62"/>
        <v>14.373555667778444</v>
      </c>
      <c r="C120" s="56">
        <f t="shared" si="62"/>
        <v>19.863135352078721</v>
      </c>
      <c r="D120" s="56">
        <f t="shared" si="67"/>
        <v>15.908241258848685</v>
      </c>
      <c r="E120" s="56">
        <f t="shared" si="67"/>
        <v>20.617826724223686</v>
      </c>
      <c r="F120" s="56">
        <f t="shared" si="66"/>
        <v>15.513318789702728</v>
      </c>
      <c r="G120" s="56">
        <f t="shared" si="66"/>
        <v>20.53303902468317</v>
      </c>
      <c r="H120" s="56"/>
      <c r="I120" s="56">
        <f t="shared" si="50"/>
        <v>12.303992831002448</v>
      </c>
      <c r="J120" s="56">
        <f t="shared" si="50"/>
        <v>20.136550532312096</v>
      </c>
      <c r="K120" s="56">
        <f t="shared" si="68"/>
        <v>16.243871915867039</v>
      </c>
      <c r="L120" s="56">
        <f t="shared" si="68"/>
        <v>20.345691911766192</v>
      </c>
      <c r="M120" s="56">
        <f t="shared" si="51"/>
        <v>12.265577908649894</v>
      </c>
      <c r="N120" s="56">
        <f t="shared" si="51"/>
        <v>20.092554014437411</v>
      </c>
      <c r="O120" s="56"/>
      <c r="P120" s="56">
        <f t="shared" si="52"/>
        <v>8.6060900316101954</v>
      </c>
      <c r="Q120" s="56">
        <f t="shared" si="52"/>
        <v>19.116644126813558</v>
      </c>
      <c r="R120" s="56">
        <f t="shared" si="69"/>
        <v>9.7907779729245838</v>
      </c>
      <c r="S120" s="56">
        <f t="shared" si="69"/>
        <v>19.381978058017147</v>
      </c>
      <c r="T120" s="56">
        <f t="shared" si="53"/>
        <v>9.1909311797200228</v>
      </c>
      <c r="U120" s="56">
        <f t="shared" si="53"/>
        <v>19.053110345195286</v>
      </c>
      <c r="V120" s="56"/>
      <c r="W120" s="56">
        <f>0.008+(-0.1692*((W77/53065)^(1/2)))+25.3851*(W77/53065)+(14.0941*((W77/53065)^(3/2)))+(-7.0261*(W77/53065)^2)+(2.7081*((W77/53065)^(5/2)))+((10/1.162)*((0.0005+(-0.0056*((W77/53065)^(1/2)))+(-0.0066*(W77/53065))+(-0.0375*((W77/53065)^(3/2)))+(0.0636*((W77/53065)^2))+(-0.0144*((W77/53065)^(5/2))))))</f>
        <v>1.0913831332641577</v>
      </c>
      <c r="X120" s="10"/>
      <c r="Y120" s="5"/>
      <c r="Z120" s="5"/>
      <c r="AE120" s="1"/>
      <c r="AF120" s="13">
        <v>42503</v>
      </c>
      <c r="AG120" s="50">
        <f t="shared" si="54"/>
        <v>15.265038572109953</v>
      </c>
      <c r="AH120" s="50">
        <f t="shared" si="55"/>
        <v>20.338000366995193</v>
      </c>
      <c r="AI120" s="50">
        <f t="shared" si="56"/>
        <v>13.604480885173126</v>
      </c>
      <c r="AJ120" s="42">
        <f t="shared" si="57"/>
        <v>20.191598819505234</v>
      </c>
      <c r="AK120" s="42">
        <f t="shared" si="58"/>
        <v>9.1959330614182679</v>
      </c>
      <c r="AL120" s="42">
        <f t="shared" si="59"/>
        <v>19.183910843341998</v>
      </c>
      <c r="AM120" s="56">
        <f t="shared" si="64"/>
        <v>1.0913831332641577</v>
      </c>
      <c r="BA120" s="7">
        <f t="shared" si="60"/>
        <v>12.68848417290045</v>
      </c>
      <c r="BB120" s="7">
        <f t="shared" si="61"/>
        <v>19.904503343280808</v>
      </c>
      <c r="BC120" s="56">
        <f t="shared" si="65"/>
        <v>1.0913831332641577</v>
      </c>
    </row>
    <row r="121" spans="1:55" ht="15.5" x14ac:dyDescent="0.35">
      <c r="A121" s="13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10"/>
      <c r="Y121" s="5"/>
      <c r="Z121" s="5"/>
      <c r="AE121" s="1"/>
      <c r="AF121" s="13"/>
      <c r="AG121" s="14"/>
      <c r="AH121" s="14"/>
      <c r="AI121" s="14"/>
      <c r="AJ121" s="8"/>
      <c r="AK121" s="8"/>
      <c r="AL121" s="8"/>
      <c r="AM121" s="56"/>
      <c r="BA121" s="7"/>
      <c r="BB121" s="7"/>
      <c r="BC121" s="56"/>
    </row>
    <row r="122" spans="1:55" ht="15.5" x14ac:dyDescent="0.35">
      <c r="A122" s="13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10"/>
      <c r="Y122" s="5"/>
      <c r="Z122" s="5"/>
      <c r="AE122" s="1"/>
      <c r="AF122" s="13"/>
      <c r="AG122" s="14"/>
      <c r="AH122" s="14"/>
      <c r="AI122" s="14"/>
      <c r="AJ122" s="8"/>
      <c r="AK122" s="8"/>
      <c r="AL122" s="8"/>
      <c r="AM122" s="56"/>
      <c r="BA122" s="8"/>
      <c r="BB122" s="8"/>
      <c r="BC122" s="56"/>
    </row>
    <row r="123" spans="1:55" ht="15.5" x14ac:dyDescent="0.35">
      <c r="A123" s="2">
        <v>42797</v>
      </c>
      <c r="B123" s="56">
        <f t="shared" ref="B123:C135" si="71">0.008+(-0.1692*((B80/53065)^(1/2)))+25.3851*(B80/53065)+(14.0941*((B80/53065)^(3/2)))+(-7.0261*(B80/53065)^2)+(2.7081*((B80/53065)^(5/2)))+((10/1.162)*((0.0005+(-0.0056*((B80/53065)^(1/2)))+(-0.0066*(B80/53065))+(-0.0375*((B80/53065)^(3/2)))+(0.0636*((B80/53065)^2))+(-0.0144*((B80/53065)^(5/2))))))</f>
        <v>0.88458054049128576</v>
      </c>
      <c r="C123" s="56">
        <f t="shared" si="71"/>
        <v>0.88563941177304883</v>
      </c>
      <c r="D123" s="56"/>
      <c r="E123" s="56"/>
      <c r="F123" s="56">
        <f t="shared" ref="F123:G135" si="72">0.008+(-0.1692*((F80/53065)^(1/2)))+25.3851*(F80/53065)+(14.0941*((F80/53065)^(3/2)))+(-7.0261*(F80/53065)^2)+(2.7081*((F80/53065)^(5/2)))+((10/1.162)*((0.0005+(-0.0056*((F80/53065)^(1/2)))+(-0.0066*(F80/53065))+(-0.0375*((F80/53065)^(3/2)))+(0.0636*((F80/53065)^2))+(-0.0144*((F80/53065)^(5/2))))))</f>
        <v>0.8787581398916906</v>
      </c>
      <c r="G123" s="56">
        <f t="shared" si="72"/>
        <v>0.88140439337100918</v>
      </c>
      <c r="H123" s="56"/>
      <c r="I123" s="56">
        <f t="shared" ref="I123:J135" si="73">0.008+(-0.1692*((I80/53065)^(1/2)))+25.3851*(I80/53065)+(14.0941*((I80/53065)^(3/2)))+(-7.0261*(I80/53065)^2)+(2.7081*((I80/53065)^(5/2)))+((10/1.162)*((0.0005+(-0.0056*((I80/53065)^(1/2)))+(-0.0066*(I80/53065))+(-0.0375*((I80/53065)^(3/2)))+(0.0636*((I80/53065)^2))+(-0.0144*((I80/53065)^(5/2))))))</f>
        <v>0.88510996641847395</v>
      </c>
      <c r="J123" s="56">
        <f t="shared" si="73"/>
        <v>0.88510996641847395</v>
      </c>
      <c r="K123" s="56"/>
      <c r="L123" s="56"/>
      <c r="M123" s="56">
        <f t="shared" ref="M123:N135" si="74">0.008+(-0.1692*((M80/53065)^(1/2)))+25.3851*(M80/53065)+(14.0941*((M80/53065)^(3/2)))+(-7.0261*(M80/53065)^2)+(2.7081*((M80/53065)^(5/2)))+((10/1.162)*((0.0005+(-0.0056*((M80/53065)^(1/2)))+(-0.0066*(M80/53065))+(-0.0375*((M80/53065)^(3/2)))+(0.0636*((M80/53065)^2))+(-0.0144*((M80/53065)^(5/2))))))</f>
        <v>0.88193370255839976</v>
      </c>
      <c r="N123" s="56">
        <f t="shared" si="74"/>
        <v>0.88246303122335812</v>
      </c>
      <c r="O123" s="56"/>
      <c r="P123" s="56">
        <f t="shared" ref="P123:Q135" si="75">0.008+(-0.1692*((P80/53065)^(1/2)))+25.3851*(P80/53065)+(14.0941*((P80/53065)^(3/2)))+(-7.0261*(P80/53065)^2)+(2.7081*((P80/53065)^(5/2)))+((10/1.162)*((0.0005+(-0.0056*((P80/53065)^(1/2)))+(-0.0066*(P80/53065))+(-0.0375*((P80/53065)^(3/2)))+(0.0636*((P80/53065)^2))+(-0.0144*((P80/53065)^(5/2))))))</f>
        <v>0.88087510366958066</v>
      </c>
      <c r="Q123" s="56">
        <f t="shared" si="75"/>
        <v>0.87928735156514648</v>
      </c>
      <c r="R123" s="56"/>
      <c r="S123" s="56"/>
      <c r="T123" s="56">
        <f t="shared" ref="T123:U135" si="76">0.008+(-0.1692*((T80/53065)^(1/2)))+25.3851*(T80/53065)+(14.0941*((T80/53065)^(3/2)))+(-7.0261*(T80/53065)^2)+(2.7081*((T80/53065)^(5/2)))+((10/1.162)*((0.0005+(-0.0056*((T80/53065)^(1/2)))+(-0.0066*(T80/53065))+(-0.0375*((T80/53065)^(3/2)))+(0.0636*((T80/53065)^2))+(-0.0144*((T80/53065)^(5/2))))))</f>
        <v>0.87558328023640786</v>
      </c>
      <c r="U123" s="56">
        <f t="shared" si="76"/>
        <v>0.8798165827582326</v>
      </c>
      <c r="V123" s="56"/>
      <c r="W123" s="56">
        <f t="shared" ref="W123:W135" si="77">0.008+(-0.1692*((W80/53065)^(1/2)))+25.3851*(W80/53065)+(14.0941*((W80/53065)^(3/2)))+(-7.0261*(W80/53065)^2)+(2.7081*((W80/53065)^(5/2)))+((10/1.162)*((0.0005+(-0.0056*((W80/53065)^(1/2)))+(-0.0066*(W80/53065))+(-0.0375*((W80/53065)^(3/2)))+(0.0636*((W80/53065)^2))+(-0.0144*((W80/53065)^(5/2))))))</f>
        <v>0.7549544164498404</v>
      </c>
      <c r="X123" s="10"/>
      <c r="Y123" s="5"/>
      <c r="Z123" s="5"/>
      <c r="AE123" s="1"/>
      <c r="AF123" s="2">
        <v>42797</v>
      </c>
      <c r="AG123" s="50">
        <f t="shared" ref="AG123:AG135" si="78">AVERAGE(B123,D123,F123)</f>
        <v>0.88166934019148813</v>
      </c>
      <c r="AH123" s="50">
        <f t="shared" ref="AH123:AH135" si="79">AVERAGE(C123,E123,G123)</f>
        <v>0.88352190257202901</v>
      </c>
      <c r="AI123" s="50">
        <f t="shared" ref="AI123:AI135" si="80">AVERAGE(I123,K123,M123)</f>
        <v>0.8835218344884368</v>
      </c>
      <c r="AJ123" s="42">
        <f t="shared" ref="AJ123:AJ135" si="81">AVERAGE(J123,L123,N123)</f>
        <v>0.88378649882091609</v>
      </c>
      <c r="AK123" s="42">
        <f t="shared" ref="AK123:AK135" si="82">AVERAGE(P123,R123,T123)</f>
        <v>0.87822919195299431</v>
      </c>
      <c r="AL123" s="42">
        <f t="shared" ref="AL123:AL135" si="83">AVERAGE(Q123,S123,U123)</f>
        <v>0.8795519671616896</v>
      </c>
      <c r="AM123" s="56">
        <f t="shared" ref="AM123" si="84">0.008+(-0.1692*((AM80/53065)^(1/2)))+25.3851*(AM80/53065)+(14.0941*((AM80/53065)^(3/2)))+(-7.0261*(AM80/53065)^2)+(2.7081*((AM80/53065)^(5/2)))+((10/1.162)*((0.0005+(-0.0056*((AM80/53065)^(1/2)))+(-0.0066*(AM80/53065))+(-0.0375*((AM80/53065)^(3/2)))+(0.0636*((AM80/53065)^2))+(-0.0144*((AM80/53065)^(5/2))))))</f>
        <v>0.7549544164498404</v>
      </c>
      <c r="BA123" s="7">
        <f t="shared" si="60"/>
        <v>0.88114012221097315</v>
      </c>
      <c r="BB123" s="7">
        <f t="shared" si="61"/>
        <v>0.88228678951821149</v>
      </c>
      <c r="BC123" s="56">
        <f t="shared" ref="BC123:BC135" si="85">0.008+(-0.1692*((BC80/53065)^(1/2)))+25.3851*(BC80/53065)+(14.0941*((BC80/53065)^(3/2)))+(-7.0261*(BC80/53065)^2)+(2.7081*((BC80/53065)^(5/2)))+((10/1.162)*((0.0005+(-0.0056*((BC80/53065)^(1/2)))+(-0.0066*(BC80/53065))+(-0.0375*((BC80/53065)^(3/2)))+(0.0636*((BC80/53065)^2))+(-0.0144*((BC80/53065)^(5/2))))))</f>
        <v>0.7549544164498404</v>
      </c>
    </row>
    <row r="124" spans="1:55" ht="15.5" x14ac:dyDescent="0.35">
      <c r="A124" s="2">
        <v>42804</v>
      </c>
      <c r="B124" s="56">
        <f t="shared" si="71"/>
        <v>0.86447683418100196</v>
      </c>
      <c r="C124" s="56">
        <f t="shared" si="71"/>
        <v>0.86712043871931188</v>
      </c>
      <c r="D124" s="56">
        <f t="shared" ref="D124:E135" si="86">0.008+(-0.1692*((D81/53065)^(1/2)))+25.3851*(D81/53065)+(14.0941*((D81/53065)^(3/2)))+(-7.0261*(D81/53065)^2)+(2.7081*((D81/53065)^(5/2)))+((10/1.162)*((0.0005+(-0.0056*((D81/53065)^(1/2)))+(-0.0066*(D81/53065))+(-0.0375*((D81/53065)^(3/2)))+(0.0636*((D81/53065)^2))+(-0.0144*((D81/53065)^(5/2))))))</f>
        <v>0.86870683810406157</v>
      </c>
      <c r="E124" s="56">
        <f t="shared" si="86"/>
        <v>0.86712043871931188</v>
      </c>
      <c r="F124" s="56">
        <f t="shared" si="72"/>
        <v>0.86447683418100196</v>
      </c>
      <c r="G124" s="56">
        <f t="shared" si="72"/>
        <v>0.86712043871931188</v>
      </c>
      <c r="H124" s="56"/>
      <c r="I124" s="56">
        <f t="shared" si="73"/>
        <v>0.86394817251675848</v>
      </c>
      <c r="J124" s="56">
        <f t="shared" si="73"/>
        <v>0.8655342167789426</v>
      </c>
      <c r="K124" s="56">
        <f t="shared" ref="K124:L135" si="87">0.008+(-0.1692*((K81/53065)^(1/2)))+25.3851*(K81/53065)+(14.0941*((K81/53065)^(3/2)))+(-7.0261*(K81/53065)^2)+(2.7081*((K81/53065)^(5/2)))+((10/1.162)*((0.0005+(-0.0056*((K81/53065)^(1/2)))+(-0.0066*(K81/53065))+(-0.0375*((K81/53065)^(3/2)))+(0.0636*((K81/53065)^2))+(-0.0144*((K81/53065)^(5/2))))))</f>
        <v>0.86447683418100196</v>
      </c>
      <c r="L124" s="56">
        <f t="shared" si="87"/>
        <v>0.86500551560462613</v>
      </c>
      <c r="M124" s="56">
        <f t="shared" si="74"/>
        <v>0.86394817251675848</v>
      </c>
      <c r="N124" s="56">
        <f t="shared" si="74"/>
        <v>0.86447683418100196</v>
      </c>
      <c r="O124" s="56"/>
      <c r="P124" s="56">
        <f t="shared" si="75"/>
        <v>0.85126624314320443</v>
      </c>
      <c r="Q124" s="56">
        <f t="shared" si="75"/>
        <v>0.85602062461521045</v>
      </c>
      <c r="R124" s="56">
        <f t="shared" ref="R124:S135" si="88">0.008+(-0.1692*((R81/53065)^(1/2)))+25.3851*(R81/53065)+(14.0941*((R81/53065)^(3/2)))+(-7.0261*(R81/53065)^2)+(2.7081*((R81/53065)^(5/2)))+((10/1.162)*((0.0005+(-0.0056*((R81/53065)^(1/2)))+(-0.0066*(R81/53065))+(-0.0375*((R81/53065)^(3/2)))+(0.0636*((R81/53065)^2))+(-0.0144*((R81/53065)^(5/2))))))</f>
        <v>0.8523226327301896</v>
      </c>
      <c r="S124" s="56">
        <f t="shared" si="88"/>
        <v>0.85866264455824159</v>
      </c>
      <c r="T124" s="56">
        <f t="shared" si="76"/>
        <v>0.8496818086326432</v>
      </c>
      <c r="U124" s="56">
        <f t="shared" si="76"/>
        <v>0.85496395587389606</v>
      </c>
      <c r="V124" s="56"/>
      <c r="W124" s="56">
        <f t="shared" si="77"/>
        <v>0.78908324197627078</v>
      </c>
      <c r="X124" s="10"/>
      <c r="Y124" s="5"/>
      <c r="Z124" s="5"/>
      <c r="AE124" s="1"/>
      <c r="AF124" s="2">
        <v>42804</v>
      </c>
      <c r="AG124" s="50">
        <f t="shared" si="78"/>
        <v>0.8658868354886885</v>
      </c>
      <c r="AH124" s="50">
        <f t="shared" si="79"/>
        <v>0.86712043871931188</v>
      </c>
      <c r="AI124" s="50">
        <f t="shared" si="80"/>
        <v>0.86412439307150635</v>
      </c>
      <c r="AJ124" s="42">
        <f t="shared" si="81"/>
        <v>0.86500552218819016</v>
      </c>
      <c r="AK124" s="42">
        <f t="shared" si="82"/>
        <v>0.85109022816867907</v>
      </c>
      <c r="AL124" s="42">
        <f t="shared" si="83"/>
        <v>0.8565490750157827</v>
      </c>
      <c r="AM124" s="56">
        <f t="shared" ref="AM124" si="89">0.008+(-0.1692*((AM81/53065)^(1/2)))+25.3851*(AM81/53065)+(14.0941*((AM81/53065)^(3/2)))+(-7.0261*(AM81/53065)^2)+(2.7081*((AM81/53065)^(5/2)))+((10/1.162)*((0.0005+(-0.0056*((AM81/53065)^(1/2)))+(-0.0066*(AM81/53065))+(-0.0375*((AM81/53065)^(3/2)))+(0.0636*((AM81/53065)^2))+(-0.0144*((AM81/53065)^(5/2))))))</f>
        <v>0.78908324197627078</v>
      </c>
      <c r="BA124" s="7">
        <f t="shared" si="60"/>
        <v>0.86036715224295801</v>
      </c>
      <c r="BB124" s="7">
        <f t="shared" si="61"/>
        <v>0.86289167864109495</v>
      </c>
      <c r="BC124" s="56">
        <f t="shared" si="85"/>
        <v>0.78908324197627078</v>
      </c>
    </row>
    <row r="125" spans="1:55" ht="15.5" x14ac:dyDescent="0.35">
      <c r="A125" s="2">
        <v>42811</v>
      </c>
      <c r="B125" s="56">
        <f t="shared" si="71"/>
        <v>1.3621125867859671</v>
      </c>
      <c r="C125" s="56">
        <f t="shared" si="71"/>
        <v>1.4275132868345117</v>
      </c>
      <c r="D125" s="56">
        <f t="shared" si="86"/>
        <v>1.3294893119867819</v>
      </c>
      <c r="E125" s="56">
        <f t="shared" si="86"/>
        <v>1.4493582987921936</v>
      </c>
      <c r="F125" s="56">
        <f t="shared" si="72"/>
        <v>1.3023433428350017</v>
      </c>
      <c r="G125" s="56">
        <f t="shared" si="72"/>
        <v>1.3294893119867819</v>
      </c>
      <c r="H125" s="56"/>
      <c r="I125" s="56">
        <f t="shared" si="73"/>
        <v>1.1725676645454697</v>
      </c>
      <c r="J125" s="56">
        <f t="shared" si="73"/>
        <v>1.2752343806633211</v>
      </c>
      <c r="K125" s="56">
        <f t="shared" si="87"/>
        <v>1.1510257337864527</v>
      </c>
      <c r="L125" s="56">
        <f t="shared" si="87"/>
        <v>1.1833482043614887</v>
      </c>
      <c r="M125" s="56">
        <f t="shared" si="74"/>
        <v>1.1671797805367394</v>
      </c>
      <c r="N125" s="56">
        <f t="shared" si="74"/>
        <v>1.2049282300713575</v>
      </c>
      <c r="O125" s="56"/>
      <c r="P125" s="56">
        <f t="shared" si="75"/>
        <v>0.99084192103529301</v>
      </c>
      <c r="Q125" s="56">
        <f t="shared" si="75"/>
        <v>1.1026512806127478</v>
      </c>
      <c r="R125" s="56">
        <f t="shared" si="88"/>
        <v>1.2265332540920824</v>
      </c>
      <c r="S125" s="56">
        <f t="shared" si="88"/>
        <v>1.2049282300713575</v>
      </c>
      <c r="T125" s="56">
        <f t="shared" si="76"/>
        <v>1.0052434096339105</v>
      </c>
      <c r="U125" s="56">
        <f t="shared" si="76"/>
        <v>1.0052434096339105</v>
      </c>
      <c r="V125" s="56"/>
      <c r="W125" s="56">
        <f t="shared" si="77"/>
        <v>0.95728950315116212</v>
      </c>
      <c r="X125" s="10"/>
      <c r="Y125" s="5"/>
      <c r="Z125" s="5"/>
      <c r="AE125" s="1"/>
      <c r="AF125" s="2">
        <v>42811</v>
      </c>
      <c r="AG125" s="50">
        <f t="shared" si="78"/>
        <v>1.3313150805359169</v>
      </c>
      <c r="AH125" s="50">
        <f t="shared" si="79"/>
        <v>1.4021202992044959</v>
      </c>
      <c r="AI125" s="50">
        <f t="shared" si="80"/>
        <v>1.1635910596228873</v>
      </c>
      <c r="AJ125" s="42">
        <f t="shared" si="81"/>
        <v>1.2211702716987223</v>
      </c>
      <c r="AK125" s="42">
        <f t="shared" si="82"/>
        <v>1.0742061949204287</v>
      </c>
      <c r="AL125" s="42">
        <f t="shared" si="83"/>
        <v>1.1042743067726719</v>
      </c>
      <c r="AM125" s="56">
        <f t="shared" ref="AM125" si="90">0.008+(-0.1692*((AM82/53065)^(1/2)))+25.3851*(AM82/53065)+(14.0941*((AM82/53065)^(3/2)))+(-7.0261*(AM82/53065)^2)+(2.7081*((AM82/53065)^(5/2)))+((10/1.162)*((0.0005+(-0.0056*((AM82/53065)^(1/2)))+(-0.0066*(AM82/53065))+(-0.0375*((AM82/53065)^(3/2)))+(0.0636*((AM82/53065)^2))+(-0.0144*((AM82/53065)^(5/2))))))</f>
        <v>0.95728950315116212</v>
      </c>
      <c r="BA125" s="7">
        <f t="shared" si="60"/>
        <v>1.1897041116930778</v>
      </c>
      <c r="BB125" s="7">
        <f t="shared" si="61"/>
        <v>1.2425216258919631</v>
      </c>
      <c r="BC125" s="56">
        <f t="shared" si="85"/>
        <v>0.95728950315116212</v>
      </c>
    </row>
    <row r="126" spans="1:55" ht="15.5" x14ac:dyDescent="0.35">
      <c r="A126" s="2">
        <v>42818</v>
      </c>
      <c r="B126" s="56">
        <f t="shared" si="71"/>
        <v>8.9261382730061847</v>
      </c>
      <c r="C126" s="56">
        <f t="shared" si="71"/>
        <v>13.879418142424274</v>
      </c>
      <c r="D126" s="56">
        <f t="shared" si="86"/>
        <v>11.417765330323435</v>
      </c>
      <c r="E126" s="56">
        <f t="shared" si="86"/>
        <v>14.209521105186068</v>
      </c>
      <c r="F126" s="56">
        <f t="shared" si="72"/>
        <v>8.9072074680911086</v>
      </c>
      <c r="G126" s="56">
        <f t="shared" si="72"/>
        <v>14.275639968525262</v>
      </c>
      <c r="H126" s="56"/>
      <c r="I126" s="56">
        <f t="shared" si="73"/>
        <v>13.879418142424274</v>
      </c>
      <c r="J126" s="56">
        <f t="shared" si="73"/>
        <v>15.204693902015164</v>
      </c>
      <c r="K126" s="56">
        <f t="shared" si="87"/>
        <v>11.981429385232797</v>
      </c>
      <c r="L126" s="56">
        <f t="shared" si="87"/>
        <v>15.337926335021312</v>
      </c>
      <c r="M126" s="56">
        <f t="shared" si="74"/>
        <v>14.077381427976219</v>
      </c>
      <c r="N126" s="56">
        <f t="shared" si="74"/>
        <v>15.27129432936793</v>
      </c>
      <c r="O126" s="56"/>
      <c r="P126" s="56">
        <f t="shared" si="75"/>
        <v>7.7473111412585993</v>
      </c>
      <c r="Q126" s="56">
        <f t="shared" si="75"/>
        <v>15.805229400666427</v>
      </c>
      <c r="R126" s="56">
        <f t="shared" si="88"/>
        <v>2.6343175821875948</v>
      </c>
      <c r="S126" s="56">
        <f t="shared" si="88"/>
        <v>15.27129432936793</v>
      </c>
      <c r="T126" s="56">
        <f t="shared" si="76"/>
        <v>2.7770785224549308</v>
      </c>
      <c r="U126" s="56">
        <f t="shared" si="76"/>
        <v>7.703721761816686</v>
      </c>
      <c r="V126" s="56"/>
      <c r="W126" s="56">
        <f t="shared" si="77"/>
        <v>1.1510257337864527</v>
      </c>
      <c r="X126" s="10"/>
      <c r="Y126" s="5"/>
      <c r="Z126" s="5"/>
      <c r="AE126" s="1"/>
      <c r="AF126" s="2">
        <v>42818</v>
      </c>
      <c r="AG126" s="50">
        <f t="shared" si="78"/>
        <v>9.7503703571402429</v>
      </c>
      <c r="AH126" s="50">
        <f t="shared" si="79"/>
        <v>14.121526405378534</v>
      </c>
      <c r="AI126" s="50">
        <f t="shared" si="80"/>
        <v>13.312742985211097</v>
      </c>
      <c r="AJ126" s="42">
        <f t="shared" si="81"/>
        <v>15.271304855468136</v>
      </c>
      <c r="AK126" s="42">
        <f t="shared" si="82"/>
        <v>4.386235748633708</v>
      </c>
      <c r="AL126" s="42">
        <f t="shared" si="83"/>
        <v>12.926748497283681</v>
      </c>
      <c r="AM126" s="56">
        <f t="shared" ref="AM126" si="91">0.008+(-0.1692*((AM83/53065)^(1/2)))+25.3851*(AM83/53065)+(14.0941*((AM83/53065)^(3/2)))+(-7.0261*(AM83/53065)^2)+(2.7081*((AM83/53065)^(5/2)))+((10/1.162)*((0.0005+(-0.0056*((AM83/53065)^(1/2)))+(-0.0066*(AM83/53065))+(-0.0375*((AM83/53065)^(3/2)))+(0.0636*((AM83/53065)^2))+(-0.0144*((AM83/53065)^(5/2))))))</f>
        <v>1.1510257337864527</v>
      </c>
      <c r="BA126" s="7">
        <f t="shared" si="60"/>
        <v>9.1497830303283489</v>
      </c>
      <c r="BB126" s="7">
        <f t="shared" si="61"/>
        <v>14.106526586043451</v>
      </c>
      <c r="BC126" s="56">
        <f t="shared" si="85"/>
        <v>1.1510257337864527</v>
      </c>
    </row>
    <row r="127" spans="1:55" ht="15.5" x14ac:dyDescent="0.35">
      <c r="A127" s="2">
        <v>42825</v>
      </c>
      <c r="B127" s="56">
        <f t="shared" si="71"/>
        <v>20.008717745823283</v>
      </c>
      <c r="C127" s="56">
        <f t="shared" si="71"/>
        <v>25.805748163714213</v>
      </c>
      <c r="D127" s="56">
        <f t="shared" si="86"/>
        <v>20.283747897697634</v>
      </c>
      <c r="E127" s="56">
        <f t="shared" si="86"/>
        <v>26.730439299323386</v>
      </c>
      <c r="F127" s="56">
        <f t="shared" si="72"/>
        <v>20.146176313814099</v>
      </c>
      <c r="G127" s="56">
        <f t="shared" si="72"/>
        <v>25.876720643396254</v>
      </c>
      <c r="H127" s="56"/>
      <c r="I127" s="56">
        <f t="shared" si="73"/>
        <v>22.779083686444629</v>
      </c>
      <c r="J127" s="56">
        <f t="shared" si="73"/>
        <v>25.947719447263459</v>
      </c>
      <c r="K127" s="56">
        <f t="shared" si="87"/>
        <v>23.128471724505438</v>
      </c>
      <c r="L127" s="56">
        <f t="shared" si="87"/>
        <v>26.160873647606827</v>
      </c>
      <c r="M127" s="56">
        <f t="shared" si="74"/>
        <v>23.128471724505438</v>
      </c>
      <c r="N127" s="56">
        <f t="shared" si="74"/>
        <v>26.659151933596725</v>
      </c>
      <c r="O127" s="56"/>
      <c r="P127" s="56">
        <f t="shared" si="75"/>
        <v>25.026792932370959</v>
      </c>
      <c r="Q127" s="56">
        <f t="shared" si="75"/>
        <v>26.23197759259974</v>
      </c>
      <c r="R127" s="56">
        <f t="shared" si="88"/>
        <v>25.380466992806266</v>
      </c>
      <c r="S127" s="56">
        <f t="shared" si="88"/>
        <v>26.089795964854392</v>
      </c>
      <c r="T127" s="56">
        <f t="shared" si="76"/>
        <v>25.30967923534525</v>
      </c>
      <c r="U127" s="56">
        <f t="shared" si="76"/>
        <v>26.516655694939903</v>
      </c>
      <c r="V127" s="56"/>
      <c r="W127" s="56">
        <f t="shared" si="77"/>
        <v>1.3294893119867819</v>
      </c>
      <c r="X127" s="10"/>
      <c r="Y127" s="5"/>
      <c r="Z127" s="5"/>
      <c r="AE127" s="1"/>
      <c r="AF127" s="2">
        <v>42825</v>
      </c>
      <c r="AG127" s="50">
        <f t="shared" si="78"/>
        <v>20.146213985778335</v>
      </c>
      <c r="AH127" s="50">
        <f t="shared" si="79"/>
        <v>26.137636035477954</v>
      </c>
      <c r="AI127" s="50">
        <f t="shared" si="80"/>
        <v>23.012009045151832</v>
      </c>
      <c r="AJ127" s="42">
        <f t="shared" si="81"/>
        <v>26.255915009489001</v>
      </c>
      <c r="AK127" s="42">
        <f t="shared" si="82"/>
        <v>25.238979720174161</v>
      </c>
      <c r="AL127" s="42">
        <f t="shared" si="83"/>
        <v>26.279476417464679</v>
      </c>
      <c r="AM127" s="56">
        <f t="shared" ref="AM127" si="92">0.008+(-0.1692*((AM84/53065)^(1/2)))+25.3851*(AM84/53065)+(14.0941*((AM84/53065)^(3/2)))+(-7.0261*(AM84/53065)^2)+(2.7081*((AM84/53065)^(5/2)))+((10/1.162)*((0.0005+(-0.0056*((AM84/53065)^(1/2)))+(-0.0066*(AM84/53065))+(-0.0375*((AM84/53065)^(3/2)))+(0.0636*((AM84/53065)^2))+(-0.0144*((AM84/53065)^(5/2))))))</f>
        <v>1.3294893119867819</v>
      </c>
      <c r="BA127" s="7">
        <f t="shared" si="60"/>
        <v>22.799067583701444</v>
      </c>
      <c r="BB127" s="7">
        <f t="shared" si="61"/>
        <v>26.224342487477212</v>
      </c>
      <c r="BC127" s="56">
        <f t="shared" si="85"/>
        <v>1.3294893119867819</v>
      </c>
    </row>
    <row r="128" spans="1:55" ht="15.5" x14ac:dyDescent="0.35">
      <c r="A128" s="2">
        <v>42832</v>
      </c>
      <c r="B128" s="56">
        <f t="shared" si="71"/>
        <v>18.300136015810736</v>
      </c>
      <c r="C128" s="56">
        <f t="shared" si="71"/>
        <v>26.873092453069454</v>
      </c>
      <c r="D128" s="56">
        <f t="shared" si="86"/>
        <v>18.164231323298463</v>
      </c>
      <c r="E128" s="56">
        <f t="shared" si="86"/>
        <v>26.58789072738821</v>
      </c>
      <c r="F128" s="56">
        <f t="shared" si="72"/>
        <v>18.232169017759905</v>
      </c>
      <c r="G128" s="56">
        <f t="shared" si="72"/>
        <v>26.374264209005922</v>
      </c>
      <c r="H128" s="56"/>
      <c r="I128" s="56">
        <f t="shared" si="73"/>
        <v>17.960594487760321</v>
      </c>
      <c r="J128" s="56">
        <f t="shared" si="73"/>
        <v>27.158712063720362</v>
      </c>
      <c r="K128" s="56">
        <f t="shared" si="87"/>
        <v>17.75722293512073</v>
      </c>
      <c r="L128" s="56">
        <f t="shared" si="87"/>
        <v>27.587923136684267</v>
      </c>
      <c r="M128" s="56">
        <f t="shared" si="74"/>
        <v>17.486475601585735</v>
      </c>
      <c r="N128" s="56">
        <f t="shared" si="74"/>
        <v>27.301678305005293</v>
      </c>
      <c r="O128" s="56"/>
      <c r="P128" s="56">
        <f t="shared" si="75"/>
        <v>17.689491575391603</v>
      </c>
      <c r="Q128" s="56">
        <f t="shared" si="75"/>
        <v>27.444748696801856</v>
      </c>
      <c r="R128" s="56">
        <f t="shared" si="88"/>
        <v>17.75722293512073</v>
      </c>
      <c r="S128" s="56">
        <f t="shared" si="88"/>
        <v>27.73120152432876</v>
      </c>
      <c r="T128" s="56">
        <f t="shared" si="76"/>
        <v>17.283727754879013</v>
      </c>
      <c r="U128" s="56">
        <f t="shared" si="76"/>
        <v>27.516322917051497</v>
      </c>
      <c r="V128" s="56"/>
      <c r="W128" s="56">
        <f t="shared" si="77"/>
        <v>1.5369561142575985</v>
      </c>
      <c r="X128" s="10"/>
      <c r="Y128" s="5"/>
      <c r="Z128" s="5"/>
      <c r="AE128" s="1"/>
      <c r="AF128" s="2">
        <v>42832</v>
      </c>
      <c r="AG128" s="50">
        <f t="shared" si="78"/>
        <v>18.232178785623034</v>
      </c>
      <c r="AH128" s="50">
        <f t="shared" si="79"/>
        <v>26.611749129821192</v>
      </c>
      <c r="AI128" s="50">
        <f t="shared" si="80"/>
        <v>17.73476434148893</v>
      </c>
      <c r="AJ128" s="42">
        <f t="shared" si="81"/>
        <v>27.349437835136641</v>
      </c>
      <c r="AK128" s="42">
        <f t="shared" si="82"/>
        <v>17.576814088463781</v>
      </c>
      <c r="AL128" s="42">
        <f t="shared" si="83"/>
        <v>27.564091046060707</v>
      </c>
      <c r="AM128" s="56">
        <f t="shared" ref="AM128" si="93">0.008+(-0.1692*((AM85/53065)^(1/2)))+25.3851*(AM85/53065)+(14.0941*((AM85/53065)^(3/2)))+(-7.0261*(AM85/53065)^2)+(2.7081*((AM85/53065)^(5/2)))+((10/1.162)*((0.0005+(-0.0056*((AM85/53065)^(1/2)))+(-0.0066*(AM85/53065))+(-0.0375*((AM85/53065)^(3/2)))+(0.0636*((AM85/53065)^2))+(-0.0144*((AM85/53065)^(5/2))))))</f>
        <v>1.5369561142575985</v>
      </c>
      <c r="BA128" s="7">
        <f t="shared" si="60"/>
        <v>17.847919071858584</v>
      </c>
      <c r="BB128" s="7">
        <f t="shared" si="61"/>
        <v>27.175092670339513</v>
      </c>
      <c r="BC128" s="56">
        <f t="shared" si="85"/>
        <v>1.5369561142575985</v>
      </c>
    </row>
    <row r="129" spans="1:55" ht="15.5" x14ac:dyDescent="0.35">
      <c r="A129" s="2">
        <v>42839</v>
      </c>
      <c r="B129" s="56">
        <f t="shared" si="71"/>
        <v>8.4100720110663651</v>
      </c>
      <c r="C129" s="56">
        <f t="shared" si="71"/>
        <v>17.824983903520103</v>
      </c>
      <c r="D129" s="56">
        <f t="shared" si="86"/>
        <v>8.4037963504633382</v>
      </c>
      <c r="E129" s="56">
        <f t="shared" si="86"/>
        <v>17.892774435849443</v>
      </c>
      <c r="F129" s="56">
        <f t="shared" si="72"/>
        <v>8.6111216479616655</v>
      </c>
      <c r="G129" s="56">
        <f t="shared" si="72"/>
        <v>16.677105887361012</v>
      </c>
      <c r="H129" s="56"/>
      <c r="I129" s="56">
        <f t="shared" si="73"/>
        <v>10.612761988026209</v>
      </c>
      <c r="J129" s="56">
        <f t="shared" si="73"/>
        <v>17.621789869468635</v>
      </c>
      <c r="K129" s="56">
        <f t="shared" si="87"/>
        <v>9.3055413993425518</v>
      </c>
      <c r="L129" s="56">
        <f t="shared" si="87"/>
        <v>18.300136015810736</v>
      </c>
      <c r="M129" s="56">
        <f t="shared" si="74"/>
        <v>9.1030072969700218</v>
      </c>
      <c r="N129" s="56">
        <f t="shared" si="74"/>
        <v>18.572296207922911</v>
      </c>
      <c r="O129" s="56"/>
      <c r="P129" s="56">
        <f t="shared" si="75"/>
        <v>10.273219602833862</v>
      </c>
      <c r="Q129" s="56">
        <f t="shared" si="75"/>
        <v>17.351280500617243</v>
      </c>
      <c r="R129" s="56">
        <f t="shared" si="88"/>
        <v>11.372532234061854</v>
      </c>
      <c r="S129" s="56">
        <f t="shared" si="88"/>
        <v>18.232169017759905</v>
      </c>
      <c r="T129" s="56">
        <f t="shared" si="76"/>
        <v>10.478097542321684</v>
      </c>
      <c r="U129" s="56">
        <f t="shared" si="76"/>
        <v>18.708551048875869</v>
      </c>
      <c r="V129" s="56"/>
      <c r="W129" s="56">
        <f t="shared" si="77"/>
        <v>1.5863793426591211</v>
      </c>
      <c r="X129" s="10"/>
      <c r="Y129" s="5"/>
      <c r="Z129" s="5"/>
      <c r="AE129" s="1"/>
      <c r="AF129" s="2">
        <v>42839</v>
      </c>
      <c r="AG129" s="50">
        <f t="shared" si="78"/>
        <v>8.4749966698304551</v>
      </c>
      <c r="AH129" s="50">
        <f t="shared" si="79"/>
        <v>17.464954742243521</v>
      </c>
      <c r="AI129" s="50">
        <f t="shared" si="80"/>
        <v>9.673770228112927</v>
      </c>
      <c r="AJ129" s="42">
        <f t="shared" si="81"/>
        <v>18.164740697734093</v>
      </c>
      <c r="AK129" s="42">
        <f t="shared" si="82"/>
        <v>10.707949793072467</v>
      </c>
      <c r="AL129" s="42">
        <f t="shared" si="83"/>
        <v>18.097333522417674</v>
      </c>
      <c r="AM129" s="56">
        <f t="shared" ref="AM129" si="94">0.008+(-0.1692*((AM86/53065)^(1/2)))+25.3851*(AM86/53065)+(14.0941*((AM86/53065)^(3/2)))+(-7.0261*(AM86/53065)^2)+(2.7081*((AM86/53065)^(5/2)))+((10/1.162)*((0.0005+(-0.0056*((AM86/53065)^(1/2)))+(-0.0066*(AM86/53065))+(-0.0375*((AM86/53065)^(3/2)))+(0.0636*((AM86/53065)^2))+(-0.0144*((AM86/53065)^(5/2))))))</f>
        <v>1.5863793426591211</v>
      </c>
      <c r="BA129" s="7">
        <f t="shared" si="60"/>
        <v>9.6189055636719516</v>
      </c>
      <c r="BB129" s="7">
        <f t="shared" si="61"/>
        <v>17.909009654131765</v>
      </c>
      <c r="BC129" s="56">
        <f t="shared" si="85"/>
        <v>1.5863793426591211</v>
      </c>
    </row>
    <row r="130" spans="1:55" ht="15.5" x14ac:dyDescent="0.35">
      <c r="A130" s="2">
        <v>42846</v>
      </c>
      <c r="B130" s="56">
        <f t="shared" si="71"/>
        <v>11.282119874821955</v>
      </c>
      <c r="C130" s="56">
        <f t="shared" si="71"/>
        <v>14.209521105186068</v>
      </c>
      <c r="D130" s="56">
        <f t="shared" si="86"/>
        <v>11.269209696766861</v>
      </c>
      <c r="E130" s="56">
        <f t="shared" si="86"/>
        <v>14.275639968525262</v>
      </c>
      <c r="F130" s="56">
        <f t="shared" si="72"/>
        <v>11.114402564759697</v>
      </c>
      <c r="G130" s="56">
        <f t="shared" si="72"/>
        <v>13.615929898266419</v>
      </c>
      <c r="H130" s="56"/>
      <c r="I130" s="56">
        <f t="shared" si="73"/>
        <v>11.191779552493031</v>
      </c>
      <c r="J130" s="56">
        <f t="shared" si="73"/>
        <v>13.484385516826585</v>
      </c>
      <c r="K130" s="56">
        <f t="shared" si="87"/>
        <v>11.198230036988475</v>
      </c>
      <c r="L130" s="56">
        <f t="shared" si="87"/>
        <v>13.945372974033564</v>
      </c>
      <c r="M130" s="56">
        <f t="shared" si="74"/>
        <v>11.08217788952502</v>
      </c>
      <c r="N130" s="56">
        <f t="shared" si="74"/>
        <v>13.025039828082971</v>
      </c>
      <c r="O130" s="56"/>
      <c r="P130" s="56">
        <f t="shared" si="75"/>
        <v>10.786148122231284</v>
      </c>
      <c r="Q130" s="56">
        <f t="shared" si="75"/>
        <v>11.884051829285431</v>
      </c>
      <c r="R130" s="56">
        <f t="shared" si="88"/>
        <v>10.606345585129635</v>
      </c>
      <c r="S130" s="56">
        <f t="shared" si="88"/>
        <v>14.143434900645683</v>
      </c>
      <c r="T130" s="56">
        <f t="shared" si="76"/>
        <v>9.8009650508972186</v>
      </c>
      <c r="U130" s="56">
        <f t="shared" si="76"/>
        <v>13.879418142424274</v>
      </c>
      <c r="V130" s="56"/>
      <c r="W130" s="56">
        <f t="shared" si="77"/>
        <v>1.4712253099619421</v>
      </c>
      <c r="X130" s="10"/>
      <c r="Y130" s="5"/>
      <c r="Z130" s="5"/>
      <c r="AE130" s="1"/>
      <c r="AF130" s="2">
        <v>42846</v>
      </c>
      <c r="AG130" s="50">
        <f t="shared" si="78"/>
        <v>11.22191071211617</v>
      </c>
      <c r="AH130" s="50">
        <f t="shared" si="79"/>
        <v>14.033696990659251</v>
      </c>
      <c r="AI130" s="50">
        <f t="shared" si="80"/>
        <v>11.15739582633551</v>
      </c>
      <c r="AJ130" s="42">
        <f t="shared" si="81"/>
        <v>13.48493277298104</v>
      </c>
      <c r="AK130" s="42">
        <f t="shared" si="82"/>
        <v>10.397819586086046</v>
      </c>
      <c r="AL130" s="42">
        <f t="shared" si="83"/>
        <v>13.302301624118462</v>
      </c>
      <c r="AM130" s="56">
        <f t="shared" ref="AM130" si="95">0.008+(-0.1692*((AM87/53065)^(1/2)))+25.3851*(AM87/53065)+(14.0941*((AM87/53065)^(3/2)))+(-7.0261*(AM87/53065)^2)+(2.7081*((AM87/53065)^(5/2)))+((10/1.162)*((0.0005+(-0.0056*((AM87/53065)^(1/2)))+(-0.0066*(AM87/53065))+(-0.0375*((AM87/53065)^(3/2)))+(0.0636*((AM87/53065)^2))+(-0.0144*((AM87/53065)^(5/2))))))</f>
        <v>1.4712253099619421</v>
      </c>
      <c r="BA130" s="7">
        <f t="shared" si="60"/>
        <v>10.925708708179243</v>
      </c>
      <c r="BB130" s="7">
        <f t="shared" si="61"/>
        <v>13.606977129252916</v>
      </c>
      <c r="BC130" s="56">
        <f t="shared" si="85"/>
        <v>1.4712253099619421</v>
      </c>
    </row>
    <row r="131" spans="1:55" ht="15.5" x14ac:dyDescent="0.35">
      <c r="A131" s="2">
        <v>42853</v>
      </c>
      <c r="B131" s="56">
        <f t="shared" si="71"/>
        <v>5.2770995250763946</v>
      </c>
      <c r="C131" s="56">
        <f t="shared" si="71"/>
        <v>12.306597674976677</v>
      </c>
      <c r="D131" s="56">
        <f t="shared" si="86"/>
        <v>5.5607770999766579</v>
      </c>
      <c r="E131" s="56">
        <f t="shared" si="86"/>
        <v>13.615929898266419</v>
      </c>
      <c r="F131" s="56">
        <f t="shared" si="72"/>
        <v>6.1440202534585113</v>
      </c>
      <c r="G131" s="56">
        <f t="shared" si="72"/>
        <v>13.15611228932242</v>
      </c>
      <c r="H131" s="56"/>
      <c r="I131" s="56">
        <f t="shared" si="73"/>
        <v>4.7255757382887662</v>
      </c>
      <c r="J131" s="56">
        <f t="shared" si="73"/>
        <v>11.107956888165726</v>
      </c>
      <c r="K131" s="56">
        <f t="shared" si="87"/>
        <v>4.2621060431200952</v>
      </c>
      <c r="L131" s="56">
        <f t="shared" si="87"/>
        <v>12.502120570828401</v>
      </c>
      <c r="M131" s="56">
        <f t="shared" si="74"/>
        <v>4.2798584640132677</v>
      </c>
      <c r="N131" s="56">
        <f t="shared" si="74"/>
        <v>12.371737007251571</v>
      </c>
      <c r="O131" s="56"/>
      <c r="P131" s="56">
        <f t="shared" si="75"/>
        <v>3.9612478298019482</v>
      </c>
      <c r="Q131" s="56">
        <f t="shared" si="75"/>
        <v>12.959554686202534</v>
      </c>
      <c r="R131" s="56">
        <f t="shared" si="88"/>
        <v>3.9847798634224718</v>
      </c>
      <c r="S131" s="56">
        <f t="shared" si="88"/>
        <v>13.287320417206432</v>
      </c>
      <c r="T131" s="56">
        <f t="shared" si="76"/>
        <v>3.9259708025791356</v>
      </c>
      <c r="U131" s="56">
        <f t="shared" si="76"/>
        <v>12.763304661990315</v>
      </c>
      <c r="V131" s="56"/>
      <c r="W131" s="56">
        <f t="shared" si="77"/>
        <v>1.4766954736152649</v>
      </c>
      <c r="X131" s="10"/>
      <c r="Y131" s="5"/>
      <c r="Z131" s="5"/>
      <c r="AE131" s="1"/>
      <c r="AF131" s="2">
        <v>42853</v>
      </c>
      <c r="AG131" s="50">
        <f t="shared" si="78"/>
        <v>5.6606322928371879</v>
      </c>
      <c r="AH131" s="50">
        <f t="shared" si="79"/>
        <v>13.026213287521839</v>
      </c>
      <c r="AI131" s="50">
        <f t="shared" si="80"/>
        <v>4.4225134151407097</v>
      </c>
      <c r="AJ131" s="42">
        <f t="shared" si="81"/>
        <v>11.993938155415231</v>
      </c>
      <c r="AK131" s="42">
        <f t="shared" si="82"/>
        <v>3.9573328319345187</v>
      </c>
      <c r="AL131" s="42">
        <f t="shared" si="83"/>
        <v>13.003393255133096</v>
      </c>
      <c r="AM131" s="56">
        <f t="shared" ref="AM131" si="96">0.008+(-0.1692*((AM88/53065)^(1/2)))+25.3851*(AM88/53065)+(14.0941*((AM88/53065)^(3/2)))+(-7.0261*(AM88/53065)^2)+(2.7081*((AM88/53065)^(5/2)))+((10/1.162)*((0.0005+(-0.0056*((AM88/53065)^(1/2)))+(-0.0066*(AM88/53065))+(-0.0375*((AM88/53065)^(3/2)))+(0.0636*((AM88/53065)^2))+(-0.0144*((AM88/53065)^(5/2))))))</f>
        <v>1.4766954736152649</v>
      </c>
      <c r="BA131" s="7">
        <f t="shared" si="60"/>
        <v>4.6801595133041385</v>
      </c>
      <c r="BB131" s="7">
        <f t="shared" si="61"/>
        <v>12.674514899356721</v>
      </c>
      <c r="BC131" s="56">
        <f t="shared" si="85"/>
        <v>1.4766954736152649</v>
      </c>
    </row>
    <row r="132" spans="1:55" ht="15.5" x14ac:dyDescent="0.35">
      <c r="A132" s="2">
        <v>42860</v>
      </c>
      <c r="B132" s="56">
        <f t="shared" si="71"/>
        <v>10.247637638112232</v>
      </c>
      <c r="C132" s="56">
        <f t="shared" si="71"/>
        <v>14.275639968525262</v>
      </c>
      <c r="D132" s="56">
        <f t="shared" si="86"/>
        <v>10.196492322128387</v>
      </c>
      <c r="E132" s="56">
        <f t="shared" si="86"/>
        <v>14.407975382750578</v>
      </c>
      <c r="F132" s="56">
        <f t="shared" si="72"/>
        <v>10.388414956405247</v>
      </c>
      <c r="G132" s="56">
        <f t="shared" si="72"/>
        <v>14.407975382750578</v>
      </c>
      <c r="H132" s="56"/>
      <c r="I132" s="56">
        <f t="shared" si="73"/>
        <v>9.8646573206063248</v>
      </c>
      <c r="J132" s="56">
        <f t="shared" si="73"/>
        <v>14.341791418280529</v>
      </c>
      <c r="K132" s="56">
        <f t="shared" si="87"/>
        <v>9.7882313625111461</v>
      </c>
      <c r="L132" s="56">
        <f t="shared" si="87"/>
        <v>14.739380463009526</v>
      </c>
      <c r="M132" s="56">
        <f t="shared" si="74"/>
        <v>9.8519156935450489</v>
      </c>
      <c r="N132" s="56">
        <f t="shared" si="74"/>
        <v>14.474191790907815</v>
      </c>
      <c r="O132" s="56"/>
      <c r="P132" s="56">
        <f t="shared" si="75"/>
        <v>8.7181082023599696</v>
      </c>
      <c r="Q132" s="56">
        <f t="shared" si="75"/>
        <v>13.747607649493837</v>
      </c>
      <c r="R132" s="56">
        <f t="shared" si="88"/>
        <v>8.3724245753551862</v>
      </c>
      <c r="S132" s="56">
        <f t="shared" si="88"/>
        <v>14.077381427976219</v>
      </c>
      <c r="T132" s="56">
        <f t="shared" si="76"/>
        <v>7.9343753441848204</v>
      </c>
      <c r="U132" s="56">
        <f t="shared" si="76"/>
        <v>14.739380463009526</v>
      </c>
      <c r="V132" s="56"/>
      <c r="W132" s="56">
        <f t="shared" si="77"/>
        <v>1.4384330286124396</v>
      </c>
      <c r="X132" s="10"/>
      <c r="Y132" s="5"/>
      <c r="Z132" s="5"/>
      <c r="AE132" s="1"/>
      <c r="AF132" s="2">
        <v>42860</v>
      </c>
      <c r="AG132" s="50">
        <f t="shared" si="78"/>
        <v>10.277514972215288</v>
      </c>
      <c r="AH132" s="50">
        <f t="shared" si="79"/>
        <v>14.363863578008806</v>
      </c>
      <c r="AI132" s="50">
        <f t="shared" si="80"/>
        <v>9.8349347922208405</v>
      </c>
      <c r="AJ132" s="42">
        <f t="shared" si="81"/>
        <v>14.51845455739929</v>
      </c>
      <c r="AK132" s="42">
        <f t="shared" si="82"/>
        <v>8.3416360406333254</v>
      </c>
      <c r="AL132" s="42">
        <f t="shared" si="83"/>
        <v>14.188123180159861</v>
      </c>
      <c r="AM132" s="56">
        <f t="shared" ref="AM132" si="97">0.008+(-0.1692*((AM89/53065)^(1/2)))+25.3851*(AM89/53065)+(14.0941*((AM89/53065)^(3/2)))+(-7.0261*(AM89/53065)^2)+(2.7081*((AM89/53065)^(5/2)))+((10/1.162)*((0.0005+(-0.0056*((AM89/53065)^(1/2)))+(-0.0066*(AM89/53065))+(-0.0375*((AM89/53065)^(3/2)))+(0.0636*((AM89/53065)^2))+(-0.0144*((AM89/53065)^(5/2))))))</f>
        <v>1.4384330286124396</v>
      </c>
      <c r="BA132" s="7">
        <f t="shared" si="60"/>
        <v>9.4846952683564858</v>
      </c>
      <c r="BB132" s="7">
        <f t="shared" si="61"/>
        <v>14.356813771855984</v>
      </c>
      <c r="BC132" s="56">
        <f t="shared" si="85"/>
        <v>1.4384330286124396</v>
      </c>
    </row>
    <row r="133" spans="1:55" ht="15.5" x14ac:dyDescent="0.35">
      <c r="A133" s="2">
        <v>42867</v>
      </c>
      <c r="B133" s="56">
        <f t="shared" si="71"/>
        <v>11.327317069340744</v>
      </c>
      <c r="C133" s="56">
        <f t="shared" si="71"/>
        <v>17.351280500617243</v>
      </c>
      <c r="D133" s="56">
        <f t="shared" si="86"/>
        <v>11.346692798906375</v>
      </c>
      <c r="E133" s="56">
        <f t="shared" si="86"/>
        <v>17.013816585669758</v>
      </c>
      <c r="F133" s="56">
        <f t="shared" si="72"/>
        <v>11.366071826067953</v>
      </c>
      <c r="G133" s="56">
        <f t="shared" si="72"/>
        <v>17.824983903520103</v>
      </c>
      <c r="H133" s="56"/>
      <c r="I133" s="56">
        <f t="shared" si="73"/>
        <v>11.981429385232797</v>
      </c>
      <c r="J133" s="56">
        <f t="shared" si="73"/>
        <v>17.08124930902429</v>
      </c>
      <c r="K133" s="56">
        <f t="shared" si="87"/>
        <v>12.046392264768809</v>
      </c>
      <c r="L133" s="56">
        <f t="shared" si="87"/>
        <v>16.40828389026623</v>
      </c>
      <c r="M133" s="56">
        <f t="shared" si="74"/>
        <v>12.111390633183513</v>
      </c>
      <c r="N133" s="56">
        <f t="shared" si="74"/>
        <v>16.744387469825533</v>
      </c>
      <c r="O133" s="56"/>
      <c r="P133" s="56">
        <f t="shared" si="75"/>
        <v>13.352975145522329</v>
      </c>
      <c r="Q133" s="56">
        <f t="shared" si="75"/>
        <v>16.274056231169602</v>
      </c>
      <c r="R133" s="56">
        <f t="shared" si="88"/>
        <v>12.502120570828401</v>
      </c>
      <c r="S133" s="56">
        <f t="shared" si="88"/>
        <v>16.40828389026623</v>
      </c>
      <c r="T133" s="56">
        <f t="shared" si="76"/>
        <v>12.176424390293722</v>
      </c>
      <c r="U133" s="56">
        <f t="shared" si="76"/>
        <v>17.689491575391603</v>
      </c>
      <c r="V133" s="56"/>
      <c r="W133" s="56">
        <f t="shared" si="77"/>
        <v>1.4002383107789633</v>
      </c>
      <c r="X133" s="10"/>
      <c r="Y133" s="5"/>
      <c r="Z133" s="5"/>
      <c r="AE133" s="1"/>
      <c r="AF133" s="2">
        <v>42867</v>
      </c>
      <c r="AG133" s="50">
        <f t="shared" si="78"/>
        <v>11.346693898105023</v>
      </c>
      <c r="AH133" s="50">
        <f t="shared" si="79"/>
        <v>17.396693663269033</v>
      </c>
      <c r="AI133" s="50">
        <f t="shared" si="80"/>
        <v>12.046404094395038</v>
      </c>
      <c r="AJ133" s="42">
        <f t="shared" si="81"/>
        <v>16.744640223038683</v>
      </c>
      <c r="AK133" s="42">
        <f t="shared" si="82"/>
        <v>12.677173368881483</v>
      </c>
      <c r="AL133" s="42">
        <f t="shared" si="83"/>
        <v>16.790610565609143</v>
      </c>
      <c r="AM133" s="56">
        <f t="shared" ref="AM133" si="98">0.008+(-0.1692*((AM90/53065)^(1/2)))+25.3851*(AM90/53065)+(14.0941*((AM90/53065)^(3/2)))+(-7.0261*(AM90/53065)^2)+(2.7081*((AM90/53065)^(5/2)))+((10/1.162)*((0.0005+(-0.0056*((AM90/53065)^(1/2)))+(-0.0066*(AM90/53065))+(-0.0375*((AM90/53065)^(3/2)))+(0.0636*((AM90/53065)^2))+(-0.0144*((AM90/53065)^(5/2))))))</f>
        <v>1.4002383107789633</v>
      </c>
      <c r="BA133" s="7">
        <f t="shared" si="60"/>
        <v>12.023423787127182</v>
      </c>
      <c r="BB133" s="7">
        <f t="shared" si="61"/>
        <v>16.977314817305619</v>
      </c>
      <c r="BC133" s="56">
        <f t="shared" si="85"/>
        <v>1.4002383107789633</v>
      </c>
    </row>
    <row r="134" spans="1:55" ht="15.5" x14ac:dyDescent="0.35">
      <c r="A134" s="13">
        <v>42874</v>
      </c>
      <c r="B134" s="56">
        <f t="shared" si="71"/>
        <v>11.644198451538493</v>
      </c>
      <c r="C134" s="56">
        <f t="shared" si="71"/>
        <v>17.08124930902429</v>
      </c>
      <c r="D134" s="56">
        <f t="shared" si="86"/>
        <v>11.663627666881199</v>
      </c>
      <c r="E134" s="56">
        <f t="shared" si="86"/>
        <v>16.549354623383433</v>
      </c>
      <c r="F134" s="56">
        <f t="shared" si="72"/>
        <v>11.611823654132037</v>
      </c>
      <c r="G134" s="56">
        <f t="shared" si="72"/>
        <v>16.274056231169602</v>
      </c>
      <c r="H134" s="56"/>
      <c r="I134" s="56">
        <f t="shared" si="73"/>
        <v>11.74785844191307</v>
      </c>
      <c r="J134" s="56">
        <f t="shared" si="73"/>
        <v>16.206988424778494</v>
      </c>
      <c r="K134" s="56">
        <f t="shared" si="87"/>
        <v>11.819178117095259</v>
      </c>
      <c r="L134" s="56">
        <f t="shared" si="87"/>
        <v>15.471284832399355</v>
      </c>
      <c r="M134" s="56">
        <f t="shared" si="74"/>
        <v>11.767304952727942</v>
      </c>
      <c r="N134" s="56">
        <f t="shared" si="74"/>
        <v>16.274056231169602</v>
      </c>
      <c r="O134" s="56"/>
      <c r="P134" s="56">
        <f t="shared" si="75"/>
        <v>11.398377524408948</v>
      </c>
      <c r="Q134" s="56">
        <f t="shared" si="75"/>
        <v>16.139951373521825</v>
      </c>
      <c r="R134" s="56">
        <f t="shared" si="88"/>
        <v>11.819178117095259</v>
      </c>
      <c r="S134" s="56">
        <f t="shared" si="88"/>
        <v>16.139951373521825</v>
      </c>
      <c r="T134" s="56">
        <f t="shared" si="76"/>
        <v>11.650674495459375</v>
      </c>
      <c r="U134" s="56">
        <f t="shared" si="76"/>
        <v>16.206988424778494</v>
      </c>
      <c r="V134" s="56"/>
      <c r="W134" s="56">
        <f t="shared" si="77"/>
        <v>1.4384330286124396</v>
      </c>
      <c r="X134" s="10"/>
      <c r="Y134" s="5"/>
      <c r="Z134" s="5"/>
      <c r="AE134" s="1"/>
      <c r="AF134" s="2">
        <v>42874</v>
      </c>
      <c r="AG134" s="50">
        <f t="shared" si="78"/>
        <v>11.639883257517242</v>
      </c>
      <c r="AH134" s="50">
        <f t="shared" si="79"/>
        <v>16.634886721192441</v>
      </c>
      <c r="AI134" s="50">
        <f t="shared" si="80"/>
        <v>11.778113837245423</v>
      </c>
      <c r="AJ134" s="42">
        <f t="shared" si="81"/>
        <v>15.984109829449151</v>
      </c>
      <c r="AK134" s="42">
        <f t="shared" si="82"/>
        <v>11.622743378987861</v>
      </c>
      <c r="AL134" s="42">
        <f t="shared" si="83"/>
        <v>16.162297057274049</v>
      </c>
      <c r="AM134" s="56">
        <f t="shared" ref="AM134" si="99">0.008+(-0.1692*((AM91/53065)^(1/2)))+25.3851*(AM91/53065)+(14.0941*((AM91/53065)^(3/2)))+(-7.0261*(AM91/53065)^2)+(2.7081*((AM91/53065)^(5/2)))+((10/1.162)*((0.0005+(-0.0056*((AM91/53065)^(1/2)))+(-0.0066*(AM91/53065))+(-0.0375*((AM91/53065)^(3/2)))+(0.0636*((AM91/53065)^2))+(-0.0144*((AM91/53065)^(5/2))))))</f>
        <v>1.4384330286124396</v>
      </c>
      <c r="BA134" s="7">
        <f t="shared" si="60"/>
        <v>11.680246824583511</v>
      </c>
      <c r="BB134" s="7">
        <f t="shared" si="61"/>
        <v>16.260431202638543</v>
      </c>
      <c r="BC134" s="56">
        <f t="shared" si="85"/>
        <v>1.4384330286124396</v>
      </c>
    </row>
    <row r="135" spans="1:55" ht="15.5" x14ac:dyDescent="0.35">
      <c r="A135" s="13">
        <v>42879</v>
      </c>
      <c r="B135" s="56">
        <f t="shared" si="71"/>
        <v>9.7945980078693058</v>
      </c>
      <c r="C135" s="56">
        <f t="shared" si="71"/>
        <v>14.011360760947166</v>
      </c>
      <c r="D135" s="56">
        <f t="shared" si="86"/>
        <v>10.632013476700664</v>
      </c>
      <c r="E135" s="56">
        <f t="shared" si="86"/>
        <v>14.275639968525262</v>
      </c>
      <c r="F135" s="56">
        <f t="shared" si="72"/>
        <v>10.062354407140255</v>
      </c>
      <c r="G135" s="56">
        <f t="shared" si="72"/>
        <v>13.747607649493837</v>
      </c>
      <c r="H135" s="56"/>
      <c r="I135" s="56">
        <f t="shared" si="73"/>
        <v>9.7309494738812443</v>
      </c>
      <c r="J135" s="56">
        <f t="shared" si="73"/>
        <v>13.747607649493837</v>
      </c>
      <c r="K135" s="56">
        <f t="shared" si="87"/>
        <v>9.7564041059478868</v>
      </c>
      <c r="L135" s="56">
        <f t="shared" si="87"/>
        <v>14.209521105186068</v>
      </c>
      <c r="M135" s="56">
        <f t="shared" si="74"/>
        <v>9.7309494738812443</v>
      </c>
      <c r="N135" s="56">
        <f t="shared" si="74"/>
        <v>14.011360760947166</v>
      </c>
      <c r="O135" s="56"/>
      <c r="P135" s="56">
        <f t="shared" si="75"/>
        <v>9.2295416726683186</v>
      </c>
      <c r="Q135" s="56">
        <f t="shared" si="75"/>
        <v>14.077381427976219</v>
      </c>
      <c r="R135" s="56">
        <f t="shared" si="88"/>
        <v>9.2042215858294245</v>
      </c>
      <c r="S135" s="56">
        <f t="shared" si="88"/>
        <v>13.352975145522329</v>
      </c>
      <c r="T135" s="56">
        <f t="shared" si="76"/>
        <v>9.3879409856401654</v>
      </c>
      <c r="U135" s="56">
        <f t="shared" si="76"/>
        <v>13.899201127097454</v>
      </c>
      <c r="V135" s="56"/>
      <c r="W135" s="56">
        <f t="shared" si="77"/>
        <v>1.4766954736152649</v>
      </c>
      <c r="X135" s="10"/>
      <c r="Y135" s="5"/>
      <c r="Z135" s="5"/>
      <c r="AE135" s="1"/>
      <c r="AF135" s="2">
        <v>42879</v>
      </c>
      <c r="AG135" s="50">
        <f t="shared" si="78"/>
        <v>10.162988630570075</v>
      </c>
      <c r="AH135" s="50">
        <f t="shared" si="79"/>
        <v>14.01153612632209</v>
      </c>
      <c r="AI135" s="50">
        <f t="shared" si="80"/>
        <v>9.7394343512367936</v>
      </c>
      <c r="AJ135" s="42">
        <f t="shared" si="81"/>
        <v>13.989496505209024</v>
      </c>
      <c r="AK135" s="42">
        <f t="shared" si="82"/>
        <v>9.2739014147126344</v>
      </c>
      <c r="AL135" s="42">
        <f t="shared" si="83"/>
        <v>13.776519233532001</v>
      </c>
      <c r="AM135" s="56">
        <f t="shared" ref="AM135" si="100">0.008+(-0.1692*((AM92/53065)^(1/2)))+25.3851*(AM92/53065)+(14.0941*((AM92/53065)^(3/2)))+(-7.0261*(AM92/53065)^2)+(2.7081*((AM92/53065)^(5/2)))+((10/1.162)*((0.0005+(-0.0056*((AM92/53065)^(1/2)))+(-0.0066*(AM92/53065))+(-0.0375*((AM92/53065)^(3/2)))+(0.0636*((AM92/53065)^2))+(-0.0144*((AM92/53065)^(5/2))))))</f>
        <v>1.4766954736152649</v>
      </c>
      <c r="BA135" s="7">
        <f>AVERAGE(P135,R135,T135,I135,K135,M135,B135,D135,F135)</f>
        <v>9.7254414655065009</v>
      </c>
      <c r="BB135" s="7">
        <f>AVERAGE(Q135,S135,U135,J135,L135,N135,C135,E135,G135)</f>
        <v>13.925850621687706</v>
      </c>
      <c r="BC135" s="56">
        <f t="shared" si="85"/>
        <v>1.4766954736152649</v>
      </c>
    </row>
    <row r="136" spans="1:55" ht="15.5" x14ac:dyDescent="0.35">
      <c r="A136" s="13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10"/>
      <c r="Y136" s="5"/>
      <c r="Z136" s="5"/>
      <c r="AE136" s="1"/>
      <c r="AF136" s="2"/>
      <c r="AG136" s="50"/>
      <c r="AH136" s="50"/>
      <c r="AI136" s="50"/>
      <c r="AJ136" s="42"/>
      <c r="AK136" s="42"/>
      <c r="AL136" s="42"/>
      <c r="AM136" s="56"/>
      <c r="BA136" s="7"/>
      <c r="BB136" s="7"/>
      <c r="BC136" s="56"/>
    </row>
    <row r="137" spans="1:55" ht="15.5" x14ac:dyDescent="0.35">
      <c r="A137" s="13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10"/>
      <c r="Y137" s="5"/>
      <c r="Z137" s="5"/>
      <c r="AE137" s="1"/>
      <c r="AG137" s="50"/>
      <c r="AH137" s="50"/>
      <c r="AI137" s="50"/>
      <c r="AJ137" s="42"/>
      <c r="AK137" s="42"/>
      <c r="AL137" s="42"/>
      <c r="AM137" s="56"/>
      <c r="BA137" s="7"/>
      <c r="BB137" s="7"/>
      <c r="BC137" s="56"/>
    </row>
    <row r="138" spans="1:55" ht="15.5" x14ac:dyDescent="0.35">
      <c r="A138" s="13">
        <v>43171</v>
      </c>
      <c r="B138" s="56">
        <f t="shared" ref="B138:G138" si="101">0.008+(-0.1692*((B95/53065)^(1/2)))+25.3851*(B95/53065)+(14.0941*((B95/53065)^(3/2)))+(-7.0261*(B95/53065)^2)+(2.7081*((B95/53065)^(5/2)))+((10/1.162)*((0.0005+(-0.0056*((B95/53065)^(1/2)))+(-0.0066*(B95/53065))+(-0.0375*((B95/53065)^(3/2)))+(0.0636*((B95/53065)^2))+(-0.0144*((B95/53065)^(5/2))))))</f>
        <v>1.1564088099661729</v>
      </c>
      <c r="C138" s="56">
        <f t="shared" si="101"/>
        <v>1.1833482043614887</v>
      </c>
      <c r="D138" s="56">
        <f t="shared" si="101"/>
        <v>1.1510257337864527</v>
      </c>
      <c r="E138" s="56">
        <f t="shared" si="101"/>
        <v>1.1725676645454697</v>
      </c>
      <c r="F138" s="56">
        <f t="shared" si="101"/>
        <v>1.1187613378701911</v>
      </c>
      <c r="G138" s="56">
        <f t="shared" si="101"/>
        <v>1.1348862048416781</v>
      </c>
      <c r="H138" s="56"/>
      <c r="I138" s="56">
        <f t="shared" ref="I138:N138" si="102">0.008+(-0.1692*((I95/53065)^(1/2)))+25.3851*(I95/53065)+(14.0941*((I95/53065)^(3/2)))+(-7.0261*(I95/53065)^2)+(2.7081*((I95/53065)^(5/2)))+((10/1.162)*((0.0005+(-0.0056*((I95/53065)^(1/2)))+(-0.0066*(I95/53065))+(-0.0375*((I95/53065)^(3/2)))+(0.0636*((I95/53065)^2))+(-0.0144*((I95/53065)^(5/2))))))</f>
        <v>1.0651195983878281</v>
      </c>
      <c r="J138" s="56">
        <f t="shared" si="102"/>
        <v>1.1187613378701911</v>
      </c>
      <c r="K138" s="56">
        <f t="shared" si="102"/>
        <v>1.1026512806127478</v>
      </c>
      <c r="L138" s="56">
        <f t="shared" si="102"/>
        <v>1.0865561845268583</v>
      </c>
      <c r="M138" s="56">
        <f t="shared" si="102"/>
        <v>1.0223285798847783</v>
      </c>
      <c r="N138" s="56">
        <f t="shared" si="102"/>
        <v>1.1241346553744735</v>
      </c>
      <c r="O138" s="56"/>
      <c r="P138" s="56">
        <f t="shared" ref="P138:U138" si="103">0.008+(-0.1692*((P95/53065)^(1/2)))+25.3851*(P95/53065)+(14.0941*((P95/53065)^(3/2)))+(-7.0261*(P95/53065)^2)+(2.7081*((P95/53065)^(5/2)))+((10/1.162)*((0.0005+(-0.0056*((P95/53065)^(1/2)))+(-0.0066*(P95/53065))+(-0.0375*((P95/53065)^(3/2)))+(0.0636*((P95/53065)^2))+(-0.0144*((P95/53065)^(5/2))))))</f>
        <v>1.0383622368744232</v>
      </c>
      <c r="Q138" s="56">
        <f t="shared" si="103"/>
        <v>1.0383622368744232</v>
      </c>
      <c r="R138" s="56">
        <f t="shared" si="103"/>
        <v>1.0437102658869726</v>
      </c>
      <c r="S138" s="56">
        <f t="shared" si="103"/>
        <v>1.0383622368744232</v>
      </c>
      <c r="T138" s="56">
        <f t="shared" si="103"/>
        <v>1.0383622368744232</v>
      </c>
      <c r="U138" s="56">
        <f t="shared" si="103"/>
        <v>1.0865561845268583</v>
      </c>
      <c r="V138" s="56"/>
      <c r="W138" s="56"/>
      <c r="X138" s="10"/>
      <c r="Y138" s="5"/>
      <c r="Z138" s="5"/>
      <c r="AE138" s="1"/>
      <c r="AF138" s="13">
        <v>43171</v>
      </c>
      <c r="AG138" s="50">
        <f t="shared" ref="AG138:AG149" si="104">AVERAGE(B138,D138,F138)</f>
        <v>1.1420652938742724</v>
      </c>
      <c r="AH138" s="50">
        <f t="shared" ref="AH138:AH149" si="105">AVERAGE(C138,E138,G138)</f>
        <v>1.1636006912495456</v>
      </c>
      <c r="AI138" s="50">
        <f>AVERAGE(I138,K138,M138)</f>
        <v>1.063366486295118</v>
      </c>
      <c r="AJ138" s="42">
        <f>AVERAGE(J138,L138,N138)</f>
        <v>1.1098173925905075</v>
      </c>
      <c r="AK138" s="42">
        <f t="shared" ref="AK138:AK149" si="106">AVERAGE(P138,R138,T138)</f>
        <v>1.0401449132119396</v>
      </c>
      <c r="AL138" s="42">
        <f t="shared" ref="AL138:AL149" si="107">AVERAGE(Q138,S138,U138)</f>
        <v>1.0544268860919015</v>
      </c>
      <c r="AM138" s="56"/>
      <c r="BA138" s="7">
        <f t="shared" ref="BA138:BA149" si="108">AVERAGE(P138,R138,T138,I138,K138,M138,B138,D138,F138)</f>
        <v>1.0818588977937766</v>
      </c>
      <c r="BB138" s="7">
        <f t="shared" ref="BB138:BB149" si="109">AVERAGE(Q138,S138,U138,J138,L138,N138,C138,E138,G138)</f>
        <v>1.1092816566439849</v>
      </c>
      <c r="BC138" s="56"/>
    </row>
    <row r="139" spans="1:55" ht="15.5" x14ac:dyDescent="0.35">
      <c r="A139" s="13">
        <v>43178</v>
      </c>
      <c r="B139" s="56">
        <f t="shared" ref="B139:G139" si="110">0.008+(-0.1692*((B96/53065)^(1/2)))+25.3851*(B96/53065)+(14.0941*((B96/53065)^(3/2)))+(-7.0261*(B96/53065)^2)+(2.7081*((B96/53065)^(5/2)))+((10/1.162)*((0.0005+(-0.0056*((B96/53065)^(1/2)))+(-0.0066*(B96/53065))+(-0.0375*((B96/53065)^(3/2)))+(0.0636*((B96/53065)^2))+(-0.0144*((B96/53065)^(5/2))))))</f>
        <v>1.291495287125777</v>
      </c>
      <c r="C139" s="56">
        <f t="shared" si="110"/>
        <v>1.3023433428350017</v>
      </c>
      <c r="D139" s="56">
        <f t="shared" si="110"/>
        <v>1.258986992004373</v>
      </c>
      <c r="E139" s="56">
        <f t="shared" si="110"/>
        <v>1.2806531867304272</v>
      </c>
      <c r="F139" s="56">
        <f t="shared" si="110"/>
        <v>1.291495287125777</v>
      </c>
      <c r="G139" s="56">
        <f t="shared" si="110"/>
        <v>1.3023433428350017</v>
      </c>
      <c r="H139" s="56"/>
      <c r="I139" s="56">
        <f t="shared" ref="I139:N139" si="111">0.008+(-0.1692*((I96/53065)^(1/2)))+25.3851*(I96/53065)+(14.0941*((I96/53065)^(3/2)))+(-7.0261*(I96/53065)^2)+(2.7081*((I96/53065)^(5/2)))+((10/1.162)*((0.0005+(-0.0056*((I96/53065)^(1/2)))+(-0.0066*(I96/53065))+(-0.0375*((I96/53065)^(3/2)))+(0.0636*((I96/53065)^2))+(-0.0144*((I96/53065)^(5/2))))))</f>
        <v>1.1671797805367394</v>
      </c>
      <c r="J139" s="56">
        <f t="shared" si="111"/>
        <v>1.1833482043614887</v>
      </c>
      <c r="K139" s="56">
        <f t="shared" si="111"/>
        <v>1.1617934939535119</v>
      </c>
      <c r="L139" s="56">
        <f t="shared" si="111"/>
        <v>1.1671797805367394</v>
      </c>
      <c r="M139" s="56">
        <f t="shared" si="111"/>
        <v>1.1671797805367394</v>
      </c>
      <c r="N139" s="56">
        <f t="shared" si="111"/>
        <v>1.1671797805367394</v>
      </c>
      <c r="O139" s="56"/>
      <c r="P139" s="56">
        <f t="shared" ref="P139:U139" si="112">0.008+(-0.1692*((P96/53065)^(1/2)))+25.3851*(P96/53065)+(14.0941*((P96/53065)^(3/2)))+(-7.0261*(P96/53065)^2)+(2.7081*((P96/53065)^(5/2)))+((10/1.162)*((0.0005+(-0.0056*((P96/53065)^(1/2)))+(-0.0066*(P96/53065))+(-0.0375*((P96/53065)^(3/2)))+(0.0636*((P96/53065)^2))+(-0.0144*((P96/53065)^(5/2))))))</f>
        <v>1.0437102658869726</v>
      </c>
      <c r="Q139" s="56">
        <f t="shared" si="112"/>
        <v>1.0437102658869726</v>
      </c>
      <c r="R139" s="56">
        <f t="shared" si="112"/>
        <v>0.98071536569515305</v>
      </c>
      <c r="S139" s="56">
        <f t="shared" si="112"/>
        <v>1.0544115012031643</v>
      </c>
      <c r="T139" s="56">
        <f t="shared" si="112"/>
        <v>0.99777434813488441</v>
      </c>
      <c r="U139" s="56">
        <f t="shared" si="112"/>
        <v>1.0544115012031643</v>
      </c>
      <c r="V139" s="56"/>
      <c r="W139" s="56"/>
      <c r="X139" s="10"/>
      <c r="Y139" s="5"/>
      <c r="Z139" s="5"/>
      <c r="AE139" s="1"/>
      <c r="AF139" s="13">
        <v>43178</v>
      </c>
      <c r="AG139" s="50">
        <f t="shared" si="104"/>
        <v>1.2806591887519756</v>
      </c>
      <c r="AH139" s="50">
        <f t="shared" si="105"/>
        <v>1.2951132908001435</v>
      </c>
      <c r="AI139" s="50">
        <f t="shared" ref="AI139:AI149" si="113">AVERAGE(I139,K139,M139)</f>
        <v>1.1653843516756635</v>
      </c>
      <c r="AJ139" s="42">
        <f t="shared" ref="AJ139:AJ149" si="114">AVERAGE(J139,L139,N139)</f>
        <v>1.1725692551449891</v>
      </c>
      <c r="AK139" s="42">
        <f t="shared" si="106"/>
        <v>1.0073999932390034</v>
      </c>
      <c r="AL139" s="42">
        <f t="shared" si="107"/>
        <v>1.0508444227644338</v>
      </c>
      <c r="AM139" s="56"/>
      <c r="BA139" s="7">
        <f t="shared" si="108"/>
        <v>1.1511478445555474</v>
      </c>
      <c r="BB139" s="7">
        <f t="shared" si="109"/>
        <v>1.1728423229031888</v>
      </c>
      <c r="BC139" s="56"/>
    </row>
    <row r="140" spans="1:55" ht="15.5" x14ac:dyDescent="0.35">
      <c r="A140" s="13">
        <v>43185</v>
      </c>
      <c r="B140" s="56">
        <f t="shared" ref="B140:G140" si="115">0.008+(-0.1692*((B97/53065)^(1/2)))+25.3851*(B97/53065)+(14.0941*((B97/53065)^(3/2)))+(-7.0261*(B97/53065)^2)+(2.7081*((B97/53065)^(5/2)))+((10/1.162)*((0.0005+(-0.0056*((B97/53065)^(1/2)))+(-0.0066*(B97/53065))+(-0.0375*((B97/53065)^(3/2)))+(0.0636*((B97/53065)^2))+(-0.0144*((B97/53065)^(5/2))))))</f>
        <v>15.671557875367041</v>
      </c>
      <c r="C140" s="56">
        <f t="shared" si="115"/>
        <v>22.082349451625458</v>
      </c>
      <c r="D140" s="56">
        <f t="shared" si="115"/>
        <v>14.143434900645683</v>
      </c>
      <c r="E140" s="56">
        <f t="shared" si="115"/>
        <v>23.338429545756984</v>
      </c>
      <c r="F140" s="56">
        <f t="shared" si="115"/>
        <v>13.287320417206432</v>
      </c>
      <c r="G140" s="56">
        <f t="shared" si="115"/>
        <v>23.688898972954135</v>
      </c>
      <c r="H140" s="56"/>
      <c r="I140" s="56">
        <f t="shared" ref="I140:N140" si="116">0.008+(-0.1692*((I97/53065)^(1/2)))+25.3851*(I97/53065)+(14.0941*((I97/53065)^(3/2)))+(-7.0261*(I97/53065)^2)+(2.7081*((I97/53065)^(5/2)))+((10/1.162)*((0.0005+(-0.0056*((I97/53065)^(1/2)))+(-0.0066*(I97/53065))+(-0.0375*((I97/53065)^(3/2)))+(0.0636*((I97/53065)^2))+(-0.0144*((I97/53065)^(5/2))))))</f>
        <v>13.484385516826585</v>
      </c>
      <c r="J140" s="56">
        <f t="shared" si="116"/>
        <v>20.421432234946813</v>
      </c>
      <c r="K140" s="56">
        <f t="shared" si="116"/>
        <v>13.747607649493837</v>
      </c>
      <c r="L140" s="56">
        <f t="shared" si="116"/>
        <v>19.118010718264628</v>
      </c>
      <c r="M140" s="56">
        <f t="shared" si="116"/>
        <v>14.209521105186068</v>
      </c>
      <c r="N140" s="56">
        <f t="shared" si="116"/>
        <v>19.391560035262202</v>
      </c>
      <c r="O140" s="56"/>
      <c r="P140" s="56">
        <f t="shared" ref="P140:U140" si="117">0.008+(-0.1692*((P97/53065)^(1/2)))+25.3851*(P97/53065)+(14.0941*((P97/53065)^(3/2)))+(-7.0261*(P97/53065)^2)+(2.7081*((P97/53065)^(5/2)))+((10/1.162)*((0.0005+(-0.0056*((P97/53065)^(1/2)))+(-0.0066*(P97/53065))+(-0.0375*((P97/53065)^(3/2)))+(0.0636*((P97/53065)^2))+(-0.0144*((P97/53065)^(5/2))))))</f>
        <v>16.206988424778494</v>
      </c>
      <c r="Q140" s="56">
        <f t="shared" si="117"/>
        <v>23.128471724505438</v>
      </c>
      <c r="R140" s="56">
        <f t="shared" si="117"/>
        <v>17.75722293512073</v>
      </c>
      <c r="S140" s="56">
        <f t="shared" si="117"/>
        <v>23.618751216615113</v>
      </c>
      <c r="T140" s="56">
        <f t="shared" si="117"/>
        <v>17.621789869468635</v>
      </c>
      <c r="U140" s="56">
        <f t="shared" si="117"/>
        <v>23.75907362207348</v>
      </c>
      <c r="V140" s="56"/>
      <c r="W140" s="56">
        <f t="shared" ref="W140:W149" si="118">0.008+(-0.1692*((W97/53065)^(1/2)))+25.3851*(W97/53065)+(14.0941*((W97/53065)^(3/2)))+(-7.0261*(W97/53065)^2)+(2.7081*((W97/53065)^(5/2)))+((10/1.162)*((0.0005+(-0.0056*((W97/53065)^(1/2)))+(-0.0066*(W97/53065))+(-0.0375*((W97/53065)^(3/2)))+(0.0636*((W97/53065)^2))+(-0.0144*((W97/53065)^(5/2))))))</f>
        <v>0.93496162067929789</v>
      </c>
      <c r="X140" s="10"/>
      <c r="Y140" s="5"/>
      <c r="Z140" s="5"/>
      <c r="AE140" s="1"/>
      <c r="AF140" s="13">
        <v>43185</v>
      </c>
      <c r="AG140" s="50">
        <f t="shared" si="104"/>
        <v>14.367437731073052</v>
      </c>
      <c r="AH140" s="50">
        <f t="shared" si="105"/>
        <v>23.036559323445527</v>
      </c>
      <c r="AI140" s="50">
        <f t="shared" si="113"/>
        <v>13.813838090502164</v>
      </c>
      <c r="AJ140" s="42">
        <f t="shared" si="114"/>
        <v>19.643667662824548</v>
      </c>
      <c r="AK140" s="42">
        <f t="shared" si="106"/>
        <v>17.195333743122621</v>
      </c>
      <c r="AL140" s="42">
        <f t="shared" si="107"/>
        <v>23.502098854398014</v>
      </c>
      <c r="AM140" s="56">
        <v>0.93496162067929789</v>
      </c>
      <c r="BA140" s="7">
        <f t="shared" si="108"/>
        <v>15.125536521565948</v>
      </c>
      <c r="BB140" s="7">
        <f t="shared" si="109"/>
        <v>22.0607752802227</v>
      </c>
      <c r="BC140" s="56">
        <v>0.93496162067929789</v>
      </c>
    </row>
    <row r="141" spans="1:55" ht="15.5" x14ac:dyDescent="0.35">
      <c r="A141" s="13">
        <v>43193</v>
      </c>
      <c r="B141" s="56">
        <f t="shared" ref="B141:G141" si="119">0.008+(-0.1692*((B98/53065)^(1/2)))+25.3851*(B98/53065)+(14.0941*((B98/53065)^(3/2)))+(-7.0261*(B98/53065)^2)+(2.7081*((B98/53065)^(5/2)))+((10/1.162)*((0.0005+(-0.0056*((B98/53065)^(1/2)))+(-0.0066*(B98/53065))+(-0.0375*((B98/53065)^(3/2)))+(0.0636*((B98/53065)^2))+(-0.0144*((B98/53065)^(5/2))))))</f>
        <v>3.3476800409298049</v>
      </c>
      <c r="C141" s="56">
        <f t="shared" si="119"/>
        <v>3.3012734654693565</v>
      </c>
      <c r="D141" s="56">
        <f t="shared" si="119"/>
        <v>3.2780891016816156</v>
      </c>
      <c r="E141" s="56">
        <f t="shared" si="119"/>
        <v>3.2665016765181578</v>
      </c>
      <c r="F141" s="56">
        <f t="shared" si="119"/>
        <v>3.3012734654693565</v>
      </c>
      <c r="G141" s="56">
        <f t="shared" si="119"/>
        <v>3.3244704646940963</v>
      </c>
      <c r="H141" s="56"/>
      <c r="I141" s="56">
        <f t="shared" ref="I141:N141" si="120">0.008+(-0.1692*((I98/53065)^(1/2)))+25.3851*(I98/53065)+(14.0941*((I98/53065)^(3/2)))+(-7.0261*(I98/53065)^2)+(2.7081*((I98/53065)^(5/2)))+((10/1.162)*((0.0005+(-0.0056*((I98/53065)^(1/2)))+(-0.0066*(I98/53065))+(-0.0375*((I98/53065)^(3/2)))+(0.0636*((I98/53065)^2))+(-0.0144*((I98/53065)^(5/2))))))</f>
        <v>3.6622120687738251</v>
      </c>
      <c r="J141" s="56">
        <f t="shared" si="120"/>
        <v>3.6797502871722312</v>
      </c>
      <c r="K141" s="56">
        <f t="shared" si="120"/>
        <v>3.6855978311794715</v>
      </c>
      <c r="L141" s="56">
        <f t="shared" si="120"/>
        <v>3.7265511574528927</v>
      </c>
      <c r="M141" s="56">
        <f t="shared" si="120"/>
        <v>3.7265511574528927</v>
      </c>
      <c r="N141" s="56">
        <f t="shared" si="120"/>
        <v>3.779257886522875</v>
      </c>
      <c r="O141" s="56"/>
      <c r="P141" s="56">
        <f t="shared" ref="P141:U141" si="121">0.008+(-0.1692*((P98/53065)^(1/2)))+25.3851*(P98/53065)+(14.0941*((P98/53065)^(3/2)))+(-7.0261*(P98/53065)^2)+(2.7081*((P98/53065)^(5/2)))+((10/1.162)*((0.0005+(-0.0056*((P98/53065)^(1/2)))+(-0.0066*(P98/53065))+(-0.0375*((P98/53065)^(3/2)))+(0.0636*((P98/53065)^2))+(-0.0144*((P98/53065)^(5/2))))))</f>
        <v>4.3272275013078501</v>
      </c>
      <c r="Q141" s="56">
        <f t="shared" si="121"/>
        <v>5.3132431006878349</v>
      </c>
      <c r="R141" s="56">
        <f t="shared" si="121"/>
        <v>4.2739403238494971</v>
      </c>
      <c r="S141" s="56">
        <f t="shared" si="121"/>
        <v>5.6818699439926208</v>
      </c>
      <c r="T141" s="56">
        <f t="shared" si="121"/>
        <v>5.174806662428769</v>
      </c>
      <c r="U141" s="56">
        <f t="shared" si="121"/>
        <v>5.6697506310672923</v>
      </c>
      <c r="V141" s="56"/>
      <c r="W141" s="56">
        <f t="shared" si="118"/>
        <v>1.0597646951237396</v>
      </c>
      <c r="X141" s="10"/>
      <c r="Y141" s="5"/>
      <c r="Z141" s="5"/>
      <c r="AE141" s="1"/>
      <c r="AF141" s="13">
        <v>43193</v>
      </c>
      <c r="AG141" s="50">
        <f t="shared" si="104"/>
        <v>3.3090142026935925</v>
      </c>
      <c r="AH141" s="50">
        <f t="shared" si="105"/>
        <v>3.2974152022272034</v>
      </c>
      <c r="AI141" s="50">
        <f t="shared" si="113"/>
        <v>3.6914536858020632</v>
      </c>
      <c r="AJ141" s="42">
        <f t="shared" si="114"/>
        <v>3.7285197770493332</v>
      </c>
      <c r="AK141" s="42">
        <f t="shared" si="106"/>
        <v>4.5919914958620387</v>
      </c>
      <c r="AL141" s="42">
        <f t="shared" si="107"/>
        <v>5.5549545585825824</v>
      </c>
      <c r="AM141" s="56">
        <v>1.0597646951237396</v>
      </c>
      <c r="BA141" s="7">
        <f t="shared" si="108"/>
        <v>3.8641531281192312</v>
      </c>
      <c r="BB141" s="7">
        <f t="shared" si="109"/>
        <v>4.1936298459530397</v>
      </c>
      <c r="BC141" s="56">
        <v>1.0597646951237396</v>
      </c>
    </row>
    <row r="142" spans="1:55" ht="15.5" x14ac:dyDescent="0.35">
      <c r="A142" s="13">
        <v>43199</v>
      </c>
      <c r="B142" s="56">
        <f t="shared" ref="B142:G142" si="122">0.008+(-0.1692*((B99/53065)^(1/2)))+25.3851*(B99/53065)+(14.0941*((B99/53065)^(3/2)))+(-7.0261*(B99/53065)^2)+(2.7081*((B99/53065)^(5/2)))+((10/1.162)*((0.0005+(-0.0056*((B99/53065)^(1/2)))+(-0.0066*(B99/53065))+(-0.0375*((B99/53065)^(3/2)))+(0.0636*((B99/53065)^2))+(-0.0144*((B99/53065)^(5/2))))))</f>
        <v>3.1161573994339484</v>
      </c>
      <c r="C142" s="56">
        <f t="shared" si="122"/>
        <v>8.1343569975884371</v>
      </c>
      <c r="D142" s="56">
        <f t="shared" si="122"/>
        <v>2.5944464201721606</v>
      </c>
      <c r="E142" s="56">
        <f t="shared" si="122"/>
        <v>8.447735097482072</v>
      </c>
      <c r="F142" s="56">
        <f t="shared" si="122"/>
        <v>2.571683263415752</v>
      </c>
      <c r="G142" s="56">
        <f t="shared" si="122"/>
        <v>12.306597674976677</v>
      </c>
      <c r="H142" s="56"/>
      <c r="I142" s="56">
        <f t="shared" ref="I142:N142" si="123">0.008+(-0.1692*((I99/53065)^(1/2)))+25.3851*(I99/53065)+(14.0941*((I99/53065)^(3/2)))+(-7.0261*(I99/53065)^2)+(2.7081*((I99/53065)^(5/2)))+((10/1.162)*((0.0005+(-0.0056*((I99/53065)^(1/2)))+(-0.0066*(I99/53065))+(-0.0375*((I99/53065)^(3/2)))+(0.0636*((I99/53065)^2))+(-0.0144*((I99/53065)^(5/2))))))</f>
        <v>2.294073548138051</v>
      </c>
      <c r="J142" s="56">
        <f t="shared" si="123"/>
        <v>12.763304661990315</v>
      </c>
      <c r="K142" s="56">
        <f t="shared" si="123"/>
        <v>2.1533556834622996</v>
      </c>
      <c r="L142" s="56">
        <f t="shared" si="123"/>
        <v>12.111390633183513</v>
      </c>
      <c r="M142" s="56">
        <f t="shared" si="123"/>
        <v>2.2264488055707106</v>
      </c>
      <c r="N142" s="56">
        <f t="shared" si="123"/>
        <v>12.111390633183513</v>
      </c>
      <c r="O142" s="56"/>
      <c r="P142" s="56">
        <f t="shared" ref="P142:U142" si="124">0.008+(-0.1692*((P99/53065)^(1/2)))+25.3851*(P99/53065)+(14.0941*((P99/53065)^(3/2)))+(-7.0261*(P99/53065)^2)+(2.7081*((P99/53065)^(5/2)))+((10/1.162)*((0.0005+(-0.0056*((P99/53065)^(1/2)))+(-0.0066*(P99/53065))+(-0.0375*((P99/53065)^(3/2)))+(0.0636*((P99/53065)^2))+(-0.0144*((P99/53065)^(5/2))))))</f>
        <v>1.5095448408667673</v>
      </c>
      <c r="Q142" s="56">
        <f t="shared" si="124"/>
        <v>7.0958651426486599</v>
      </c>
      <c r="R142" s="56">
        <f t="shared" si="124"/>
        <v>1.54244234392261</v>
      </c>
      <c r="S142" s="56">
        <f t="shared" si="124"/>
        <v>3.3709021364105003</v>
      </c>
      <c r="T142" s="56">
        <f t="shared" si="124"/>
        <v>1.5589089247752042</v>
      </c>
      <c r="U142" s="56">
        <f t="shared" si="124"/>
        <v>12.763304661990315</v>
      </c>
      <c r="V142" s="56"/>
      <c r="W142" s="56">
        <f t="shared" si="118"/>
        <v>1.0276713875138204</v>
      </c>
      <c r="X142" s="10"/>
      <c r="Y142" s="5"/>
      <c r="Z142" s="5"/>
      <c r="AE142" s="1"/>
      <c r="AF142" s="13">
        <v>43199</v>
      </c>
      <c r="AG142" s="50">
        <f t="shared" si="104"/>
        <v>2.7607623610072873</v>
      </c>
      <c r="AH142" s="50">
        <f t="shared" si="105"/>
        <v>9.6295632566823954</v>
      </c>
      <c r="AI142" s="50">
        <f t="shared" si="113"/>
        <v>2.2246260123903538</v>
      </c>
      <c r="AJ142" s="42">
        <f t="shared" si="114"/>
        <v>12.328695309452447</v>
      </c>
      <c r="AK142" s="42">
        <f t="shared" si="106"/>
        <v>1.5369653698548607</v>
      </c>
      <c r="AL142" s="42">
        <f t="shared" si="107"/>
        <v>7.7433573136831582</v>
      </c>
      <c r="AM142" s="56">
        <v>1.0276713875138204</v>
      </c>
      <c r="BA142" s="7">
        <f t="shared" si="108"/>
        <v>2.1741179144175007</v>
      </c>
      <c r="BB142" s="7">
        <f t="shared" si="109"/>
        <v>9.900538626606</v>
      </c>
      <c r="BC142" s="56">
        <v>1.0276713875138204</v>
      </c>
    </row>
    <row r="143" spans="1:55" ht="15.5" x14ac:dyDescent="0.35">
      <c r="A143" s="13">
        <v>43206</v>
      </c>
      <c r="B143" s="56">
        <f t="shared" ref="B143:G143" si="125">0.008+(-0.1692*((B100/53065)^(1/2)))+25.3851*(B100/53065)+(14.0941*((B100/53065)^(3/2)))+(-7.0261*(B100/53065)^2)+(2.7081*((B100/53065)^(5/2)))+((10/1.162)*((0.0005+(-0.0056*((B100/53065)^(1/2)))+(-0.0066*(B100/53065))+(-0.0375*((B100/53065)^(3/2)))+(0.0636*((B100/53065)^2))+(-0.0144*((B100/53065)^(5/2))))))</f>
        <v>1.0148515961634961</v>
      </c>
      <c r="C143" s="56">
        <f t="shared" si="125"/>
        <v>1.016453516776934</v>
      </c>
      <c r="D143" s="56">
        <f t="shared" si="125"/>
        <v>1.0143176578648463</v>
      </c>
      <c r="E143" s="56">
        <f t="shared" si="125"/>
        <v>1.0143176578648463</v>
      </c>
      <c r="F143" s="56">
        <f t="shared" si="125"/>
        <v>1.0153855520860968</v>
      </c>
      <c r="G143" s="56">
        <f t="shared" si="125"/>
        <v>1.0153855520860968</v>
      </c>
      <c r="H143" s="56"/>
      <c r="I143" s="56">
        <f t="shared" ref="I143:N143" si="126">0.008+(-0.1692*((I100/53065)^(1/2)))+25.3851*(I100/53065)+(14.0941*((I100/53065)^(3/2)))+(-7.0261*(I100/53065)^2)+(2.7081*((I100/53065)^(5/2)))+((10/1.162)*((0.0005+(-0.0056*((I100/53065)^(1/2)))+(-0.0066*(I100/53065))+(-0.0375*((I100/53065)^(3/2)))+(0.0636*((I100/53065)^2))+(-0.0144*((I100/53065)^(5/2))))))</f>
        <v>1.0148515961634961</v>
      </c>
      <c r="J143" s="56">
        <f t="shared" si="126"/>
        <v>1.0223285798847783</v>
      </c>
      <c r="K143" s="56">
        <f t="shared" si="126"/>
        <v>1.0159195256260924</v>
      </c>
      <c r="L143" s="56">
        <f t="shared" si="126"/>
        <v>1.0223285798847783</v>
      </c>
      <c r="M143" s="56">
        <f t="shared" si="126"/>
        <v>1.0137837371967087</v>
      </c>
      <c r="N143" s="56">
        <f t="shared" si="126"/>
        <v>1.0159195256260924</v>
      </c>
      <c r="O143" s="56"/>
      <c r="P143" s="56">
        <f t="shared" ref="P143:U143" si="127">0.008+(-0.1692*((P100/53065)^(1/2)))+25.3851*(P100/53065)+(14.0941*((P100/53065)^(3/2)))+(-7.0261*(P100/53065)^2)+(2.7081*((P100/53065)^(5/2)))+((10/1.162)*((0.0005+(-0.0056*((P100/53065)^(1/2)))+(-0.0066*(P100/53065))+(-0.0375*((P100/53065)^(3/2)))+(0.0636*((P100/53065)^2))+(-0.0144*((P100/53065)^(5/2))))))</f>
        <v>1.0153855520860968</v>
      </c>
      <c r="Q143" s="56">
        <f t="shared" si="127"/>
        <v>1.0036426030706702</v>
      </c>
      <c r="R143" s="56">
        <f t="shared" si="127"/>
        <v>1.0041761875043058</v>
      </c>
      <c r="S143" s="56">
        <f t="shared" si="127"/>
        <v>1.0132498341656513</v>
      </c>
      <c r="T143" s="56">
        <f t="shared" si="127"/>
        <v>1.0004414697266499</v>
      </c>
      <c r="U143" s="56">
        <f t="shared" si="127"/>
        <v>1.0009749474816902</v>
      </c>
      <c r="V143" s="56"/>
      <c r="W143" s="56">
        <f t="shared" si="118"/>
        <v>0.98071536569515305</v>
      </c>
      <c r="X143" s="10"/>
      <c r="Y143" s="5"/>
      <c r="Z143" s="5"/>
      <c r="AE143" s="1"/>
      <c r="AF143" s="13">
        <v>43206</v>
      </c>
      <c r="AG143" s="50">
        <f t="shared" si="104"/>
        <v>1.0148516020381464</v>
      </c>
      <c r="AH143" s="50">
        <f t="shared" si="105"/>
        <v>1.0153855755759589</v>
      </c>
      <c r="AI143" s="50">
        <f t="shared" si="113"/>
        <v>1.0148516196620991</v>
      </c>
      <c r="AJ143" s="42">
        <f t="shared" si="114"/>
        <v>1.0201922284652163</v>
      </c>
      <c r="AK143" s="42">
        <f t="shared" si="106"/>
        <v>1.0066677364390175</v>
      </c>
      <c r="AL143" s="42">
        <f t="shared" si="107"/>
        <v>1.0059557949060038</v>
      </c>
      <c r="AM143" s="56">
        <v>0.98071536569515305</v>
      </c>
      <c r="BA143" s="7">
        <f t="shared" si="108"/>
        <v>1.0121236527130875</v>
      </c>
      <c r="BB143" s="7">
        <f t="shared" si="109"/>
        <v>1.0138445329823929</v>
      </c>
      <c r="BC143" s="56">
        <v>0.98071536569515305</v>
      </c>
    </row>
    <row r="144" spans="1:55" ht="15.5" x14ac:dyDescent="0.35">
      <c r="A144" s="13">
        <v>43213</v>
      </c>
      <c r="B144" s="56">
        <f t="shared" ref="B144:G144" si="128">0.008+(-0.1692*((B101/53065)^(1/2)))+25.3851*(B101/53065)+(14.0941*((B101/53065)^(3/2)))+(-7.0261*(B101/53065)^2)+(2.7081*((B101/53065)^(5/2)))+((10/1.162)*((0.0005+(-0.0056*((B101/53065)^(1/2)))+(-0.0066*(B101/53065))+(-0.0375*((B101/53065)^(3/2)))+(0.0636*((B101/53065)^2))+(-0.0144*((B101/53065)^(5/2))))))</f>
        <v>25.947719447263459</v>
      </c>
      <c r="C144" s="56">
        <f t="shared" si="128"/>
        <v>26.944458213308547</v>
      </c>
      <c r="D144" s="56">
        <f t="shared" si="128"/>
        <v>20.628169590241857</v>
      </c>
      <c r="E144" s="56">
        <f t="shared" si="128"/>
        <v>26.873092453069454</v>
      </c>
      <c r="F144" s="56">
        <f t="shared" si="128"/>
        <v>19.528506657396964</v>
      </c>
      <c r="G144" s="56">
        <f t="shared" si="128"/>
        <v>26.801752810467612</v>
      </c>
      <c r="H144" s="56"/>
      <c r="I144" s="56">
        <f t="shared" ref="I144:N144" si="129">0.008+(-0.1692*((I101/53065)^(1/2)))+25.3851*(I101/53065)+(14.0941*((I101/53065)^(3/2)))+(-7.0261*(I101/53065)^2)+(2.7081*((I101/53065)^(5/2)))+((10/1.162)*((0.0005+(-0.0056*((I101/53065)^(1/2)))+(-0.0066*(I101/53065))+(-0.0375*((I101/53065)^(3/2)))+(0.0636*((I101/53065)^2))+(-0.0144*((I101/53065)^(5/2))))))</f>
        <v>21.457633454469352</v>
      </c>
      <c r="J144" s="56">
        <f t="shared" si="129"/>
        <v>25.805748163714213</v>
      </c>
      <c r="K144" s="56">
        <f t="shared" si="129"/>
        <v>21.873862948167666</v>
      </c>
      <c r="L144" s="56">
        <f t="shared" si="129"/>
        <v>26.516655694939903</v>
      </c>
      <c r="M144" s="56">
        <f t="shared" si="129"/>
        <v>22.360715381668456</v>
      </c>
      <c r="N144" s="56">
        <f t="shared" si="129"/>
        <v>26.516655694939903</v>
      </c>
      <c r="O144" s="56"/>
      <c r="P144" s="56">
        <f t="shared" ref="P144:U144" si="130">0.008+(-0.1692*((P101/53065)^(1/2)))+25.3851*(P101/53065)+(14.0941*((P101/53065)^(3/2)))+(-7.0261*(P101/53065)^2)+(2.7081*((P101/53065)^(5/2)))+((10/1.162)*((0.0005+(-0.0056*((P101/53065)^(1/2)))+(-0.0066*(P101/53065))+(-0.0375*((P101/53065)^(3/2)))+(0.0636*((P101/53065)^2))+(-0.0144*((P101/53065)^(5/2))))))</f>
        <v>16.542633917522664</v>
      </c>
      <c r="Q144" s="56">
        <f t="shared" si="130"/>
        <v>23.058539889620832</v>
      </c>
      <c r="R144" s="56">
        <f t="shared" si="130"/>
        <v>20.697138142026528</v>
      </c>
      <c r="S144" s="56">
        <f t="shared" si="130"/>
        <v>26.801752810467612</v>
      </c>
      <c r="T144" s="56">
        <f t="shared" si="130"/>
        <v>20.559229067568417</v>
      </c>
      <c r="U144" s="56">
        <f t="shared" si="130"/>
        <v>26.801752810467612</v>
      </c>
      <c r="V144" s="56"/>
      <c r="W144" s="56">
        <f t="shared" si="118"/>
        <v>1.0437102658869726</v>
      </c>
      <c r="X144" s="10"/>
      <c r="Y144" s="5"/>
      <c r="Z144" s="5"/>
      <c r="AE144" s="1"/>
      <c r="AF144" s="13">
        <v>43213</v>
      </c>
      <c r="AG144" s="50">
        <f t="shared" si="104"/>
        <v>22.034798564967428</v>
      </c>
      <c r="AH144" s="50">
        <f t="shared" si="105"/>
        <v>26.873101158948533</v>
      </c>
      <c r="AI144" s="50">
        <f t="shared" si="113"/>
        <v>21.897403928101824</v>
      </c>
      <c r="AJ144" s="42">
        <f t="shared" si="114"/>
        <v>26.279686517864672</v>
      </c>
      <c r="AK144" s="42">
        <f t="shared" si="106"/>
        <v>19.266333709039206</v>
      </c>
      <c r="AL144" s="42">
        <f t="shared" si="107"/>
        <v>25.554015170185352</v>
      </c>
      <c r="AM144" s="56">
        <v>1.0437102658869726</v>
      </c>
      <c r="BA144" s="7">
        <f t="shared" si="108"/>
        <v>21.066178734036153</v>
      </c>
      <c r="BB144" s="7">
        <f t="shared" si="109"/>
        <v>26.235600948999522</v>
      </c>
      <c r="BC144" s="56">
        <v>1.0437102658869726</v>
      </c>
    </row>
    <row r="145" spans="1:55" ht="15.5" x14ac:dyDescent="0.35">
      <c r="A145" s="2">
        <v>43222</v>
      </c>
      <c r="B145" s="56">
        <f t="shared" ref="B145:G145" si="131">0.008+(-0.1692*((B102/53065)^(1/2)))+25.3851*(B102/53065)+(14.0941*((B102/53065)^(3/2)))+(-7.0261*(B102/53065)^2)+(2.7081*((B102/53065)^(5/2)))+((10/1.162)*((0.0005+(-0.0056*((B102/53065)^(1/2)))+(-0.0066*(B102/53065))+(-0.0375*((B102/53065)^(3/2)))+(0.0636*((B102/53065)^2))+(-0.0144*((B102/53065)^(5/2))))))</f>
        <v>0.97751885809341565</v>
      </c>
      <c r="C145" s="56">
        <f t="shared" si="131"/>
        <v>0.97485559939807587</v>
      </c>
      <c r="D145" s="56">
        <f t="shared" si="131"/>
        <v>0.97059532878903554</v>
      </c>
      <c r="E145" s="56">
        <f t="shared" si="131"/>
        <v>0.97219279403781567</v>
      </c>
      <c r="F145" s="56">
        <f t="shared" si="131"/>
        <v>0.96420710680393751</v>
      </c>
      <c r="G145" s="56">
        <f t="shared" si="131"/>
        <v>0.96686854685285795</v>
      </c>
      <c r="H145" s="56"/>
      <c r="I145" s="56">
        <f t="shared" ref="I145:N145" si="132">0.008+(-0.1692*((I102/53065)^(1/2)))+25.3851*(I102/53065)+(14.0941*((I102/53065)^(3/2)))+(-7.0261*(I102/53065)^2)+(2.7081*((I102/53065)^(5/2)))+((10/1.162)*((0.0005+(-0.0056*((I102/53065)^(1/2)))+(-0.0066*(I102/53065))+(-0.0375*((I102/53065)^(3/2)))+(0.0636*((I102/53065)^2))+(-0.0144*((I102/53065)^(5/2))))))</f>
        <v>0.97166028744347299</v>
      </c>
      <c r="J145" s="56">
        <f t="shared" si="132"/>
        <v>0.96740088961027004</v>
      </c>
      <c r="K145" s="56">
        <f t="shared" si="132"/>
        <v>0.95197038121310651</v>
      </c>
      <c r="L145" s="56">
        <f t="shared" si="132"/>
        <v>0.95728950315116212</v>
      </c>
      <c r="M145" s="56">
        <f t="shared" si="132"/>
        <v>0.96101398191468002</v>
      </c>
      <c r="N145" s="56">
        <f t="shared" si="132"/>
        <v>0.95994975342365596</v>
      </c>
      <c r="O145" s="56"/>
      <c r="P145" s="56">
        <f t="shared" ref="P145:U145" si="133">0.008+(-0.1692*((P102/53065)^(1/2)))+25.3851*(P102/53065)+(14.0941*((P102/53065)^(3/2)))+(-7.0261*(P102/53065)^2)+(2.7081*((P102/53065)^(5/2)))+((10/1.162)*((0.0005+(-0.0056*((P102/53065)^(1/2)))+(-0.0066*(P102/53065))+(-0.0375*((P102/53065)^(3/2)))+(0.0636*((P102/53065)^2))+(-0.0144*((P102/53065)^(5/2))))))</f>
        <v>0.99030878269852629</v>
      </c>
      <c r="Q145" s="56">
        <f t="shared" si="133"/>
        <v>0.98817640874147683</v>
      </c>
      <c r="R145" s="56">
        <f t="shared" si="133"/>
        <v>0.95462971211095504</v>
      </c>
      <c r="S145" s="56">
        <f t="shared" si="133"/>
        <v>0.97432300203106958</v>
      </c>
      <c r="T145" s="56">
        <f t="shared" si="133"/>
        <v>0.95462971211095504</v>
      </c>
      <c r="U145" s="56">
        <f t="shared" si="133"/>
        <v>0.92593348158953437</v>
      </c>
      <c r="V145" s="56"/>
      <c r="W145" s="56">
        <f t="shared" si="118"/>
        <v>0.98337961864536227</v>
      </c>
      <c r="X145" s="10"/>
      <c r="Y145" s="5"/>
      <c r="Z145" s="5"/>
      <c r="AE145" s="1"/>
      <c r="AF145" s="2">
        <v>43222</v>
      </c>
      <c r="AG145" s="50">
        <f t="shared" si="104"/>
        <v>0.97077376456212949</v>
      </c>
      <c r="AH145" s="50">
        <f t="shared" si="105"/>
        <v>0.97130564676291653</v>
      </c>
      <c r="AI145" s="50">
        <f t="shared" si="113"/>
        <v>0.96154821685708658</v>
      </c>
      <c r="AJ145" s="42">
        <f t="shared" si="114"/>
        <v>0.96154671539502934</v>
      </c>
      <c r="AK145" s="42">
        <f t="shared" si="106"/>
        <v>0.96652273564014557</v>
      </c>
      <c r="AL145" s="42">
        <f t="shared" si="107"/>
        <v>0.96281096412069367</v>
      </c>
      <c r="AM145" s="56">
        <v>0.98337961864536227</v>
      </c>
      <c r="BA145" s="7">
        <f t="shared" si="108"/>
        <v>0.96628157235312051</v>
      </c>
      <c r="BB145" s="7">
        <f t="shared" si="109"/>
        <v>0.96522110875954636</v>
      </c>
      <c r="BC145" s="56">
        <v>0.98337961864536227</v>
      </c>
    </row>
    <row r="146" spans="1:55" ht="15.5" x14ac:dyDescent="0.35">
      <c r="A146" s="2">
        <v>43227</v>
      </c>
      <c r="B146" s="56">
        <f t="shared" ref="B146:G146" si="134">0.008+(-0.1692*((B103/53065)^(1/2)))+25.3851*(B103/53065)+(14.0941*((B103/53065)^(3/2)))+(-7.0261*(B103/53065)^2)+(2.7081*((B103/53065)^(5/2)))+((10/1.162)*((0.0005+(-0.0056*((B103/53065)^(1/2)))+(-0.0066*(B103/53065))+(-0.0375*((B103/53065)^(3/2)))+(0.0636*((B103/53065)^2))+(-0.0144*((B103/53065)^(5/2))))))</f>
        <v>11.159532669450588</v>
      </c>
      <c r="C146" s="56">
        <f t="shared" si="134"/>
        <v>18.300136015810736</v>
      </c>
      <c r="D146" s="56">
        <f t="shared" si="134"/>
        <v>4.9288044563157776</v>
      </c>
      <c r="E146" s="56">
        <f t="shared" si="134"/>
        <v>17.689491575391603</v>
      </c>
      <c r="F146" s="56">
        <f t="shared" si="134"/>
        <v>5.3192690577549033</v>
      </c>
      <c r="G146" s="56">
        <f t="shared" si="134"/>
        <v>17.75722293512073</v>
      </c>
      <c r="H146" s="56"/>
      <c r="I146" s="56">
        <f t="shared" ref="I146:N146" si="135">0.008+(-0.1692*((I103/53065)^(1/2)))+25.3851*(I103/53065)+(14.0941*((I103/53065)^(3/2)))+(-7.0261*(I103/53065)^2)+(2.7081*((I103/53065)^(5/2)))+((10/1.162)*((0.0005+(-0.0056*((I103/53065)^(1/2)))+(-0.0066*(I103/53065))+(-0.0375*((I103/53065)^(3/2)))+(0.0636*((I103/53065)^2))+(-0.0144*((I103/53065)^(5/2))))))</f>
        <v>9.2485360595689077</v>
      </c>
      <c r="J146" s="56">
        <f t="shared" si="135"/>
        <v>17.283727754879013</v>
      </c>
      <c r="K146" s="56">
        <f t="shared" si="135"/>
        <v>6.4497378378125969</v>
      </c>
      <c r="L146" s="56">
        <f t="shared" si="135"/>
        <v>16.609854685920773</v>
      </c>
      <c r="M146" s="56">
        <f t="shared" si="135"/>
        <v>6.4681219539616217</v>
      </c>
      <c r="N146" s="56">
        <f t="shared" si="135"/>
        <v>17.486475601585735</v>
      </c>
      <c r="O146" s="56"/>
      <c r="P146" s="56">
        <f t="shared" ref="P146:U146" si="136">0.008+(-0.1692*((P103/53065)^(1/2)))+25.3851*(P103/53065)+(14.0941*((P103/53065)^(3/2)))+(-7.0261*(P103/53065)^2)+(2.7081*((P103/53065)^(5/2)))+((10/1.162)*((0.0005+(-0.0056*((P103/53065)^(1/2)))+(-0.0066*(P103/53065))+(-0.0375*((P103/53065)^(3/2)))+(0.0636*((P103/53065)^2))+(-0.0144*((P103/53065)^(5/2))))))</f>
        <v>8.3410636979483002</v>
      </c>
      <c r="Q146" s="56">
        <f t="shared" si="136"/>
        <v>18.096322974870144</v>
      </c>
      <c r="R146" s="56">
        <f t="shared" si="136"/>
        <v>9.8455454744614599</v>
      </c>
      <c r="S146" s="56">
        <f t="shared" si="136"/>
        <v>17.892774435849443</v>
      </c>
      <c r="T146" s="56">
        <f t="shared" si="136"/>
        <v>9.6419086184189062</v>
      </c>
      <c r="U146" s="56">
        <f t="shared" si="136"/>
        <v>18.504212412596573</v>
      </c>
      <c r="V146" s="56"/>
      <c r="W146" s="56">
        <f t="shared" si="118"/>
        <v>0.90630284601769129</v>
      </c>
      <c r="X146" s="10"/>
      <c r="Y146" s="5"/>
      <c r="Z146" s="5"/>
      <c r="AE146" s="1"/>
      <c r="AF146" s="2">
        <v>43227</v>
      </c>
      <c r="AG146" s="50">
        <f t="shared" si="104"/>
        <v>7.135868727840422</v>
      </c>
      <c r="AH146" s="50">
        <f t="shared" si="105"/>
        <v>17.915616842107688</v>
      </c>
      <c r="AI146" s="50">
        <f t="shared" si="113"/>
        <v>7.3887986171143751</v>
      </c>
      <c r="AJ146" s="42">
        <f t="shared" si="114"/>
        <v>17.126686014128509</v>
      </c>
      <c r="AK146" s="42">
        <f t="shared" si="106"/>
        <v>9.2761725969428888</v>
      </c>
      <c r="AL146" s="42">
        <f t="shared" si="107"/>
        <v>18.164436607772053</v>
      </c>
      <c r="AM146" s="56">
        <v>0.90630284601769129</v>
      </c>
      <c r="BA146" s="7">
        <f t="shared" si="108"/>
        <v>7.9336133139658962</v>
      </c>
      <c r="BB146" s="7">
        <f t="shared" si="109"/>
        <v>17.735579821336085</v>
      </c>
      <c r="BC146" s="56">
        <v>0.90630284601769129</v>
      </c>
    </row>
    <row r="147" spans="1:55" ht="15.5" x14ac:dyDescent="0.35">
      <c r="A147" s="13">
        <v>43234</v>
      </c>
      <c r="B147" s="56">
        <f t="shared" ref="B147:G147" si="137">0.008+(-0.1692*((B104/53065)^(1/2)))+25.3851*(B104/53065)+(14.0941*((B104/53065)^(3/2)))+(-7.0261*(B104/53065)^2)+(2.7081*((B104/53065)^(5/2)))+((10/1.162)*((0.0005+(-0.0056*((B104/53065)^(1/2)))+(-0.0066*(B104/53065))+(-0.0375*((B104/53065)^(3/2)))+(0.0636*((B104/53065)^2))+(-0.0144*((B104/53065)^(5/2))))))</f>
        <v>19.528506657396964</v>
      </c>
      <c r="C147" s="56">
        <f t="shared" si="137"/>
        <v>25.026792932370959</v>
      </c>
      <c r="D147" s="56">
        <f t="shared" si="137"/>
        <v>19.665567535045966</v>
      </c>
      <c r="E147" s="56">
        <f t="shared" si="137"/>
        <v>24.885508860799256</v>
      </c>
      <c r="F147" s="56">
        <f t="shared" si="137"/>
        <v>20.008717745823283</v>
      </c>
      <c r="G147" s="56">
        <f t="shared" si="137"/>
        <v>22.639518593469983</v>
      </c>
      <c r="H147" s="56"/>
      <c r="I147" s="56">
        <f t="shared" ref="I147:N147" si="138">0.008+(-0.1692*((I104/53065)^(1/2)))+25.3851*(I104/53065)+(14.0941*((I104/53065)^(3/2)))+(-7.0261*(I104/53065)^2)+(2.7081*((I104/53065)^(5/2)))+((10/1.162)*((0.0005+(-0.0056*((I104/53065)^(1/2)))+(-0.0066*(I104/53065))+(-0.0375*((I104/53065)^(3/2)))+(0.0636*((I104/53065)^2))+(-0.0144*((I104/53065)^(5/2))))))</f>
        <v>16.677105887361012</v>
      </c>
      <c r="J147" s="56">
        <f t="shared" si="138"/>
        <v>24.885508860799256</v>
      </c>
      <c r="K147" s="56">
        <f t="shared" si="138"/>
        <v>16.609854685920773</v>
      </c>
      <c r="L147" s="56">
        <f t="shared" si="138"/>
        <v>24.391852236572333</v>
      </c>
      <c r="M147" s="56">
        <f t="shared" si="138"/>
        <v>16.744387469825533</v>
      </c>
      <c r="N147" s="56">
        <f t="shared" si="138"/>
        <v>25.30967923534525</v>
      </c>
      <c r="O147" s="56"/>
      <c r="P147" s="56">
        <f t="shared" ref="P147:U147" si="139">0.008+(-0.1692*((P104/53065)^(1/2)))+25.3851*(P104/53065)+(14.0941*((P104/53065)^(3/2)))+(-7.0261*(P104/53065)^2)+(2.7081*((P104/53065)^(5/2)))+((10/1.162)*((0.0005+(-0.0056*((P104/53065)^(1/2)))+(-0.0066*(P104/53065))+(-0.0375*((P104/53065)^(3/2)))+(0.0636*((P104/53065)^2))+(-0.0144*((P104/53065)^(5/2))))))</f>
        <v>11.670104794167772</v>
      </c>
      <c r="Q147" s="56">
        <f t="shared" si="139"/>
        <v>24.744331032228246</v>
      </c>
      <c r="R147" s="56">
        <f t="shared" si="139"/>
        <v>11.475948455035763</v>
      </c>
      <c r="S147" s="56">
        <f t="shared" si="139"/>
        <v>13.15611228932242</v>
      </c>
      <c r="T147" s="56">
        <f t="shared" si="139"/>
        <v>12.241493436940702</v>
      </c>
      <c r="U147" s="56">
        <f t="shared" si="139"/>
        <v>25.522121806460973</v>
      </c>
      <c r="V147" s="56"/>
      <c r="W147" s="87">
        <f t="shared" si="118"/>
        <v>0.98284673198421524</v>
      </c>
      <c r="X147" s="10"/>
      <c r="Y147" s="5"/>
      <c r="Z147" s="5"/>
      <c r="AE147" s="1"/>
      <c r="AF147" s="13">
        <v>43234</v>
      </c>
      <c r="AG147" s="50">
        <f t="shared" si="104"/>
        <v>19.734263979422071</v>
      </c>
      <c r="AH147" s="50">
        <f t="shared" si="105"/>
        <v>24.183940128880067</v>
      </c>
      <c r="AI147" s="50">
        <f t="shared" si="113"/>
        <v>16.677116014369108</v>
      </c>
      <c r="AJ147" s="42">
        <f t="shared" si="114"/>
        <v>24.862346777572281</v>
      </c>
      <c r="AK147" s="42">
        <f t="shared" si="106"/>
        <v>11.795848895381411</v>
      </c>
      <c r="AL147" s="42">
        <f t="shared" si="107"/>
        <v>21.140855042670548</v>
      </c>
      <c r="AM147" s="87">
        <v>0.98284673198421524</v>
      </c>
      <c r="BA147" s="7">
        <f t="shared" si="108"/>
        <v>16.069076296390861</v>
      </c>
      <c r="BB147" s="7">
        <f t="shared" si="109"/>
        <v>23.395713983040963</v>
      </c>
      <c r="BC147" s="87">
        <v>0.98284673198421524</v>
      </c>
    </row>
    <row r="148" spans="1:55" ht="15.5" x14ac:dyDescent="0.35">
      <c r="A148" s="13">
        <v>43242</v>
      </c>
      <c r="B148" s="56">
        <f t="shared" ref="B148:G148" si="140">0.008+(-0.1692*((B105/53065)^(1/2)))+25.3851*(B105/53065)+(14.0941*((B105/53065)^(3/2)))+(-7.0261*(B105/53065)^2)+(2.7081*((B105/53065)^(5/2)))+((10/1.162)*((0.0005+(-0.0056*((B105/53065)^(1/2)))+(-0.0066*(B105/53065))+(-0.0375*((B105/53065)^(3/2)))+(0.0636*((B105/53065)^2))+(-0.0144*((B105/53065)^(5/2))))))</f>
        <v>17.689491575391603</v>
      </c>
      <c r="C148" s="56">
        <f t="shared" si="140"/>
        <v>20.973292024147458</v>
      </c>
      <c r="D148" s="56">
        <f t="shared" si="140"/>
        <v>17.75722293512073</v>
      </c>
      <c r="E148" s="56">
        <f t="shared" si="140"/>
        <v>21.457633454469352</v>
      </c>
      <c r="F148" s="56">
        <f t="shared" si="140"/>
        <v>17.554117862887146</v>
      </c>
      <c r="G148" s="56">
        <f t="shared" si="140"/>
        <v>21.249891939364286</v>
      </c>
      <c r="H148" s="56"/>
      <c r="I148" s="56">
        <f t="shared" ref="I148:N148" si="141">0.008+(-0.1692*((I105/53065)^(1/2)))+25.3851*(I105/53065)+(14.0941*((I105/53065)^(3/2)))+(-7.0261*(I105/53065)^2)+(2.7081*((I105/53065)^(5/2)))+((10/1.162)*((0.0005+(-0.0056*((I105/53065)^(1/2)))+(-0.0066*(I105/53065))+(-0.0375*((I105/53065)^(3/2)))+(0.0636*((I105/53065)^2))+(-0.0144*((I105/53065)^(5/2))))))</f>
        <v>17.013816585669758</v>
      </c>
      <c r="J148" s="56">
        <f t="shared" si="141"/>
        <v>20.76613469191463</v>
      </c>
      <c r="K148" s="56">
        <f t="shared" si="141"/>
        <v>17.216204942286591</v>
      </c>
      <c r="L148" s="56">
        <f t="shared" si="141"/>
        <v>21.526936012425622</v>
      </c>
      <c r="M148" s="56">
        <f t="shared" si="141"/>
        <v>17.013816585669758</v>
      </c>
      <c r="N148" s="56">
        <f t="shared" si="141"/>
        <v>21.180700248629222</v>
      </c>
      <c r="O148" s="56"/>
      <c r="P148" s="56">
        <f t="shared" ref="P148:U148" si="142">0.008+(-0.1692*((P105/53065)^(1/2)))+25.3851*(P105/53065)+(14.0941*((P105/53065)^(3/2)))+(-7.0261*(P105/53065)^2)+(2.7081*((P105/53065)^(5/2)))+((10/1.162)*((0.0005+(-0.0056*((P105/53065)^(1/2)))+(-0.0066*(P105/53065))+(-0.0375*((P105/53065)^(3/2)))+(0.0636*((P105/53065)^2))+(-0.0144*((P105/53065)^(5/2))))))</f>
        <v>15.204693902015164</v>
      </c>
      <c r="Q148" s="56">
        <f t="shared" si="142"/>
        <v>21.180700248629222</v>
      </c>
      <c r="R148" s="56">
        <f t="shared" si="142"/>
        <v>14.805758047237612</v>
      </c>
      <c r="S148" s="56">
        <f t="shared" si="142"/>
        <v>15.404589856625147</v>
      </c>
      <c r="T148" s="56">
        <f t="shared" si="142"/>
        <v>15.071588034500021</v>
      </c>
      <c r="U148" s="56">
        <f t="shared" si="142"/>
        <v>21.319111389649628</v>
      </c>
      <c r="V148" s="56"/>
      <c r="W148" s="56">
        <f t="shared" si="118"/>
        <v>1.0597646951237396</v>
      </c>
      <c r="X148" s="10"/>
      <c r="Y148" s="5"/>
      <c r="Z148" s="5"/>
      <c r="AE148" s="1"/>
      <c r="AF148" s="13">
        <v>43242</v>
      </c>
      <c r="AG148" s="50">
        <f t="shared" si="104"/>
        <v>17.666944124466493</v>
      </c>
      <c r="AH148" s="50">
        <f t="shared" si="105"/>
        <v>21.226939139327033</v>
      </c>
      <c r="AI148" s="50">
        <f t="shared" si="113"/>
        <v>17.081279371208705</v>
      </c>
      <c r="AJ148" s="42">
        <f t="shared" si="114"/>
        <v>21.157923650989826</v>
      </c>
      <c r="AK148" s="42">
        <f t="shared" si="106"/>
        <v>15.027346661250931</v>
      </c>
      <c r="AL148" s="42">
        <f t="shared" si="107"/>
        <v>19.301467164967999</v>
      </c>
      <c r="AM148" s="56">
        <v>1.0597646951237396</v>
      </c>
      <c r="BA148" s="7">
        <f t="shared" si="108"/>
        <v>16.591856718975375</v>
      </c>
      <c r="BB148" s="7">
        <f t="shared" si="109"/>
        <v>20.562109985094949</v>
      </c>
      <c r="BC148" s="56">
        <v>1.0597646951237396</v>
      </c>
    </row>
    <row r="149" spans="1:55" ht="15.5" x14ac:dyDescent="0.35">
      <c r="A149" s="13">
        <v>43248</v>
      </c>
      <c r="B149" s="56">
        <f t="shared" ref="B149:G149" si="143">0.008+(-0.1692*((B106/53065)^(1/2)))+25.3851*(B106/53065)+(14.0941*((B106/53065)^(3/2)))+(-7.0261*(B106/53065)^2)+(2.7081*((B106/53065)^(5/2)))+((10/1.162)*((0.0005+(-0.0056*((B106/53065)^(1/2)))+(-0.0066*(B106/53065))+(-0.0375*((B106/53065)^(3/2)))+(0.0636*((B106/53065)^2))+(-0.0144*((B106/53065)^(5/2))))))</f>
        <v>1.3566717634972052</v>
      </c>
      <c r="C149" s="56">
        <f t="shared" si="143"/>
        <v>1.7463333248489143</v>
      </c>
      <c r="D149" s="56">
        <f t="shared" si="143"/>
        <v>1.3566717634972052</v>
      </c>
      <c r="E149" s="56">
        <f t="shared" si="143"/>
        <v>1.6138820705084878</v>
      </c>
      <c r="F149" s="56">
        <f t="shared" si="143"/>
        <v>1.318626517475654</v>
      </c>
      <c r="G149" s="56">
        <f t="shared" si="143"/>
        <v>1.4766954736152649</v>
      </c>
      <c r="H149" s="56"/>
      <c r="I149" s="56">
        <f t="shared" ref="I149:N149" si="144">0.008+(-0.1692*((I106/53065)^(1/2)))+25.3851*(I106/53065)+(14.0941*((I106/53065)^(3/2)))+(-7.0261*(I106/53065)^2)+(2.7081*((I106/53065)^(5/2)))+((10/1.162)*((0.0005+(-0.0056*((I106/53065)^(1/2)))+(-0.0066*(I106/53065))+(-0.0375*((I106/53065)^(3/2)))+(0.0636*((I106/53065)^2))+(-0.0144*((I106/53065)^(5/2))))))</f>
        <v>1.3512323791792962</v>
      </c>
      <c r="J149" s="56">
        <f t="shared" si="144"/>
        <v>1.5095448408667673</v>
      </c>
      <c r="K149" s="56">
        <f t="shared" si="144"/>
        <v>1.3729985344194711</v>
      </c>
      <c r="L149" s="56">
        <f t="shared" si="144"/>
        <v>1.5150244346615649</v>
      </c>
      <c r="M149" s="56">
        <f t="shared" si="144"/>
        <v>1.3566717634972052</v>
      </c>
      <c r="N149" s="56">
        <f t="shared" si="144"/>
        <v>1.4220554981625573</v>
      </c>
      <c r="O149" s="56"/>
      <c r="P149" s="56">
        <f t="shared" ref="P149:U149" si="145">0.008+(-0.1692*((P106/53065)^(1/2)))+25.3851*(P106/53065)+(14.0941*((P106/53065)^(3/2)))+(-7.0261*(P106/53065)^2)+(2.7081*((P106/53065)^(5/2)))+((10/1.162)*((0.0005+(-0.0056*((P106/53065)^(1/2)))+(-0.0066*(P106/53065))+(-0.0375*((P106/53065)^(3/2)))+(0.0636*((P106/53065)^2))+(-0.0144*((P106/53065)^(5/2))))))</f>
        <v>1.1348862048416781</v>
      </c>
      <c r="Q149" s="56">
        <f t="shared" si="145"/>
        <v>1.291495287125777</v>
      </c>
      <c r="R149" s="56">
        <f t="shared" si="145"/>
        <v>1.2860734903441029</v>
      </c>
      <c r="S149" s="56">
        <f t="shared" si="145"/>
        <v>1.2860734903441029</v>
      </c>
      <c r="T149" s="56">
        <f t="shared" si="145"/>
        <v>1.2427532419757097</v>
      </c>
      <c r="U149" s="56">
        <f t="shared" si="145"/>
        <v>1.2860734903441029</v>
      </c>
      <c r="V149" s="56"/>
      <c r="W149" s="56">
        <f t="shared" si="118"/>
        <v>1.0223285798847783</v>
      </c>
      <c r="X149" s="10"/>
      <c r="Y149" s="5"/>
      <c r="Z149" s="5"/>
      <c r="AE149" s="1"/>
      <c r="AF149" s="13">
        <v>43248</v>
      </c>
      <c r="AG149" s="50">
        <f t="shared" si="104"/>
        <v>1.3439900148233548</v>
      </c>
      <c r="AH149" s="50">
        <f t="shared" si="105"/>
        <v>1.6123036229908889</v>
      </c>
      <c r="AI149" s="50">
        <f t="shared" si="113"/>
        <v>1.3603008923653241</v>
      </c>
      <c r="AJ149" s="42">
        <f t="shared" si="114"/>
        <v>1.4822082578969631</v>
      </c>
      <c r="AK149" s="42">
        <f t="shared" si="106"/>
        <v>1.2212376457204968</v>
      </c>
      <c r="AL149" s="42">
        <f t="shared" si="107"/>
        <v>1.2878807559379943</v>
      </c>
      <c r="AM149" s="56">
        <v>1.0223285798847783</v>
      </c>
      <c r="BA149" s="7">
        <f t="shared" si="108"/>
        <v>1.3085095176363919</v>
      </c>
      <c r="BB149" s="7">
        <f t="shared" si="109"/>
        <v>1.4607975456086155</v>
      </c>
      <c r="BC149" s="56">
        <v>1.0223285798847783</v>
      </c>
    </row>
    <row r="150" spans="1:55" ht="15.5" x14ac:dyDescent="0.35">
      <c r="A150" s="13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10"/>
      <c r="Y150" s="5"/>
      <c r="Z150" s="5"/>
      <c r="AE150" s="1"/>
      <c r="AG150" s="5"/>
      <c r="AH150" s="5"/>
      <c r="AI150" s="5"/>
      <c r="BA150" s="7"/>
      <c r="BB150" s="7"/>
      <c r="BC150" s="56"/>
    </row>
    <row r="151" spans="1:55" ht="15.5" x14ac:dyDescent="0.35">
      <c r="A151" s="13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10"/>
      <c r="Y151" s="5"/>
      <c r="Z151" s="5"/>
      <c r="AE151" s="1"/>
      <c r="AI151" s="5"/>
    </row>
    <row r="152" spans="1:55" ht="15.5" x14ac:dyDescent="0.35">
      <c r="C152" s="9"/>
      <c r="D152" s="9"/>
      <c r="E152" s="9"/>
      <c r="F152" s="9"/>
      <c r="G152" s="9"/>
      <c r="H152" s="9"/>
      <c r="I152" s="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E152" s="1"/>
      <c r="AI152" s="5"/>
    </row>
    <row r="153" spans="1:55" ht="15.5" x14ac:dyDescent="0.35">
      <c r="C153" s="9"/>
      <c r="D153" s="9"/>
      <c r="E153" s="9"/>
      <c r="F153" s="9"/>
      <c r="G153" s="9"/>
      <c r="H153" s="9"/>
      <c r="I153" s="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5"/>
      <c r="W153" s="9" t="s">
        <v>172</v>
      </c>
      <c r="X153" s="9" t="s">
        <v>173</v>
      </c>
      <c r="Y153" s="9"/>
      <c r="Z153" s="9"/>
      <c r="AA153" s="17" t="s">
        <v>171</v>
      </c>
      <c r="AE153" s="1"/>
      <c r="AI153" s="5"/>
    </row>
    <row r="154" spans="1:55" ht="15.5" x14ac:dyDescent="0.35">
      <c r="C154" s="9"/>
      <c r="D154" s="9"/>
      <c r="E154" s="9"/>
      <c r="F154" s="9"/>
      <c r="G154" s="9"/>
      <c r="H154" s="9"/>
      <c r="I154" s="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37">
        <v>1.8610000000000002</v>
      </c>
      <c r="X154" s="37">
        <v>1.8730000000000002</v>
      </c>
      <c r="Y154" s="37"/>
      <c r="Z154" s="37"/>
      <c r="AA154" s="7"/>
      <c r="AC154" s="7">
        <f>AVERAGE(X154,Z154)</f>
        <v>1.8730000000000002</v>
      </c>
      <c r="AI154" s="5"/>
    </row>
    <row r="155" spans="1:55" ht="15.5" x14ac:dyDescent="0.35">
      <c r="C155" s="9"/>
      <c r="D155" s="9"/>
      <c r="E155" s="9"/>
      <c r="F155" s="9"/>
      <c r="G155" s="9"/>
      <c r="H155" s="9"/>
      <c r="I155" s="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5"/>
      <c r="W155" s="37">
        <v>1.3875</v>
      </c>
      <c r="X155" s="37">
        <v>1.3480000000000001</v>
      </c>
      <c r="Y155" s="37"/>
      <c r="Z155" s="37"/>
      <c r="AA155" s="7">
        <v>1.3140000000000001</v>
      </c>
      <c r="AC155" s="7">
        <f t="shared" ref="AC155:AC164" si="146">AVERAGE(X155,Z155)</f>
        <v>1.3480000000000001</v>
      </c>
      <c r="AI155" s="5"/>
    </row>
    <row r="156" spans="1:55" ht="15.5" x14ac:dyDescent="0.35">
      <c r="C156" s="9"/>
      <c r="D156" s="9"/>
      <c r="E156" s="9"/>
      <c r="F156" s="9"/>
      <c r="G156" s="9"/>
      <c r="H156" s="9"/>
      <c r="I156" s="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5"/>
      <c r="W156" s="38">
        <v>1.8675000000000002</v>
      </c>
      <c r="X156" s="38">
        <v>7.8244999999999996</v>
      </c>
      <c r="Y156" s="38"/>
      <c r="Z156" s="38"/>
      <c r="AA156" s="7">
        <v>1.605</v>
      </c>
      <c r="AC156" s="7">
        <f t="shared" si="146"/>
        <v>7.8244999999999996</v>
      </c>
      <c r="AI156" s="5"/>
    </row>
    <row r="157" spans="1:55" ht="15.5" x14ac:dyDescent="0.35">
      <c r="C157" s="9"/>
      <c r="D157" s="9"/>
      <c r="E157" s="9"/>
      <c r="F157" s="9"/>
      <c r="G157" s="9"/>
      <c r="H157" s="9"/>
      <c r="I157" s="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5"/>
      <c r="W157" s="37">
        <v>1.7865</v>
      </c>
      <c r="X157" s="37">
        <v>1.9335</v>
      </c>
      <c r="Y157" s="37"/>
      <c r="Z157" s="37"/>
      <c r="AA157" s="7">
        <v>1.7310000000000001</v>
      </c>
      <c r="AC157" s="7">
        <f t="shared" si="146"/>
        <v>1.9335</v>
      </c>
      <c r="AI157" s="5"/>
    </row>
    <row r="158" spans="1:55" ht="15.5" x14ac:dyDescent="0.35">
      <c r="A158" s="13"/>
      <c r="C158" s="9"/>
      <c r="D158" s="9"/>
      <c r="E158" s="9"/>
      <c r="F158" s="9"/>
      <c r="G158" s="9"/>
      <c r="H158" s="9"/>
      <c r="I158" s="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38">
        <v>1.9744999999999999</v>
      </c>
      <c r="X158" s="38">
        <v>8.9929999999999986</v>
      </c>
      <c r="Y158" s="38"/>
      <c r="Z158" s="38"/>
      <c r="AA158" s="7">
        <v>1.923</v>
      </c>
      <c r="AC158" s="7">
        <f t="shared" si="146"/>
        <v>8.9929999999999986</v>
      </c>
      <c r="AI158" s="10"/>
    </row>
    <row r="159" spans="1:55" ht="15.5" x14ac:dyDescent="0.35">
      <c r="A159" s="13"/>
      <c r="C159" s="9"/>
      <c r="D159" s="9"/>
      <c r="E159" s="9"/>
      <c r="F159" s="9"/>
      <c r="G159" s="9"/>
      <c r="H159" s="9"/>
      <c r="I159" s="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38">
        <v>2.129</v>
      </c>
      <c r="X159" s="38">
        <v>10.782</v>
      </c>
      <c r="Y159" s="38"/>
      <c r="Z159" s="38"/>
      <c r="AA159" s="7">
        <v>2.0024999999999999</v>
      </c>
      <c r="AC159" s="7">
        <f t="shared" si="146"/>
        <v>10.782</v>
      </c>
      <c r="AI159" s="5"/>
    </row>
    <row r="160" spans="1:55" ht="15.5" x14ac:dyDescent="0.35">
      <c r="A160" s="13"/>
      <c r="C160" s="9"/>
      <c r="D160" s="9"/>
      <c r="E160" s="9"/>
      <c r="F160" s="9"/>
      <c r="G160" s="9"/>
      <c r="H160" s="9"/>
      <c r="I160" s="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5"/>
      <c r="W160" s="38">
        <v>2.5365000000000002</v>
      </c>
      <c r="X160" s="38">
        <v>7.266</v>
      </c>
      <c r="Y160" s="38"/>
      <c r="Z160" s="38"/>
      <c r="AA160" s="7">
        <v>1.8955</v>
      </c>
      <c r="AC160" s="7">
        <f t="shared" si="146"/>
        <v>7.266</v>
      </c>
      <c r="AH160" s="10"/>
      <c r="AI160" s="10"/>
    </row>
    <row r="161" spans="1:55" ht="15.5" x14ac:dyDescent="0.35">
      <c r="A161" s="13"/>
      <c r="C161" s="9"/>
      <c r="D161" s="9"/>
      <c r="E161" s="9"/>
      <c r="F161" s="9"/>
      <c r="G161" s="9"/>
      <c r="H161" s="9"/>
      <c r="I161" s="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38">
        <v>2.59</v>
      </c>
      <c r="X161" s="38">
        <v>22.85</v>
      </c>
      <c r="Y161" s="38"/>
      <c r="Z161" s="38"/>
      <c r="AA161" s="7">
        <v>1.9895</v>
      </c>
      <c r="AC161" s="7">
        <f t="shared" si="146"/>
        <v>22.85</v>
      </c>
      <c r="AH161" s="5"/>
      <c r="AI161" s="5"/>
    </row>
    <row r="162" spans="1:55" ht="15.5" x14ac:dyDescent="0.35">
      <c r="A162" s="13"/>
      <c r="C162" s="9"/>
      <c r="D162" s="9"/>
      <c r="E162" s="9"/>
      <c r="F162" s="9"/>
      <c r="G162" s="9"/>
      <c r="H162" s="9"/>
      <c r="I162" s="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5"/>
      <c r="W162" s="7">
        <v>3.141</v>
      </c>
      <c r="X162" s="7">
        <v>21.455500000000001</v>
      </c>
      <c r="Y162" s="7"/>
      <c r="Z162" s="7"/>
      <c r="AA162" s="7"/>
      <c r="AC162" s="7">
        <f t="shared" si="146"/>
        <v>21.455500000000001</v>
      </c>
      <c r="AH162" s="5"/>
      <c r="AI162" s="5"/>
    </row>
    <row r="163" spans="1:55" ht="15.5" x14ac:dyDescent="0.35">
      <c r="A163" s="13"/>
      <c r="C163" s="9"/>
      <c r="D163" s="9"/>
      <c r="E163" s="9"/>
      <c r="F163" s="9"/>
      <c r="G163" s="9"/>
      <c r="H163" s="9"/>
      <c r="I163" s="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5"/>
      <c r="W163" s="7">
        <v>3.819</v>
      </c>
      <c r="X163" s="7">
        <v>20.999500000000001</v>
      </c>
      <c r="Y163" s="7"/>
      <c r="Z163" s="7"/>
      <c r="AA163" s="7">
        <v>1.9990000000000001</v>
      </c>
      <c r="AC163" s="7">
        <f t="shared" si="146"/>
        <v>20.999500000000001</v>
      </c>
      <c r="AH163" s="5"/>
      <c r="AI163" s="5"/>
    </row>
    <row r="164" spans="1:55" ht="15.5" x14ac:dyDescent="0.35">
      <c r="A164" s="13"/>
      <c r="C164" s="9"/>
      <c r="D164" s="9"/>
      <c r="E164" s="9"/>
      <c r="F164" s="9"/>
      <c r="G164" s="9"/>
      <c r="H164" s="9"/>
      <c r="I164" s="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5"/>
      <c r="W164" s="7">
        <v>15.285499999999999</v>
      </c>
      <c r="X164" s="7">
        <v>30.7515</v>
      </c>
      <c r="Y164" s="7"/>
      <c r="Z164" s="7"/>
      <c r="AA164" s="7">
        <v>2.1804999999999999</v>
      </c>
      <c r="AC164" s="7">
        <f t="shared" si="146"/>
        <v>30.7515</v>
      </c>
      <c r="AH164" s="5"/>
      <c r="AI164" s="5"/>
    </row>
    <row r="165" spans="1:55" ht="15.5" x14ac:dyDescent="0.35">
      <c r="A165" s="13"/>
      <c r="B165" s="5"/>
      <c r="C165" s="9"/>
      <c r="D165" s="9"/>
      <c r="E165" s="9"/>
      <c r="F165" s="9"/>
      <c r="G165" s="9"/>
      <c r="H165" s="9"/>
      <c r="I165" s="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E165" s="13"/>
      <c r="AF165" s="9"/>
      <c r="AH165" s="5"/>
      <c r="AI165" s="5"/>
    </row>
    <row r="166" spans="1:55" ht="15.5" x14ac:dyDescent="0.35">
      <c r="A166" s="13"/>
      <c r="B166" s="5"/>
      <c r="C166" s="9"/>
      <c r="D166" s="9"/>
      <c r="E166" s="9"/>
      <c r="F166" s="9"/>
      <c r="G166" s="9"/>
      <c r="H166" s="9"/>
      <c r="I166" s="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E166" s="13"/>
      <c r="AF166" s="9"/>
      <c r="AH166" s="5"/>
      <c r="AI166" s="5"/>
    </row>
    <row r="167" spans="1:55" ht="15.5" x14ac:dyDescent="0.35">
      <c r="A167" s="13"/>
      <c r="B167" s="10"/>
      <c r="C167" s="9"/>
      <c r="D167" s="9"/>
      <c r="E167" s="9"/>
      <c r="F167" s="9"/>
      <c r="G167" s="9"/>
      <c r="H167" s="9"/>
      <c r="I167" s="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E167" s="13"/>
      <c r="AF167" s="9"/>
      <c r="AH167" s="5"/>
      <c r="AI167" s="5"/>
    </row>
    <row r="168" spans="1:55" ht="15.5" x14ac:dyDescent="0.35">
      <c r="A168" s="13"/>
      <c r="B168" s="5"/>
      <c r="C168" s="9"/>
      <c r="D168" s="9"/>
      <c r="E168" s="9"/>
      <c r="F168" s="9"/>
      <c r="G168" s="9"/>
      <c r="H168" s="9"/>
      <c r="I168" s="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E168" s="13"/>
      <c r="AF168" s="9"/>
      <c r="AH168" s="5"/>
      <c r="AI168" s="5"/>
    </row>
    <row r="169" spans="1:55" ht="15.5" x14ac:dyDescent="0.35">
      <c r="A169" t="s">
        <v>0</v>
      </c>
      <c r="B169" t="s">
        <v>140</v>
      </c>
      <c r="AE169" s="13"/>
      <c r="AF169" s="9"/>
      <c r="AH169" s="5"/>
      <c r="AI169" s="5"/>
    </row>
    <row r="170" spans="1:55" ht="15.5" x14ac:dyDescent="0.35">
      <c r="B170" t="s">
        <v>136</v>
      </c>
      <c r="I170" t="s">
        <v>134</v>
      </c>
      <c r="P170" t="s">
        <v>135</v>
      </c>
      <c r="AE170" s="13"/>
      <c r="AF170" s="9"/>
      <c r="AG170" s="5"/>
      <c r="AH170" s="10"/>
      <c r="AI170" s="10"/>
    </row>
    <row r="171" spans="1:55" ht="15.5" x14ac:dyDescent="0.35">
      <c r="B171" s="9" t="s">
        <v>128</v>
      </c>
      <c r="C171" s="9" t="s">
        <v>129</v>
      </c>
      <c r="D171" s="9" t="s">
        <v>130</v>
      </c>
      <c r="E171" s="9" t="s">
        <v>131</v>
      </c>
      <c r="F171" s="9" t="s">
        <v>132</v>
      </c>
      <c r="G171" s="9" t="s">
        <v>133</v>
      </c>
      <c r="I171" s="9" t="s">
        <v>128</v>
      </c>
      <c r="J171" s="9" t="s">
        <v>129</v>
      </c>
      <c r="K171" s="9" t="s">
        <v>130</v>
      </c>
      <c r="L171" s="9" t="s">
        <v>131</v>
      </c>
      <c r="M171" s="9" t="s">
        <v>132</v>
      </c>
      <c r="N171" s="9" t="s">
        <v>133</v>
      </c>
      <c r="P171" s="9" t="s">
        <v>128</v>
      </c>
      <c r="Q171" s="9" t="s">
        <v>129</v>
      </c>
      <c r="R171" s="9" t="s">
        <v>130</v>
      </c>
      <c r="S171" s="9" t="s">
        <v>131</v>
      </c>
      <c r="T171" s="9" t="s">
        <v>132</v>
      </c>
      <c r="U171" s="9" t="s">
        <v>133</v>
      </c>
      <c r="W171" s="9" t="s">
        <v>6</v>
      </c>
      <c r="X171" s="9" t="s">
        <v>7</v>
      </c>
      <c r="Z171" s="9" t="s">
        <v>20</v>
      </c>
      <c r="AB171" s="1" t="s">
        <v>6</v>
      </c>
      <c r="AC171" s="10">
        <v>70.2</v>
      </c>
      <c r="AG171" s="5" t="s">
        <v>535</v>
      </c>
      <c r="AH171" s="5" t="s">
        <v>536</v>
      </c>
      <c r="AI171" s="5" t="s">
        <v>537</v>
      </c>
      <c r="AJ171" s="10" t="s">
        <v>538</v>
      </c>
      <c r="AK171" s="10" t="s">
        <v>533</v>
      </c>
      <c r="AL171" s="10" t="s">
        <v>534</v>
      </c>
      <c r="AM171" s="10" t="s">
        <v>539</v>
      </c>
      <c r="BA171" t="s">
        <v>540</v>
      </c>
      <c r="BB171" t="s">
        <v>541</v>
      </c>
      <c r="BC171" t="s">
        <v>542</v>
      </c>
    </row>
    <row r="172" spans="1:55" ht="15.5" x14ac:dyDescent="0.35">
      <c r="A172" s="13">
        <v>42433</v>
      </c>
      <c r="B172" s="5">
        <v>72.400000000000006</v>
      </c>
      <c r="C172" s="5">
        <v>69.5</v>
      </c>
      <c r="D172" s="9"/>
      <c r="E172" s="9"/>
      <c r="F172" s="5">
        <v>73.8</v>
      </c>
      <c r="G172" s="5">
        <v>71.7</v>
      </c>
      <c r="H172" s="9"/>
      <c r="I172" s="5">
        <v>82.8</v>
      </c>
      <c r="J172" s="5">
        <v>72.599999999999994</v>
      </c>
      <c r="K172" s="5"/>
      <c r="L172" s="5"/>
      <c r="M172" s="5">
        <v>96.6</v>
      </c>
      <c r="N172" s="5">
        <v>83.2</v>
      </c>
      <c r="P172" s="5">
        <v>98</v>
      </c>
      <c r="Q172" s="5">
        <v>89</v>
      </c>
      <c r="T172" s="5">
        <v>93.7</v>
      </c>
      <c r="U172" s="5">
        <v>92</v>
      </c>
      <c r="X172" s="5"/>
      <c r="Y172" s="5"/>
      <c r="AB172" s="1" t="s">
        <v>7</v>
      </c>
      <c r="AC172" s="10">
        <v>92</v>
      </c>
      <c r="AF172" s="13">
        <v>42433</v>
      </c>
      <c r="AG172" s="14">
        <f>AVERAGE(B172,D172,F172)</f>
        <v>73.099999999999994</v>
      </c>
      <c r="AH172" s="14">
        <f>AVERAGE(C172,E172,G172)</f>
        <v>70.599999999999994</v>
      </c>
      <c r="AI172" s="14">
        <f>AVERAGE(I172,K172,M172)</f>
        <v>89.699999999999989</v>
      </c>
      <c r="AJ172" s="8">
        <f>AVERAGE(J172,L172,N172)</f>
        <v>77.900000000000006</v>
      </c>
      <c r="AK172" s="8">
        <f>AVERAGE(P172,R172,T172)</f>
        <v>95.85</v>
      </c>
      <c r="AL172" s="8">
        <f>AVERAGE(Q172,S172,U172)</f>
        <v>90.5</v>
      </c>
      <c r="BA172" s="7">
        <f>AVERAGE(B172,D172,F172,I172,K172,M172,P172,R172,T172)</f>
        <v>86.216666666666683</v>
      </c>
      <c r="BB172" s="7">
        <f>AVERAGE(C172,E172,G172,J172,L172,N172,Q172,S172,U172)</f>
        <v>79.666666666666671</v>
      </c>
    </row>
    <row r="173" spans="1:55" ht="15.5" x14ac:dyDescent="0.35">
      <c r="A173" s="13">
        <v>42440</v>
      </c>
      <c r="B173" s="5">
        <v>65.099999999999994</v>
      </c>
      <c r="C173" s="5">
        <v>56.2</v>
      </c>
      <c r="F173" s="5">
        <v>69.5</v>
      </c>
      <c r="G173" s="5">
        <v>55.1</v>
      </c>
      <c r="H173" s="9"/>
      <c r="I173" s="5">
        <v>70.599999999999994</v>
      </c>
      <c r="J173" s="5">
        <v>61.5</v>
      </c>
      <c r="K173" s="5"/>
      <c r="L173" s="5"/>
      <c r="M173" s="5">
        <v>65.8</v>
      </c>
      <c r="N173" s="5">
        <v>60.4</v>
      </c>
      <c r="P173" s="5">
        <v>78.2</v>
      </c>
      <c r="Q173" s="5">
        <v>66.3</v>
      </c>
      <c r="T173" s="5">
        <v>79.900000000000006</v>
      </c>
      <c r="U173" s="5">
        <v>76.2</v>
      </c>
      <c r="W173" s="5">
        <v>87.4</v>
      </c>
      <c r="X173" s="5">
        <v>83.2</v>
      </c>
      <c r="Y173" s="5"/>
      <c r="Z173" s="5">
        <v>82</v>
      </c>
      <c r="AB173" s="1" t="s">
        <v>46</v>
      </c>
      <c r="AC173">
        <v>101.2</v>
      </c>
      <c r="AF173" s="13">
        <v>42440</v>
      </c>
      <c r="AG173" s="14">
        <f t="shared" ref="AG173:AG182" si="147">AVERAGE(B173,D173,F173)</f>
        <v>67.3</v>
      </c>
      <c r="AH173" s="14">
        <f t="shared" ref="AH173:AH182" si="148">AVERAGE(C173,E173,G173)</f>
        <v>55.650000000000006</v>
      </c>
      <c r="AI173" s="14">
        <f t="shared" ref="AI173:AI182" si="149">AVERAGE(I173,K173,M173)</f>
        <v>68.199999999999989</v>
      </c>
      <c r="AJ173" s="8">
        <f t="shared" ref="AJ173:AJ182" si="150">AVERAGE(J173,L173,N173)</f>
        <v>60.95</v>
      </c>
      <c r="AK173" s="8">
        <f t="shared" ref="AK173:AK182" si="151">AVERAGE(P173,R173,T173)</f>
        <v>79.050000000000011</v>
      </c>
      <c r="AL173" s="8">
        <f t="shared" ref="AL173:AL182" si="152">AVERAGE(Q173,S173,U173)</f>
        <v>71.25</v>
      </c>
      <c r="AM173" s="8">
        <v>87.4</v>
      </c>
      <c r="BA173" s="7">
        <f t="shared" ref="BA173:BA182" si="153">AVERAGE(B173,D173,F173,I173,K173,M173,P173,R173,T173)</f>
        <v>71.516666666666666</v>
      </c>
      <c r="BB173" s="7">
        <f t="shared" ref="BB173:BB182" si="154">AVERAGE(C173,E173,G173,J173,L173,N173,Q173,S173,U173)</f>
        <v>62.616666666666667</v>
      </c>
      <c r="BC173" s="8">
        <v>87.4</v>
      </c>
    </row>
    <row r="174" spans="1:55" ht="15.5" x14ac:dyDescent="0.35">
      <c r="A174" s="13">
        <v>42447</v>
      </c>
      <c r="B174" s="10">
        <v>55.5</v>
      </c>
      <c r="C174" s="10">
        <v>56.2</v>
      </c>
      <c r="D174" s="9"/>
      <c r="E174" s="9"/>
      <c r="F174" s="10">
        <v>57.7</v>
      </c>
      <c r="G174" s="10">
        <v>57.3</v>
      </c>
      <c r="H174" s="9"/>
      <c r="I174" s="10">
        <v>57</v>
      </c>
      <c r="J174" s="10">
        <v>84.8</v>
      </c>
      <c r="K174" s="10"/>
      <c r="L174" s="10"/>
      <c r="M174" s="10">
        <v>56.3</v>
      </c>
      <c r="N174" s="10">
        <v>57.3</v>
      </c>
      <c r="P174" s="10">
        <v>61.8</v>
      </c>
      <c r="Q174" s="10">
        <v>56.7</v>
      </c>
      <c r="T174" s="10">
        <v>60.1</v>
      </c>
      <c r="U174" s="10">
        <v>56.7</v>
      </c>
      <c r="W174" s="10">
        <v>54</v>
      </c>
      <c r="X174" s="10">
        <v>54.4</v>
      </c>
      <c r="Y174" s="10"/>
      <c r="Z174" s="5">
        <v>91.1</v>
      </c>
      <c r="AB174" s="1" t="s">
        <v>47</v>
      </c>
      <c r="AC174">
        <v>63.9</v>
      </c>
      <c r="AF174" s="13">
        <v>42447</v>
      </c>
      <c r="AG174" s="14">
        <f t="shared" si="147"/>
        <v>56.6</v>
      </c>
      <c r="AH174" s="14">
        <f t="shared" si="148"/>
        <v>56.75</v>
      </c>
      <c r="AI174" s="14">
        <f t="shared" si="149"/>
        <v>56.65</v>
      </c>
      <c r="AJ174" s="8">
        <f t="shared" si="150"/>
        <v>71.05</v>
      </c>
      <c r="AK174" s="8">
        <f t="shared" si="151"/>
        <v>60.95</v>
      </c>
      <c r="AL174" s="8">
        <f t="shared" si="152"/>
        <v>56.7</v>
      </c>
      <c r="AM174" s="8">
        <v>54</v>
      </c>
      <c r="BA174" s="7">
        <f t="shared" si="153"/>
        <v>58.06666666666667</v>
      </c>
      <c r="BB174" s="7">
        <f t="shared" si="154"/>
        <v>61.5</v>
      </c>
      <c r="BC174" s="8">
        <v>54</v>
      </c>
    </row>
    <row r="175" spans="1:55" ht="15.5" x14ac:dyDescent="0.35">
      <c r="A175" s="13">
        <v>42454</v>
      </c>
      <c r="B175" s="5">
        <v>118.5</v>
      </c>
      <c r="C175" s="5">
        <v>124.2</v>
      </c>
      <c r="D175" s="9"/>
      <c r="E175" s="9"/>
      <c r="F175" s="5">
        <v>113</v>
      </c>
      <c r="G175" s="5">
        <v>124.3</v>
      </c>
      <c r="H175" s="9"/>
      <c r="I175" s="5">
        <v>114</v>
      </c>
      <c r="J175" s="5">
        <v>109.9</v>
      </c>
      <c r="K175" s="5"/>
      <c r="L175" s="5"/>
      <c r="M175" s="5">
        <v>111.5</v>
      </c>
      <c r="N175" s="5">
        <v>108</v>
      </c>
      <c r="P175" s="5">
        <v>118.9</v>
      </c>
      <c r="Q175" s="5">
        <v>106</v>
      </c>
      <c r="T175" s="5">
        <v>125</v>
      </c>
      <c r="U175" s="5">
        <v>122.8</v>
      </c>
      <c r="W175" s="5">
        <v>112.5</v>
      </c>
      <c r="X175" s="5">
        <v>109</v>
      </c>
      <c r="Y175" s="5"/>
      <c r="Z175" s="5">
        <v>139.19999999999999</v>
      </c>
      <c r="AB175" s="1" t="s">
        <v>89</v>
      </c>
      <c r="AC175">
        <v>93.9</v>
      </c>
      <c r="AF175" s="13">
        <v>42454</v>
      </c>
      <c r="AG175" s="14">
        <f t="shared" si="147"/>
        <v>115.75</v>
      </c>
      <c r="AH175" s="14">
        <f t="shared" si="148"/>
        <v>124.25</v>
      </c>
      <c r="AI175" s="14">
        <f t="shared" si="149"/>
        <v>112.75</v>
      </c>
      <c r="AJ175" s="8">
        <f t="shared" si="150"/>
        <v>108.95</v>
      </c>
      <c r="AK175" s="8">
        <f t="shared" si="151"/>
        <v>121.95</v>
      </c>
      <c r="AL175" s="8">
        <f t="shared" si="152"/>
        <v>114.4</v>
      </c>
      <c r="AM175" s="8">
        <v>112.5</v>
      </c>
      <c r="BA175" s="7">
        <f t="shared" si="153"/>
        <v>116.81666666666666</v>
      </c>
      <c r="BB175" s="7">
        <f t="shared" si="154"/>
        <v>115.86666666666666</v>
      </c>
      <c r="BC175" s="8">
        <v>112.5</v>
      </c>
    </row>
    <row r="176" spans="1:55" ht="15.5" x14ac:dyDescent="0.35">
      <c r="A176" s="13">
        <v>42461</v>
      </c>
      <c r="B176" s="10">
        <v>121.7</v>
      </c>
      <c r="C176" s="10">
        <v>96.1</v>
      </c>
      <c r="D176" s="10">
        <v>110.3</v>
      </c>
      <c r="E176" s="10">
        <v>102.5</v>
      </c>
      <c r="F176" s="10">
        <v>116.5</v>
      </c>
      <c r="G176" s="10">
        <v>102.5</v>
      </c>
      <c r="H176" s="9"/>
      <c r="I176" s="10">
        <v>107</v>
      </c>
      <c r="J176" s="10">
        <v>100.3</v>
      </c>
      <c r="K176" s="10">
        <v>103.9</v>
      </c>
      <c r="L176" s="10">
        <v>96.9</v>
      </c>
      <c r="M176" s="10">
        <v>114.7</v>
      </c>
      <c r="N176" s="10">
        <v>92.4</v>
      </c>
      <c r="P176" s="10">
        <v>119.4</v>
      </c>
      <c r="Q176" s="10">
        <v>91.1</v>
      </c>
      <c r="R176" s="10">
        <v>109.1</v>
      </c>
      <c r="S176" s="10">
        <v>92.6</v>
      </c>
      <c r="T176" s="10">
        <v>114</v>
      </c>
      <c r="U176" s="10">
        <v>90.4</v>
      </c>
      <c r="W176" s="10">
        <v>105.4</v>
      </c>
      <c r="X176" s="10">
        <v>104.1</v>
      </c>
      <c r="Y176" s="10"/>
      <c r="Z176" s="5">
        <v>117.2</v>
      </c>
      <c r="AB176" s="1" t="s">
        <v>90</v>
      </c>
      <c r="AC176">
        <v>83.5</v>
      </c>
      <c r="AF176" s="13">
        <v>42461</v>
      </c>
      <c r="AG176" s="14">
        <f t="shared" si="147"/>
        <v>116.16666666666667</v>
      </c>
      <c r="AH176" s="14">
        <f t="shared" si="148"/>
        <v>100.36666666666667</v>
      </c>
      <c r="AI176" s="14">
        <f t="shared" si="149"/>
        <v>108.53333333333335</v>
      </c>
      <c r="AJ176" s="8">
        <f t="shared" si="150"/>
        <v>96.533333333333346</v>
      </c>
      <c r="AK176" s="8">
        <f t="shared" si="151"/>
        <v>114.16666666666667</v>
      </c>
      <c r="AL176" s="8">
        <f t="shared" si="152"/>
        <v>91.366666666666674</v>
      </c>
      <c r="AM176" s="8">
        <v>105.4</v>
      </c>
      <c r="BA176" s="7">
        <f t="shared" si="153"/>
        <v>112.95555555555556</v>
      </c>
      <c r="BB176" s="7">
        <f t="shared" si="154"/>
        <v>96.088888888888903</v>
      </c>
      <c r="BC176" s="8">
        <v>105.4</v>
      </c>
    </row>
    <row r="177" spans="1:55" ht="15.5" x14ac:dyDescent="0.35">
      <c r="A177" s="13">
        <v>42468</v>
      </c>
      <c r="B177" s="10">
        <v>108.3</v>
      </c>
      <c r="C177" s="10">
        <v>106.2</v>
      </c>
      <c r="D177" s="10">
        <v>107.8</v>
      </c>
      <c r="E177" s="10">
        <v>103.5</v>
      </c>
      <c r="F177" s="10">
        <v>100.4</v>
      </c>
      <c r="G177" s="10">
        <v>99.3</v>
      </c>
      <c r="H177" s="9"/>
      <c r="I177" s="10">
        <v>107.4</v>
      </c>
      <c r="J177" s="10">
        <v>98</v>
      </c>
      <c r="K177" s="10">
        <v>99.7</v>
      </c>
      <c r="L177" s="10">
        <v>97.6</v>
      </c>
      <c r="M177" s="10">
        <v>91.9</v>
      </c>
      <c r="N177" s="10">
        <v>101.2</v>
      </c>
      <c r="P177" s="10">
        <v>97.3</v>
      </c>
      <c r="Q177" s="10">
        <v>99.8</v>
      </c>
      <c r="R177" s="10">
        <v>106.8</v>
      </c>
      <c r="S177" s="10">
        <v>80.900000000000006</v>
      </c>
      <c r="T177" s="10">
        <v>111.3</v>
      </c>
      <c r="U177" s="10">
        <v>102.3</v>
      </c>
      <c r="W177" s="10">
        <v>103.2</v>
      </c>
      <c r="X177" s="10">
        <v>103</v>
      </c>
      <c r="Y177" s="10"/>
      <c r="Z177" s="5">
        <v>137.4</v>
      </c>
      <c r="AB177" s="1" t="s">
        <v>48</v>
      </c>
      <c r="AC177">
        <v>87.3</v>
      </c>
      <c r="AF177" s="13">
        <v>42468</v>
      </c>
      <c r="AG177" s="14">
        <f t="shared" si="147"/>
        <v>105.5</v>
      </c>
      <c r="AH177" s="14">
        <f t="shared" si="148"/>
        <v>103</v>
      </c>
      <c r="AI177" s="14">
        <f t="shared" si="149"/>
        <v>99.666666666666671</v>
      </c>
      <c r="AJ177" s="8">
        <f t="shared" si="150"/>
        <v>98.933333333333337</v>
      </c>
      <c r="AK177" s="8">
        <f t="shared" si="151"/>
        <v>105.13333333333333</v>
      </c>
      <c r="AL177" s="8">
        <f t="shared" si="152"/>
        <v>94.333333333333329</v>
      </c>
      <c r="AM177" s="8">
        <v>103.2</v>
      </c>
      <c r="BA177" s="7">
        <f t="shared" si="153"/>
        <v>103.43333333333332</v>
      </c>
      <c r="BB177" s="7">
        <f t="shared" si="154"/>
        <v>98.755555555555546</v>
      </c>
      <c r="BC177" s="8">
        <v>103.2</v>
      </c>
    </row>
    <row r="178" spans="1:55" ht="15.5" x14ac:dyDescent="0.35">
      <c r="A178" s="13">
        <v>42475</v>
      </c>
      <c r="B178" s="10">
        <v>129.5</v>
      </c>
      <c r="C178" s="10">
        <v>124.6</v>
      </c>
      <c r="D178" s="10">
        <v>131</v>
      </c>
      <c r="E178" s="10">
        <v>128.4</v>
      </c>
      <c r="F178" s="10">
        <v>124</v>
      </c>
      <c r="G178" s="10">
        <v>130.69999999999999</v>
      </c>
      <c r="H178" s="9"/>
      <c r="I178" s="10">
        <v>103.6</v>
      </c>
      <c r="J178" s="10">
        <v>107.2</v>
      </c>
      <c r="K178" s="10">
        <v>115</v>
      </c>
      <c r="L178" s="10">
        <v>115.3</v>
      </c>
      <c r="M178" s="10">
        <v>107.2</v>
      </c>
      <c r="N178" s="10">
        <v>128.4</v>
      </c>
      <c r="P178" s="10">
        <v>122.6</v>
      </c>
      <c r="Q178" s="10">
        <v>119.1</v>
      </c>
      <c r="R178" s="10">
        <v>96</v>
      </c>
      <c r="S178" s="10">
        <v>103.2</v>
      </c>
      <c r="T178" s="10">
        <v>128</v>
      </c>
      <c r="U178" s="10">
        <v>130.1</v>
      </c>
      <c r="W178" s="10">
        <v>114.3</v>
      </c>
      <c r="X178" s="10">
        <v>114.8</v>
      </c>
      <c r="Y178" s="10"/>
      <c r="Z178" s="5">
        <v>129.5</v>
      </c>
      <c r="AB178" s="1" t="s">
        <v>49</v>
      </c>
      <c r="AC178">
        <v>73.7</v>
      </c>
      <c r="AF178" s="13">
        <v>42475</v>
      </c>
      <c r="AG178" s="14">
        <f t="shared" si="147"/>
        <v>128.16666666666666</v>
      </c>
      <c r="AH178" s="14">
        <f t="shared" si="148"/>
        <v>127.89999999999999</v>
      </c>
      <c r="AI178" s="14">
        <f t="shared" si="149"/>
        <v>108.60000000000001</v>
      </c>
      <c r="AJ178" s="8">
        <f t="shared" si="150"/>
        <v>116.96666666666665</v>
      </c>
      <c r="AK178" s="8">
        <f t="shared" si="151"/>
        <v>115.53333333333335</v>
      </c>
      <c r="AL178" s="8">
        <f t="shared" si="152"/>
        <v>117.46666666666665</v>
      </c>
      <c r="AM178" s="8">
        <v>114.3</v>
      </c>
      <c r="BA178" s="7">
        <f t="shared" si="153"/>
        <v>117.43333333333334</v>
      </c>
      <c r="BB178" s="7">
        <f t="shared" si="154"/>
        <v>120.77777777777777</v>
      </c>
      <c r="BC178" s="8">
        <v>114.3</v>
      </c>
    </row>
    <row r="179" spans="1:55" ht="15.5" x14ac:dyDescent="0.35">
      <c r="A179" s="13">
        <v>42482</v>
      </c>
      <c r="B179" s="10">
        <v>148.5</v>
      </c>
      <c r="C179" s="10">
        <v>133</v>
      </c>
      <c r="D179" s="10">
        <v>158.19999999999999</v>
      </c>
      <c r="E179" s="10">
        <v>144.80000000000001</v>
      </c>
      <c r="F179">
        <v>144.69999999999999</v>
      </c>
      <c r="G179">
        <v>152.4</v>
      </c>
      <c r="H179" s="9"/>
      <c r="I179" s="10">
        <v>132.4</v>
      </c>
      <c r="J179" s="10">
        <v>160.6</v>
      </c>
      <c r="K179" s="10">
        <v>197.8</v>
      </c>
      <c r="L179" s="10">
        <v>115.6</v>
      </c>
      <c r="M179" s="10">
        <v>182.5</v>
      </c>
      <c r="N179" s="10">
        <v>177.9</v>
      </c>
      <c r="O179" s="5"/>
      <c r="P179" s="10">
        <v>124.8</v>
      </c>
      <c r="Q179" s="10">
        <v>144.30000000000001</v>
      </c>
      <c r="R179" s="10">
        <v>93.9</v>
      </c>
      <c r="S179" s="10">
        <v>115.8</v>
      </c>
      <c r="T179" s="10">
        <v>142.1</v>
      </c>
      <c r="U179" s="10">
        <v>208.4</v>
      </c>
      <c r="V179" s="5"/>
      <c r="W179" s="10">
        <v>124.3</v>
      </c>
      <c r="X179" s="10">
        <v>123.6</v>
      </c>
      <c r="Y179" s="5"/>
      <c r="Z179" s="5"/>
      <c r="AB179" s="1" t="s">
        <v>50</v>
      </c>
      <c r="AC179">
        <v>107</v>
      </c>
      <c r="AF179" s="13">
        <v>42482</v>
      </c>
      <c r="AG179" s="14">
        <f t="shared" si="147"/>
        <v>150.46666666666667</v>
      </c>
      <c r="AH179" s="14">
        <f t="shared" si="148"/>
        <v>143.4</v>
      </c>
      <c r="AI179" s="14">
        <f t="shared" si="149"/>
        <v>170.9</v>
      </c>
      <c r="AJ179" s="8">
        <f t="shared" si="150"/>
        <v>151.36666666666667</v>
      </c>
      <c r="AK179" s="8">
        <f t="shared" si="151"/>
        <v>120.26666666666665</v>
      </c>
      <c r="AL179" s="8">
        <f t="shared" si="152"/>
        <v>156.16666666666666</v>
      </c>
      <c r="AM179" s="8">
        <v>124.3</v>
      </c>
      <c r="BA179" s="7">
        <f t="shared" si="153"/>
        <v>147.21111111111111</v>
      </c>
      <c r="BB179" s="7">
        <f t="shared" si="154"/>
        <v>150.31111111111113</v>
      </c>
      <c r="BC179" s="8">
        <v>124.3</v>
      </c>
    </row>
    <row r="180" spans="1:55" ht="15.5" x14ac:dyDescent="0.35">
      <c r="A180" s="13">
        <v>42489</v>
      </c>
      <c r="B180">
        <v>141.5</v>
      </c>
      <c r="C180">
        <v>113.7</v>
      </c>
      <c r="D180">
        <v>139.69999999999999</v>
      </c>
      <c r="E180">
        <v>137.19999999999999</v>
      </c>
      <c r="F180">
        <v>131.9</v>
      </c>
      <c r="G180">
        <v>133.19999999999999</v>
      </c>
      <c r="H180" s="9"/>
      <c r="I180">
        <v>144.4</v>
      </c>
      <c r="J180">
        <v>133</v>
      </c>
      <c r="K180">
        <v>135.69999999999999</v>
      </c>
      <c r="L180">
        <v>107.7</v>
      </c>
      <c r="M180">
        <v>134</v>
      </c>
      <c r="N180">
        <v>123.5</v>
      </c>
      <c r="O180" s="5"/>
      <c r="P180">
        <v>119.4</v>
      </c>
      <c r="Q180">
        <v>114.2</v>
      </c>
      <c r="R180">
        <v>110.3</v>
      </c>
      <c r="S180">
        <v>105.8</v>
      </c>
      <c r="T180">
        <v>119.1</v>
      </c>
      <c r="U180">
        <v>108</v>
      </c>
      <c r="V180" s="5"/>
      <c r="W180" s="10"/>
      <c r="X180" s="10"/>
      <c r="Y180" s="5"/>
      <c r="Z180" s="5">
        <v>122.6</v>
      </c>
      <c r="AB180" s="1" t="s">
        <v>51</v>
      </c>
      <c r="AC180">
        <v>82.2</v>
      </c>
      <c r="AF180" s="13">
        <v>42489</v>
      </c>
      <c r="AG180" s="14">
        <f t="shared" si="147"/>
        <v>137.70000000000002</v>
      </c>
      <c r="AH180" s="14">
        <f t="shared" si="148"/>
        <v>128.03333333333333</v>
      </c>
      <c r="AI180" s="14">
        <f t="shared" si="149"/>
        <v>138.03333333333333</v>
      </c>
      <c r="AJ180" s="8">
        <f t="shared" si="150"/>
        <v>121.39999999999999</v>
      </c>
      <c r="AK180" s="8">
        <f t="shared" si="151"/>
        <v>116.26666666666665</v>
      </c>
      <c r="AL180" s="8">
        <f t="shared" si="152"/>
        <v>109.33333333333333</v>
      </c>
      <c r="AM180" s="8">
        <v>122.6</v>
      </c>
      <c r="BA180" s="7">
        <f t="shared" si="153"/>
        <v>130.66666666666666</v>
      </c>
      <c r="BB180" s="7">
        <f t="shared" si="154"/>
        <v>119.58888888888889</v>
      </c>
      <c r="BC180" s="8">
        <v>122.6</v>
      </c>
    </row>
    <row r="181" spans="1:55" ht="15.5" x14ac:dyDescent="0.35">
      <c r="A181" s="13">
        <v>42494</v>
      </c>
      <c r="B181">
        <v>162.1</v>
      </c>
      <c r="C181">
        <v>140.69999999999999</v>
      </c>
      <c r="D181">
        <v>141.1</v>
      </c>
      <c r="E181">
        <v>121.8</v>
      </c>
      <c r="F181">
        <v>145.6</v>
      </c>
      <c r="G181">
        <v>82.9</v>
      </c>
      <c r="H181" s="9"/>
      <c r="I181">
        <v>116.2</v>
      </c>
      <c r="J181">
        <v>137.19999999999999</v>
      </c>
      <c r="K181">
        <v>111.2</v>
      </c>
      <c r="L181">
        <v>116.8</v>
      </c>
      <c r="M181">
        <v>128.69999999999999</v>
      </c>
      <c r="N181">
        <v>129.5</v>
      </c>
      <c r="O181" s="5"/>
      <c r="P181">
        <v>143.5</v>
      </c>
      <c r="Q181">
        <v>56.6</v>
      </c>
      <c r="R181">
        <v>103.7</v>
      </c>
      <c r="S181">
        <v>88</v>
      </c>
      <c r="T181">
        <v>113.7</v>
      </c>
      <c r="U181">
        <v>71.900000000000006</v>
      </c>
      <c r="V181" s="5"/>
      <c r="W181" s="10">
        <v>109.6</v>
      </c>
      <c r="X181" s="10">
        <v>108.8</v>
      </c>
      <c r="Y181" s="5"/>
      <c r="Z181" s="5"/>
      <c r="AB181" s="1" t="s">
        <v>91</v>
      </c>
      <c r="AC181">
        <v>13.8</v>
      </c>
      <c r="AF181" s="13">
        <v>42494</v>
      </c>
      <c r="AG181" s="14">
        <f t="shared" si="147"/>
        <v>149.6</v>
      </c>
      <c r="AH181" s="14">
        <f t="shared" si="148"/>
        <v>115.13333333333333</v>
      </c>
      <c r="AI181" s="14">
        <f t="shared" si="149"/>
        <v>118.7</v>
      </c>
      <c r="AJ181" s="8">
        <f t="shared" si="150"/>
        <v>127.83333333333333</v>
      </c>
      <c r="AK181" s="8">
        <f t="shared" si="151"/>
        <v>120.3</v>
      </c>
      <c r="AL181" s="8">
        <f t="shared" si="152"/>
        <v>72.166666666666671</v>
      </c>
      <c r="AM181" s="8">
        <v>109.6</v>
      </c>
      <c r="BA181" s="7">
        <f t="shared" si="153"/>
        <v>129.53333333333336</v>
      </c>
      <c r="BB181" s="7">
        <f t="shared" si="154"/>
        <v>105.04444444444444</v>
      </c>
      <c r="BC181" s="8">
        <v>109.6</v>
      </c>
    </row>
    <row r="182" spans="1:55" ht="15.5" x14ac:dyDescent="0.35">
      <c r="A182" s="13">
        <v>42503</v>
      </c>
      <c r="B182">
        <v>102.6</v>
      </c>
      <c r="C182">
        <v>65.8</v>
      </c>
      <c r="D182">
        <v>36.299999999999997</v>
      </c>
      <c r="E182">
        <v>33</v>
      </c>
      <c r="F182">
        <v>48.7</v>
      </c>
      <c r="G182">
        <v>40.700000000000003</v>
      </c>
      <c r="H182" s="9"/>
      <c r="I182">
        <v>107</v>
      </c>
      <c r="J182">
        <v>82.2</v>
      </c>
      <c r="K182">
        <v>13.8</v>
      </c>
      <c r="L182">
        <v>31.6</v>
      </c>
      <c r="M182">
        <v>86.4</v>
      </c>
      <c r="N182">
        <v>68.900000000000006</v>
      </c>
      <c r="O182" s="5"/>
      <c r="P182">
        <v>101.2</v>
      </c>
      <c r="Q182">
        <v>63.9</v>
      </c>
      <c r="R182">
        <v>93.9</v>
      </c>
      <c r="S182">
        <v>83.5</v>
      </c>
      <c r="T182">
        <v>87.3</v>
      </c>
      <c r="U182">
        <v>73.7</v>
      </c>
      <c r="V182" s="5"/>
      <c r="W182" s="10">
        <v>70.2</v>
      </c>
      <c r="X182" s="10">
        <v>92</v>
      </c>
      <c r="Y182" s="5"/>
      <c r="Z182" s="5"/>
      <c r="AB182" s="1" t="s">
        <v>92</v>
      </c>
      <c r="AC182">
        <v>31.6</v>
      </c>
      <c r="AF182" s="13">
        <v>42503</v>
      </c>
      <c r="AG182" s="14">
        <f t="shared" si="147"/>
        <v>62.533333333333324</v>
      </c>
      <c r="AH182" s="14">
        <f t="shared" si="148"/>
        <v>46.5</v>
      </c>
      <c r="AI182" s="14">
        <f t="shared" si="149"/>
        <v>69.066666666666663</v>
      </c>
      <c r="AJ182" s="8">
        <f t="shared" si="150"/>
        <v>60.900000000000006</v>
      </c>
      <c r="AK182" s="8">
        <f t="shared" si="151"/>
        <v>94.13333333333334</v>
      </c>
      <c r="AL182" s="8">
        <f t="shared" si="152"/>
        <v>73.7</v>
      </c>
      <c r="AM182" s="8">
        <v>70.2</v>
      </c>
      <c r="BA182" s="7">
        <f t="shared" si="153"/>
        <v>75.24444444444444</v>
      </c>
      <c r="BB182" s="7">
        <f t="shared" si="154"/>
        <v>60.36666666666666</v>
      </c>
      <c r="BC182" s="8">
        <v>70.2</v>
      </c>
    </row>
    <row r="183" spans="1:55" ht="15.5" x14ac:dyDescent="0.35">
      <c r="A183" s="13"/>
      <c r="H183" s="9"/>
      <c r="O183" s="5"/>
      <c r="V183" s="5"/>
      <c r="W183" s="10"/>
      <c r="X183" s="10"/>
      <c r="Y183" s="5"/>
      <c r="Z183" s="5"/>
      <c r="AB183" s="1"/>
      <c r="AF183" s="13"/>
      <c r="AG183" s="14"/>
      <c r="AH183" s="14"/>
      <c r="AI183" s="14"/>
      <c r="AJ183" s="8"/>
      <c r="AK183" s="8"/>
      <c r="AL183" s="8"/>
      <c r="AM183" s="8"/>
      <c r="BA183" s="7"/>
      <c r="BB183" s="7"/>
      <c r="BC183" s="8"/>
    </row>
    <row r="184" spans="1:55" ht="15.5" x14ac:dyDescent="0.35">
      <c r="A184" s="13"/>
      <c r="H184" s="9"/>
      <c r="O184" s="5"/>
      <c r="V184" s="5"/>
      <c r="W184" s="10"/>
      <c r="X184" s="10"/>
      <c r="Y184" s="5"/>
      <c r="Z184" s="5"/>
      <c r="AE184" s="1"/>
      <c r="AF184" s="13"/>
      <c r="AG184" s="14"/>
      <c r="AH184" s="14"/>
      <c r="AI184" s="14"/>
      <c r="AJ184" s="8"/>
      <c r="AK184" s="8"/>
      <c r="AL184" s="8"/>
      <c r="AM184" s="8"/>
      <c r="BA184" s="7"/>
      <c r="BB184" s="7"/>
      <c r="BC184" s="8"/>
    </row>
    <row r="185" spans="1:55" ht="15.5" x14ac:dyDescent="0.35">
      <c r="A185" s="2">
        <v>42797</v>
      </c>
      <c r="B185">
        <v>80.7</v>
      </c>
      <c r="C185">
        <v>80.5</v>
      </c>
      <c r="F185">
        <v>82.5</v>
      </c>
      <c r="G185">
        <v>81.900000000000006</v>
      </c>
      <c r="I185">
        <v>81.900000000000006</v>
      </c>
      <c r="J185">
        <v>81.599999999999994</v>
      </c>
      <c r="M185">
        <v>81.2</v>
      </c>
      <c r="N185">
        <v>80.5</v>
      </c>
      <c r="P185">
        <v>81.5</v>
      </c>
      <c r="Q185">
        <v>80.8</v>
      </c>
      <c r="T185">
        <v>83.3</v>
      </c>
      <c r="U185">
        <v>81.3</v>
      </c>
      <c r="V185" s="5"/>
      <c r="W185" s="10">
        <v>87</v>
      </c>
      <c r="X185" s="10"/>
      <c r="AE185" s="1"/>
      <c r="AF185" s="2">
        <v>42797</v>
      </c>
      <c r="AG185" s="8">
        <f t="shared" ref="AG185:AG195" si="155">AVERAGE(B185,D185,F185)</f>
        <v>81.599999999999994</v>
      </c>
      <c r="AH185" s="8">
        <f t="shared" ref="AH185:AH195" si="156">AVERAGE(C185,E185,G185)</f>
        <v>81.2</v>
      </c>
      <c r="AI185" s="14">
        <f t="shared" ref="AI185:AI195" si="157">AVERAGE(I185,K185,M185)</f>
        <v>81.550000000000011</v>
      </c>
      <c r="AJ185" s="8">
        <f t="shared" ref="AJ185:AJ195" si="158">AVERAGE(J185,L185,N185)</f>
        <v>81.05</v>
      </c>
      <c r="AK185" s="14">
        <f t="shared" ref="AK185:AK195" si="159">AVERAGE(P185,R185,T185)</f>
        <v>82.4</v>
      </c>
      <c r="AL185" s="14">
        <f t="shared" ref="AL185:AL195" si="160">AVERAGE(Q185,S185,U185)</f>
        <v>81.05</v>
      </c>
      <c r="AM185" s="8">
        <v>87</v>
      </c>
      <c r="BA185" s="7">
        <f t="shared" ref="BA185:BA195" si="161">AVERAGE(P185,R185,T185,I185,K185,M185,B185,D185,F185)</f>
        <v>81.850000000000009</v>
      </c>
      <c r="BB185" s="7">
        <f t="shared" ref="BB185:BB195" si="162">AVERAGE(Q185,S185,U185,J185,L185,N185,C185,E185,G185)</f>
        <v>81.100000000000009</v>
      </c>
      <c r="BC185" s="8">
        <v>87</v>
      </c>
    </row>
    <row r="186" spans="1:55" ht="15.5" x14ac:dyDescent="0.35">
      <c r="A186" s="2">
        <v>42804</v>
      </c>
      <c r="B186">
        <v>66.8</v>
      </c>
      <c r="C186">
        <v>66.7</v>
      </c>
      <c r="D186">
        <v>66.2</v>
      </c>
      <c r="E186">
        <v>66.099999999999994</v>
      </c>
      <c r="F186">
        <v>66.8</v>
      </c>
      <c r="G186">
        <v>66.900000000000006</v>
      </c>
      <c r="I186">
        <v>66.2</v>
      </c>
      <c r="J186">
        <v>66.099999999999994</v>
      </c>
      <c r="K186">
        <v>65.2</v>
      </c>
      <c r="L186">
        <v>65.3</v>
      </c>
      <c r="M186">
        <v>65.599999999999994</v>
      </c>
      <c r="N186">
        <v>65.5</v>
      </c>
      <c r="P186" s="10">
        <v>64.5</v>
      </c>
      <c r="Q186" s="10">
        <v>64.2</v>
      </c>
      <c r="R186" s="10">
        <v>62.4</v>
      </c>
      <c r="S186" s="10">
        <v>62</v>
      </c>
      <c r="T186">
        <v>61.6</v>
      </c>
      <c r="U186">
        <v>61.9</v>
      </c>
      <c r="V186" s="5"/>
      <c r="W186" s="10">
        <v>76.099999999999994</v>
      </c>
      <c r="X186" s="10"/>
      <c r="AE186" s="1"/>
      <c r="AF186" s="2">
        <v>42804</v>
      </c>
      <c r="AG186" s="8">
        <f t="shared" si="155"/>
        <v>66.600000000000009</v>
      </c>
      <c r="AH186" s="8">
        <f t="shared" si="156"/>
        <v>66.566666666666677</v>
      </c>
      <c r="AI186" s="14">
        <f t="shared" si="157"/>
        <v>65.666666666666671</v>
      </c>
      <c r="AJ186" s="8">
        <f t="shared" si="158"/>
        <v>65.633333333333326</v>
      </c>
      <c r="AK186" s="14">
        <f t="shared" si="159"/>
        <v>62.833333333333336</v>
      </c>
      <c r="AL186" s="14">
        <f t="shared" si="160"/>
        <v>62.699999999999996</v>
      </c>
      <c r="AM186" s="8">
        <v>76.099999999999994</v>
      </c>
      <c r="BA186" s="7">
        <f t="shared" si="161"/>
        <v>65.033333333333331</v>
      </c>
      <c r="BB186" s="7">
        <f t="shared" si="162"/>
        <v>64.966666666666654</v>
      </c>
      <c r="BC186" s="8">
        <v>76.099999999999994</v>
      </c>
    </row>
    <row r="187" spans="1:55" ht="15.5" x14ac:dyDescent="0.35">
      <c r="A187" s="2">
        <v>42811</v>
      </c>
      <c r="B187">
        <v>81</v>
      </c>
      <c r="C187">
        <v>75.8</v>
      </c>
      <c r="D187">
        <v>77</v>
      </c>
      <c r="E187">
        <v>75</v>
      </c>
      <c r="F187">
        <v>74.900000000000006</v>
      </c>
      <c r="G187">
        <v>75.2</v>
      </c>
      <c r="I187">
        <v>79.7</v>
      </c>
      <c r="J187">
        <v>75.400000000000006</v>
      </c>
      <c r="K187">
        <v>84.1</v>
      </c>
      <c r="L187">
        <v>77.3</v>
      </c>
      <c r="M187">
        <v>83.2</v>
      </c>
      <c r="N187">
        <v>78.099999999999994</v>
      </c>
      <c r="P187" s="10">
        <v>77.599999999999994</v>
      </c>
      <c r="Q187" s="10">
        <v>74</v>
      </c>
      <c r="R187">
        <v>73.7</v>
      </c>
      <c r="S187">
        <v>73.5</v>
      </c>
      <c r="T187">
        <v>77.7</v>
      </c>
      <c r="U187">
        <v>75.8</v>
      </c>
      <c r="V187" s="5"/>
      <c r="W187" s="10">
        <v>84.8</v>
      </c>
      <c r="X187" s="10"/>
      <c r="AE187" s="1"/>
      <c r="AF187" s="2">
        <v>42811</v>
      </c>
      <c r="AG187" s="8">
        <f t="shared" si="155"/>
        <v>77.63333333333334</v>
      </c>
      <c r="AH187" s="8">
        <f t="shared" si="156"/>
        <v>75.333333333333329</v>
      </c>
      <c r="AI187" s="14">
        <f t="shared" si="157"/>
        <v>82.333333333333329</v>
      </c>
      <c r="AJ187" s="8">
        <f t="shared" si="158"/>
        <v>76.933333333333323</v>
      </c>
      <c r="AK187" s="14">
        <f t="shared" si="159"/>
        <v>76.333333333333329</v>
      </c>
      <c r="AL187" s="14">
        <f t="shared" si="160"/>
        <v>74.433333333333337</v>
      </c>
      <c r="AM187" s="8">
        <v>84.8</v>
      </c>
      <c r="BA187" s="7">
        <f t="shared" si="161"/>
        <v>78.766666666666666</v>
      </c>
      <c r="BB187" s="7">
        <f t="shared" si="162"/>
        <v>75.566666666666663</v>
      </c>
      <c r="BC187" s="8">
        <v>84.8</v>
      </c>
    </row>
    <row r="188" spans="1:55" ht="15.5" x14ac:dyDescent="0.35">
      <c r="A188" s="2">
        <v>42818</v>
      </c>
      <c r="B188">
        <v>73.2</v>
      </c>
      <c r="C188">
        <v>73</v>
      </c>
      <c r="D188">
        <v>73.2</v>
      </c>
      <c r="E188">
        <v>72.7</v>
      </c>
      <c r="F188">
        <v>75.3</v>
      </c>
      <c r="G188">
        <v>77.7</v>
      </c>
      <c r="I188" s="10">
        <v>71.599999999999994</v>
      </c>
      <c r="J188" s="10">
        <v>70.5</v>
      </c>
      <c r="K188" s="10">
        <v>74.3</v>
      </c>
      <c r="L188" s="10">
        <v>74.900000000000006</v>
      </c>
      <c r="M188">
        <v>72.3</v>
      </c>
      <c r="N188">
        <v>71.900000000000006</v>
      </c>
      <c r="P188" s="10">
        <v>82.1</v>
      </c>
      <c r="Q188" s="10">
        <v>76.3</v>
      </c>
      <c r="R188" s="10">
        <v>94.9</v>
      </c>
      <c r="S188" s="10">
        <v>89</v>
      </c>
      <c r="T188" s="10">
        <v>86.4</v>
      </c>
      <c r="U188" s="10">
        <v>83.7</v>
      </c>
      <c r="V188" s="5"/>
      <c r="W188" s="10">
        <v>91.3</v>
      </c>
      <c r="X188" s="10"/>
      <c r="AE188" s="1"/>
      <c r="AF188" s="2">
        <v>42818</v>
      </c>
      <c r="AG188" s="8">
        <f t="shared" si="155"/>
        <v>73.899999999999991</v>
      </c>
      <c r="AH188" s="8">
        <f t="shared" si="156"/>
        <v>74.466666666666654</v>
      </c>
      <c r="AI188" s="14">
        <f t="shared" si="157"/>
        <v>72.733333333333334</v>
      </c>
      <c r="AJ188" s="8">
        <f t="shared" si="158"/>
        <v>72.433333333333337</v>
      </c>
      <c r="AK188" s="14">
        <f t="shared" si="159"/>
        <v>87.8</v>
      </c>
      <c r="AL188" s="14">
        <f t="shared" si="160"/>
        <v>83</v>
      </c>
      <c r="AM188" s="8">
        <v>91.3</v>
      </c>
      <c r="BA188" s="7">
        <f t="shared" si="161"/>
        <v>78.144444444444446</v>
      </c>
      <c r="BB188" s="7">
        <f t="shared" si="162"/>
        <v>76.63333333333334</v>
      </c>
      <c r="BC188" s="8">
        <v>91.3</v>
      </c>
    </row>
    <row r="189" spans="1:55" ht="15.5" x14ac:dyDescent="0.35">
      <c r="A189" s="2">
        <v>42825</v>
      </c>
      <c r="B189">
        <v>119.4</v>
      </c>
      <c r="C189">
        <v>115.4</v>
      </c>
      <c r="D189">
        <v>120.5</v>
      </c>
      <c r="E189">
        <v>116</v>
      </c>
      <c r="F189">
        <v>126</v>
      </c>
      <c r="G189">
        <v>116.5</v>
      </c>
      <c r="I189">
        <v>118.5</v>
      </c>
      <c r="J189">
        <v>116.6</v>
      </c>
      <c r="K189">
        <v>115.9</v>
      </c>
      <c r="L189">
        <v>115.9</v>
      </c>
      <c r="M189">
        <v>124.2</v>
      </c>
      <c r="N189">
        <v>115.7</v>
      </c>
      <c r="P189" s="10">
        <v>115.5</v>
      </c>
      <c r="Q189" s="10">
        <v>114.8</v>
      </c>
      <c r="R189" s="10">
        <v>131.19999999999999</v>
      </c>
      <c r="S189" s="10">
        <v>131.6</v>
      </c>
      <c r="T189">
        <v>123</v>
      </c>
      <c r="U189">
        <v>126</v>
      </c>
      <c r="V189" s="5"/>
      <c r="W189" s="10">
        <v>135</v>
      </c>
      <c r="X189" s="10"/>
      <c r="AE189" s="1"/>
      <c r="AF189" s="2">
        <v>42825</v>
      </c>
      <c r="AG189" s="8">
        <f t="shared" si="155"/>
        <v>121.96666666666665</v>
      </c>
      <c r="AH189" s="8">
        <f t="shared" si="156"/>
        <v>115.96666666666665</v>
      </c>
      <c r="AI189" s="14">
        <f t="shared" si="157"/>
        <v>119.53333333333335</v>
      </c>
      <c r="AJ189" s="8">
        <f t="shared" si="158"/>
        <v>116.06666666666666</v>
      </c>
      <c r="AK189" s="14">
        <f t="shared" si="159"/>
        <v>123.23333333333333</v>
      </c>
      <c r="AL189" s="14">
        <f t="shared" si="160"/>
        <v>124.13333333333333</v>
      </c>
      <c r="AM189" s="8">
        <v>135</v>
      </c>
      <c r="BA189" s="7">
        <f t="shared" si="161"/>
        <v>121.57777777777778</v>
      </c>
      <c r="BB189" s="7">
        <f t="shared" si="162"/>
        <v>118.72222222222223</v>
      </c>
      <c r="BC189" s="8">
        <v>135</v>
      </c>
    </row>
    <row r="190" spans="1:55" ht="15.5" x14ac:dyDescent="0.35">
      <c r="A190" s="2">
        <v>42832</v>
      </c>
      <c r="B190">
        <v>188.2</v>
      </c>
      <c r="C190">
        <v>191.5</v>
      </c>
      <c r="D190">
        <v>176.3</v>
      </c>
      <c r="E190">
        <v>180.3</v>
      </c>
      <c r="F190">
        <v>195</v>
      </c>
      <c r="G190">
        <v>190</v>
      </c>
      <c r="I190">
        <v>168.7</v>
      </c>
      <c r="J190">
        <v>186.7</v>
      </c>
      <c r="K190">
        <v>191</v>
      </c>
      <c r="L190">
        <v>175.3</v>
      </c>
      <c r="M190">
        <v>167.6</v>
      </c>
      <c r="N190">
        <v>174.3</v>
      </c>
      <c r="P190">
        <v>165.9</v>
      </c>
      <c r="Q190">
        <v>200</v>
      </c>
      <c r="R190">
        <v>162.6</v>
      </c>
      <c r="S190">
        <v>200</v>
      </c>
      <c r="T190">
        <v>163.30000000000001</v>
      </c>
      <c r="U190">
        <v>200</v>
      </c>
      <c r="V190" s="5"/>
      <c r="W190" s="10">
        <v>200</v>
      </c>
      <c r="X190" s="10"/>
      <c r="AE190" s="1"/>
      <c r="AF190" s="2">
        <v>42832</v>
      </c>
      <c r="AG190" s="8">
        <f t="shared" si="155"/>
        <v>186.5</v>
      </c>
      <c r="AH190" s="8">
        <f t="shared" si="156"/>
        <v>187.26666666666665</v>
      </c>
      <c r="AI190" s="14">
        <f t="shared" si="157"/>
        <v>175.76666666666665</v>
      </c>
      <c r="AJ190" s="8">
        <f t="shared" si="158"/>
        <v>178.76666666666665</v>
      </c>
      <c r="AK190" s="14">
        <f t="shared" si="159"/>
        <v>163.93333333333334</v>
      </c>
      <c r="AL190" s="14">
        <f t="shared" si="160"/>
        <v>200</v>
      </c>
      <c r="AM190" s="8">
        <v>200</v>
      </c>
      <c r="BA190" s="7">
        <f t="shared" si="161"/>
        <v>175.39999999999998</v>
      </c>
      <c r="BB190" s="7">
        <f t="shared" si="162"/>
        <v>188.67777777777778</v>
      </c>
      <c r="BC190" s="8">
        <v>200</v>
      </c>
    </row>
    <row r="191" spans="1:55" ht="15.5" x14ac:dyDescent="0.35">
      <c r="A191" s="2">
        <v>42839</v>
      </c>
      <c r="B191">
        <v>143.9</v>
      </c>
      <c r="C191">
        <v>152.19999999999999</v>
      </c>
      <c r="D191">
        <v>151.6</v>
      </c>
      <c r="E191">
        <v>162.5</v>
      </c>
      <c r="F191">
        <v>141.30000000000001</v>
      </c>
      <c r="G191">
        <v>151.5</v>
      </c>
      <c r="I191">
        <v>142.5</v>
      </c>
      <c r="J191">
        <v>146.80000000000001</v>
      </c>
      <c r="K191">
        <v>148.9</v>
      </c>
      <c r="L191">
        <v>159.4</v>
      </c>
      <c r="M191">
        <v>154.69999999999999</v>
      </c>
      <c r="N191">
        <v>161.69999999999999</v>
      </c>
      <c r="P191" s="10">
        <v>151.5</v>
      </c>
      <c r="Q191" s="10">
        <v>156</v>
      </c>
      <c r="R191">
        <v>150</v>
      </c>
      <c r="S191">
        <v>155.19999999999999</v>
      </c>
      <c r="T191">
        <v>158.4</v>
      </c>
      <c r="U191">
        <v>154.80000000000001</v>
      </c>
      <c r="V191" s="5"/>
      <c r="W191" s="10">
        <v>163.5</v>
      </c>
      <c r="X191" s="10"/>
      <c r="AE191" s="1"/>
      <c r="AF191" s="2">
        <v>42839</v>
      </c>
      <c r="AG191" s="8">
        <f t="shared" si="155"/>
        <v>145.6</v>
      </c>
      <c r="AH191" s="8">
        <f t="shared" si="156"/>
        <v>155.4</v>
      </c>
      <c r="AI191" s="14">
        <f t="shared" si="157"/>
        <v>148.69999999999999</v>
      </c>
      <c r="AJ191" s="8">
        <f t="shared" si="158"/>
        <v>155.96666666666667</v>
      </c>
      <c r="AK191" s="14">
        <f t="shared" si="159"/>
        <v>153.29999999999998</v>
      </c>
      <c r="AL191" s="14">
        <f t="shared" si="160"/>
        <v>155.33333333333334</v>
      </c>
      <c r="AM191" s="8">
        <v>163.5</v>
      </c>
      <c r="BA191" s="7">
        <f t="shared" si="161"/>
        <v>149.19999999999999</v>
      </c>
      <c r="BB191" s="7">
        <f t="shared" si="162"/>
        <v>155.56666666666666</v>
      </c>
      <c r="BC191" s="8">
        <v>163.5</v>
      </c>
    </row>
    <row r="192" spans="1:55" ht="15.5" x14ac:dyDescent="0.35">
      <c r="A192" s="2">
        <v>42846</v>
      </c>
      <c r="B192">
        <v>169.8</v>
      </c>
      <c r="C192">
        <v>163.6</v>
      </c>
      <c r="D192">
        <v>157</v>
      </c>
      <c r="E192">
        <v>158.80000000000001</v>
      </c>
      <c r="F192">
        <v>170.3</v>
      </c>
      <c r="G192">
        <v>128.1</v>
      </c>
      <c r="I192">
        <v>154.1</v>
      </c>
      <c r="J192">
        <v>150.30000000000001</v>
      </c>
      <c r="K192">
        <v>153.4</v>
      </c>
      <c r="L192">
        <v>140.19999999999999</v>
      </c>
      <c r="M192">
        <v>151.80000000000001</v>
      </c>
      <c r="N192">
        <v>144.30000000000001</v>
      </c>
      <c r="P192">
        <v>140.1</v>
      </c>
      <c r="Q192">
        <v>135.19999999999999</v>
      </c>
      <c r="R192">
        <v>134.9</v>
      </c>
      <c r="S192">
        <v>126.3</v>
      </c>
      <c r="T192">
        <v>134.5</v>
      </c>
      <c r="U192">
        <v>119.9</v>
      </c>
      <c r="V192" s="5"/>
      <c r="W192" s="10">
        <v>148.9</v>
      </c>
      <c r="X192" s="10"/>
      <c r="AE192" s="1"/>
      <c r="AF192" s="2">
        <v>42846</v>
      </c>
      <c r="AG192" s="8">
        <f t="shared" si="155"/>
        <v>165.70000000000002</v>
      </c>
      <c r="AH192" s="8">
        <f t="shared" si="156"/>
        <v>150.16666666666666</v>
      </c>
      <c r="AI192" s="14">
        <f t="shared" si="157"/>
        <v>153.1</v>
      </c>
      <c r="AJ192" s="8">
        <f t="shared" si="158"/>
        <v>144.93333333333334</v>
      </c>
      <c r="AK192" s="14">
        <f t="shared" si="159"/>
        <v>136.5</v>
      </c>
      <c r="AL192" s="14">
        <f t="shared" si="160"/>
        <v>127.13333333333333</v>
      </c>
      <c r="AM192" s="8">
        <v>148.9</v>
      </c>
      <c r="BA192" s="7">
        <f t="shared" si="161"/>
        <v>151.76666666666665</v>
      </c>
      <c r="BB192" s="7">
        <f t="shared" si="162"/>
        <v>140.74444444444444</v>
      </c>
      <c r="BC192" s="8">
        <v>148.9</v>
      </c>
    </row>
    <row r="193" spans="1:55" ht="15.5" x14ac:dyDescent="0.35">
      <c r="A193" s="2">
        <v>42853</v>
      </c>
      <c r="B193">
        <v>186</v>
      </c>
      <c r="C193">
        <v>63</v>
      </c>
      <c r="D193">
        <v>184.7</v>
      </c>
      <c r="E193">
        <v>84.1</v>
      </c>
      <c r="F193">
        <v>173.8</v>
      </c>
      <c r="G193">
        <v>54.2</v>
      </c>
      <c r="I193">
        <v>195.5</v>
      </c>
      <c r="J193">
        <v>45.9</v>
      </c>
      <c r="K193">
        <v>191.7</v>
      </c>
      <c r="L193">
        <v>79.900000000000006</v>
      </c>
      <c r="M193">
        <v>200</v>
      </c>
      <c r="N193">
        <v>70</v>
      </c>
      <c r="P193" s="10">
        <v>159.4</v>
      </c>
      <c r="Q193" s="10">
        <v>31</v>
      </c>
      <c r="R193">
        <v>163.30000000000001</v>
      </c>
      <c r="S193">
        <v>33.200000000000003</v>
      </c>
      <c r="T193">
        <v>168.4</v>
      </c>
      <c r="U193">
        <v>29</v>
      </c>
      <c r="V193" s="5"/>
      <c r="W193" s="10">
        <v>126.9</v>
      </c>
      <c r="X193" s="10"/>
      <c r="AE193" s="1"/>
      <c r="AF193" s="2">
        <v>42853</v>
      </c>
      <c r="AG193" s="8">
        <f t="shared" si="155"/>
        <v>181.5</v>
      </c>
      <c r="AH193" s="8">
        <f t="shared" si="156"/>
        <v>67.100000000000009</v>
      </c>
      <c r="AI193" s="14">
        <f t="shared" si="157"/>
        <v>195.73333333333335</v>
      </c>
      <c r="AJ193" s="8">
        <f t="shared" si="158"/>
        <v>65.266666666666666</v>
      </c>
      <c r="AK193" s="14">
        <f t="shared" si="159"/>
        <v>163.70000000000002</v>
      </c>
      <c r="AL193" s="14">
        <f t="shared" si="160"/>
        <v>31.066666666666666</v>
      </c>
      <c r="AM193" s="8">
        <v>126.9</v>
      </c>
      <c r="BA193" s="7">
        <f t="shared" si="161"/>
        <v>180.3111111111111</v>
      </c>
      <c r="BB193" s="7">
        <f t="shared" si="162"/>
        <v>54.477777777777781</v>
      </c>
      <c r="BC193" s="8">
        <v>126.9</v>
      </c>
    </row>
    <row r="194" spans="1:55" ht="15.5" x14ac:dyDescent="0.35">
      <c r="A194" s="2">
        <v>42860</v>
      </c>
      <c r="B194">
        <v>83.9</v>
      </c>
      <c r="C194">
        <v>33.299999999999997</v>
      </c>
      <c r="D194">
        <v>88</v>
      </c>
      <c r="E194">
        <v>55.5</v>
      </c>
      <c r="F194">
        <v>92.1</v>
      </c>
      <c r="G194" s="5">
        <v>52.6</v>
      </c>
      <c r="I194">
        <v>72</v>
      </c>
      <c r="J194">
        <v>1</v>
      </c>
      <c r="K194">
        <v>78</v>
      </c>
      <c r="L194">
        <v>1</v>
      </c>
      <c r="M194">
        <v>72</v>
      </c>
      <c r="N194">
        <v>1.1000000000000001</v>
      </c>
      <c r="P194" s="10">
        <v>62.8</v>
      </c>
      <c r="Q194" s="10">
        <v>3.8</v>
      </c>
      <c r="R194" s="10">
        <v>64.400000000000006</v>
      </c>
      <c r="S194" s="10">
        <v>6</v>
      </c>
      <c r="T194">
        <v>78.2</v>
      </c>
      <c r="U194">
        <v>2.9</v>
      </c>
      <c r="V194" s="5"/>
      <c r="W194" s="10">
        <v>129.6</v>
      </c>
      <c r="X194" s="10"/>
      <c r="AE194" s="1"/>
      <c r="AF194" s="2">
        <v>42860</v>
      </c>
      <c r="AG194" s="8">
        <f t="shared" si="155"/>
        <v>88</v>
      </c>
      <c r="AH194" s="8">
        <f t="shared" si="156"/>
        <v>47.133333333333333</v>
      </c>
      <c r="AI194" s="14">
        <f t="shared" si="157"/>
        <v>74</v>
      </c>
      <c r="AJ194" s="8">
        <f t="shared" si="158"/>
        <v>1.0333333333333334</v>
      </c>
      <c r="AK194" s="14">
        <f t="shared" si="159"/>
        <v>68.466666666666669</v>
      </c>
      <c r="AL194" s="14">
        <f t="shared" si="160"/>
        <v>4.2333333333333334</v>
      </c>
      <c r="AM194" s="8">
        <v>129.6</v>
      </c>
      <c r="BA194" s="7">
        <f t="shared" si="161"/>
        <v>76.822222222222223</v>
      </c>
      <c r="BB194" s="7">
        <f t="shared" si="162"/>
        <v>17.466666666666665</v>
      </c>
      <c r="BC194" s="8">
        <v>129.6</v>
      </c>
    </row>
    <row r="195" spans="1:55" ht="15.5" x14ac:dyDescent="0.35">
      <c r="A195" s="2">
        <v>42867</v>
      </c>
      <c r="B195">
        <v>140.69999999999999</v>
      </c>
      <c r="C195">
        <v>121.5</v>
      </c>
      <c r="D195">
        <v>139.4</v>
      </c>
      <c r="E195">
        <v>147</v>
      </c>
      <c r="F195">
        <v>138.80000000000001</v>
      </c>
      <c r="G195" s="5">
        <v>96</v>
      </c>
      <c r="I195">
        <v>140.6</v>
      </c>
      <c r="J195">
        <v>113.4</v>
      </c>
      <c r="K195">
        <v>149.19999999999999</v>
      </c>
      <c r="L195">
        <v>162.19999999999999</v>
      </c>
      <c r="M195">
        <v>147</v>
      </c>
      <c r="N195">
        <v>116.3</v>
      </c>
      <c r="P195">
        <v>164</v>
      </c>
      <c r="Q195">
        <v>16.2</v>
      </c>
      <c r="R195">
        <v>152.9</v>
      </c>
      <c r="S195">
        <v>15.3</v>
      </c>
      <c r="T195">
        <v>70.7</v>
      </c>
      <c r="U195">
        <v>34.1</v>
      </c>
      <c r="V195" s="5"/>
      <c r="W195" s="10">
        <v>153.6</v>
      </c>
      <c r="X195" s="10"/>
      <c r="AE195" s="1"/>
      <c r="AF195" s="2">
        <v>42867</v>
      </c>
      <c r="AG195" s="8">
        <f t="shared" si="155"/>
        <v>139.63333333333335</v>
      </c>
      <c r="AH195" s="8">
        <f t="shared" si="156"/>
        <v>121.5</v>
      </c>
      <c r="AI195" s="14">
        <f t="shared" si="157"/>
        <v>145.6</v>
      </c>
      <c r="AJ195" s="8">
        <f t="shared" si="158"/>
        <v>130.63333333333335</v>
      </c>
      <c r="AK195" s="14">
        <f t="shared" si="159"/>
        <v>129.19999999999999</v>
      </c>
      <c r="AL195" s="14">
        <f t="shared" si="160"/>
        <v>21.866666666666664</v>
      </c>
      <c r="AM195" s="8">
        <v>153.6</v>
      </c>
      <c r="BA195" s="7">
        <f t="shared" si="161"/>
        <v>138.14444444444445</v>
      </c>
      <c r="BB195" s="7">
        <f t="shared" si="162"/>
        <v>91.333333333333329</v>
      </c>
      <c r="BC195" s="8">
        <v>153.6</v>
      </c>
    </row>
    <row r="196" spans="1:55" ht="15.5" x14ac:dyDescent="0.35">
      <c r="A196" s="13">
        <v>42874</v>
      </c>
      <c r="B196" s="10">
        <v>175.3</v>
      </c>
      <c r="C196" s="10">
        <v>80.099999999999994</v>
      </c>
      <c r="D196" s="10">
        <v>166.08</v>
      </c>
      <c r="E196" s="10">
        <v>150</v>
      </c>
      <c r="F196" s="10">
        <v>173.3</v>
      </c>
      <c r="G196" s="5">
        <v>78.31</v>
      </c>
      <c r="H196" s="9"/>
      <c r="I196" s="10">
        <v>171.3</v>
      </c>
      <c r="J196" s="10">
        <v>134.1</v>
      </c>
      <c r="K196" s="10">
        <v>162.9</v>
      </c>
      <c r="L196" s="10">
        <v>136.69999999999999</v>
      </c>
      <c r="M196" s="10">
        <v>168.5</v>
      </c>
      <c r="N196" s="10">
        <v>28.8</v>
      </c>
      <c r="O196" s="5"/>
      <c r="P196" s="10">
        <v>110.5</v>
      </c>
      <c r="Q196" s="10">
        <v>2.6</v>
      </c>
      <c r="R196" s="10">
        <v>111.7</v>
      </c>
      <c r="S196" s="10">
        <v>3.7</v>
      </c>
      <c r="T196" s="10">
        <v>109</v>
      </c>
      <c r="U196" s="10">
        <v>3.4</v>
      </c>
      <c r="V196" s="5"/>
      <c r="W196" s="10">
        <v>63.5</v>
      </c>
      <c r="X196" s="10"/>
      <c r="Y196" s="5"/>
      <c r="Z196" s="5"/>
      <c r="AE196" s="1"/>
      <c r="AF196" s="2">
        <v>42874</v>
      </c>
      <c r="AG196" s="8">
        <f t="shared" ref="AG196:AG197" si="163">AVERAGE(B196,D196,F196)</f>
        <v>171.56000000000003</v>
      </c>
      <c r="AH196" s="8">
        <f t="shared" ref="AH196:AH197" si="164">AVERAGE(C196,E196,G196)</f>
        <v>102.80333333333333</v>
      </c>
      <c r="AI196" s="14">
        <f t="shared" ref="AI196:AI197" si="165">AVERAGE(I196,K196,M196)</f>
        <v>167.56666666666669</v>
      </c>
      <c r="AJ196" s="8">
        <f t="shared" ref="AJ196:AJ197" si="166">AVERAGE(J196,L196,N196)</f>
        <v>99.86666666666666</v>
      </c>
      <c r="AK196" s="14">
        <f t="shared" ref="AK196:AK197" si="167">AVERAGE(P196,R196,T196)</f>
        <v>110.39999999999999</v>
      </c>
      <c r="AL196" s="14">
        <f t="shared" ref="AL196:AL197" si="168">AVERAGE(Q196,S196,U196)</f>
        <v>3.2333333333333338</v>
      </c>
      <c r="AM196" s="8">
        <v>63.5</v>
      </c>
      <c r="BA196" s="7">
        <f t="shared" ref="BA196:BA197" si="169">AVERAGE(P196,R196,T196,I196,K196,M196,B196,D196,F196)</f>
        <v>149.8422222222222</v>
      </c>
      <c r="BB196" s="7">
        <f t="shared" ref="BB196:BB197" si="170">AVERAGE(Q196,S196,U196,J196,L196,N196,C196,E196,G196)</f>
        <v>68.634444444444455</v>
      </c>
      <c r="BC196" s="8">
        <v>154.6</v>
      </c>
    </row>
    <row r="197" spans="1:55" ht="15.5" x14ac:dyDescent="0.35">
      <c r="A197" s="13">
        <v>42879</v>
      </c>
      <c r="B197" s="10">
        <v>200</v>
      </c>
      <c r="C197" s="10">
        <v>200</v>
      </c>
      <c r="D197" s="10">
        <v>200</v>
      </c>
      <c r="E197" s="10">
        <v>200</v>
      </c>
      <c r="F197" s="10">
        <v>200</v>
      </c>
      <c r="G197" s="10">
        <v>200</v>
      </c>
      <c r="H197" s="10"/>
      <c r="I197" s="10">
        <v>200</v>
      </c>
      <c r="J197" s="10">
        <v>200</v>
      </c>
      <c r="K197" s="10">
        <v>200</v>
      </c>
      <c r="L197" s="10">
        <v>200</v>
      </c>
      <c r="M197" s="10">
        <v>200</v>
      </c>
      <c r="N197" s="10">
        <v>200</v>
      </c>
      <c r="O197" s="5"/>
      <c r="P197" s="10">
        <v>168.7</v>
      </c>
      <c r="Q197" s="10">
        <v>123.6</v>
      </c>
      <c r="R197" s="10">
        <v>132.30000000000001</v>
      </c>
      <c r="S197" s="10">
        <v>119.7</v>
      </c>
      <c r="T197" s="10">
        <v>171.8</v>
      </c>
      <c r="U197" s="10">
        <v>112.4</v>
      </c>
      <c r="V197" s="5"/>
      <c r="W197" s="10">
        <v>62</v>
      </c>
      <c r="X197" s="10"/>
      <c r="Y197" s="5"/>
      <c r="Z197" s="5"/>
      <c r="AE197" s="1"/>
      <c r="AF197" s="2">
        <v>42879</v>
      </c>
      <c r="AG197" s="8">
        <f t="shared" si="163"/>
        <v>200</v>
      </c>
      <c r="AH197" s="8">
        <f t="shared" si="164"/>
        <v>200</v>
      </c>
      <c r="AI197" s="14">
        <f t="shared" si="165"/>
        <v>200</v>
      </c>
      <c r="AJ197" s="8">
        <f t="shared" si="166"/>
        <v>200</v>
      </c>
      <c r="AK197" s="14">
        <f t="shared" si="167"/>
        <v>157.6</v>
      </c>
      <c r="AL197" s="14">
        <f t="shared" si="168"/>
        <v>118.56666666666668</v>
      </c>
      <c r="AM197" s="8">
        <v>62</v>
      </c>
      <c r="BA197" s="7">
        <f t="shared" si="169"/>
        <v>185.86666666666667</v>
      </c>
      <c r="BB197" s="7">
        <f t="shared" si="170"/>
        <v>172.85555555555555</v>
      </c>
      <c r="BC197" s="8">
        <v>155.6</v>
      </c>
    </row>
    <row r="198" spans="1:55" ht="15.5" x14ac:dyDescent="0.35">
      <c r="A198" s="1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5"/>
      <c r="P198" s="10"/>
      <c r="Q198" s="10"/>
      <c r="R198" s="10"/>
      <c r="S198" s="10"/>
      <c r="T198" s="10"/>
      <c r="U198" s="10"/>
      <c r="V198" s="5"/>
      <c r="W198" s="10"/>
      <c r="X198" s="10"/>
      <c r="Y198" s="5"/>
      <c r="Z198" s="5"/>
      <c r="AE198" s="1"/>
      <c r="AF198" s="2"/>
      <c r="AG198" s="8"/>
      <c r="AH198" s="8"/>
      <c r="AI198" s="14"/>
      <c r="AJ198" s="8"/>
      <c r="AK198" s="14"/>
      <c r="AL198" s="14"/>
      <c r="AM198" s="8"/>
      <c r="BA198" s="7"/>
      <c r="BB198" s="7"/>
      <c r="BC198" s="8"/>
    </row>
    <row r="199" spans="1:55" ht="15.5" x14ac:dyDescent="0.35">
      <c r="A199" s="1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5"/>
      <c r="P199" s="10"/>
      <c r="Q199" s="10"/>
      <c r="R199" s="10"/>
      <c r="S199" s="10"/>
      <c r="T199" s="10"/>
      <c r="U199" s="10"/>
      <c r="V199" s="5"/>
      <c r="W199" s="10"/>
      <c r="X199" s="10"/>
      <c r="Y199" s="5"/>
      <c r="Z199" s="5"/>
      <c r="AE199" s="1"/>
      <c r="AF199" s="2"/>
      <c r="AG199" s="8"/>
      <c r="AH199" s="8"/>
      <c r="AI199" s="14"/>
      <c r="AJ199" s="8"/>
      <c r="AK199" s="14"/>
      <c r="AL199" s="14"/>
      <c r="AM199" s="8"/>
      <c r="BA199" s="7"/>
      <c r="BB199" s="7"/>
      <c r="BC199" s="8"/>
    </row>
    <row r="200" spans="1:55" ht="15.5" x14ac:dyDescent="0.35">
      <c r="A200" s="13">
        <v>43171</v>
      </c>
      <c r="B200">
        <v>86.7</v>
      </c>
      <c r="C200">
        <v>84.5</v>
      </c>
      <c r="D200">
        <v>88.1</v>
      </c>
      <c r="E200">
        <v>86.1</v>
      </c>
      <c r="F200">
        <v>87.9</v>
      </c>
      <c r="G200" s="5">
        <v>87.7</v>
      </c>
      <c r="I200">
        <v>88.2</v>
      </c>
      <c r="J200">
        <v>86.7</v>
      </c>
      <c r="K200">
        <v>88</v>
      </c>
      <c r="L200">
        <v>86.2</v>
      </c>
      <c r="M200">
        <v>88.3</v>
      </c>
      <c r="N200">
        <v>86.2</v>
      </c>
      <c r="P200">
        <v>88.1</v>
      </c>
      <c r="Q200">
        <v>83.6</v>
      </c>
      <c r="R200">
        <v>86.9</v>
      </c>
      <c r="S200">
        <v>85</v>
      </c>
      <c r="T200">
        <v>87.5</v>
      </c>
      <c r="U200">
        <v>84.4</v>
      </c>
      <c r="V200" s="5"/>
      <c r="W200" s="10"/>
      <c r="X200" s="10"/>
      <c r="Y200" s="5"/>
      <c r="Z200" s="5"/>
      <c r="AE200" s="1"/>
      <c r="AF200" s="13">
        <v>43171</v>
      </c>
      <c r="AG200" s="8">
        <f t="shared" ref="AG200:AH206" si="171">AVERAGE(P200,R200,T200)</f>
        <v>87.5</v>
      </c>
      <c r="AH200" s="8">
        <f t="shared" si="171"/>
        <v>84.333333333333329</v>
      </c>
      <c r="AI200" s="14">
        <f>AVERAGE(I200,K200,M200)</f>
        <v>88.166666666666671</v>
      </c>
      <c r="AJ200" s="8">
        <f>AVERAGE(J200,L200,N200)</f>
        <v>86.366666666666674</v>
      </c>
      <c r="AK200" s="14">
        <f t="shared" ref="AK200:AL206" si="172">AVERAGE(B200,D200,F200)</f>
        <v>87.566666666666677</v>
      </c>
      <c r="AL200" s="14">
        <f t="shared" si="172"/>
        <v>86.100000000000009</v>
      </c>
      <c r="AM200" s="10"/>
      <c r="BA200" s="7">
        <f t="shared" ref="BA200:BB206" si="173">AVERAGE(B200,D200,F200,I200,K200,M200,P200,R200,T200)</f>
        <v>87.744444444444454</v>
      </c>
      <c r="BB200" s="7">
        <f t="shared" si="173"/>
        <v>85.6</v>
      </c>
      <c r="BC200" s="10"/>
    </row>
    <row r="201" spans="1:55" ht="15.5" x14ac:dyDescent="0.35">
      <c r="A201" s="13">
        <v>43178</v>
      </c>
      <c r="B201">
        <v>87.7</v>
      </c>
      <c r="C201">
        <v>84.5</v>
      </c>
      <c r="D201">
        <v>86.5</v>
      </c>
      <c r="E201">
        <v>84.7</v>
      </c>
      <c r="F201">
        <v>84.9</v>
      </c>
      <c r="G201" s="5">
        <v>84.8</v>
      </c>
      <c r="I201">
        <v>86.1</v>
      </c>
      <c r="J201">
        <v>85.7</v>
      </c>
      <c r="K201">
        <v>85.5</v>
      </c>
      <c r="L201">
        <v>85.3</v>
      </c>
      <c r="M201">
        <v>86.3</v>
      </c>
      <c r="N201">
        <v>85.8</v>
      </c>
      <c r="P201">
        <v>88.1</v>
      </c>
      <c r="Q201">
        <v>87.5</v>
      </c>
      <c r="R201">
        <v>86.7</v>
      </c>
      <c r="S201">
        <v>86.1</v>
      </c>
      <c r="T201">
        <v>85.6</v>
      </c>
      <c r="U201">
        <v>85.3</v>
      </c>
      <c r="V201" s="5"/>
      <c r="W201" s="10"/>
      <c r="X201" s="10"/>
      <c r="Y201" s="5"/>
      <c r="Z201" s="5">
        <v>89.3</v>
      </c>
      <c r="AE201" s="1"/>
      <c r="AF201" s="13">
        <v>43178</v>
      </c>
      <c r="AG201" s="8">
        <f t="shared" si="171"/>
        <v>86.8</v>
      </c>
      <c r="AH201" s="8">
        <f t="shared" si="171"/>
        <v>86.3</v>
      </c>
      <c r="AI201" s="14">
        <f t="shared" ref="AI201:AI211" si="174">AVERAGE(I201,K201,M201)</f>
        <v>85.966666666666654</v>
      </c>
      <c r="AJ201" s="8">
        <f t="shared" ref="AJ201:AJ211" si="175">AVERAGE(J201,L201,N201)</f>
        <v>85.600000000000009</v>
      </c>
      <c r="AK201" s="14">
        <f t="shared" si="172"/>
        <v>86.366666666666674</v>
      </c>
      <c r="AL201" s="14">
        <f t="shared" si="172"/>
        <v>84.666666666666671</v>
      </c>
      <c r="AM201" s="10"/>
      <c r="BA201" s="7">
        <f t="shared" si="173"/>
        <v>86.377777777777794</v>
      </c>
      <c r="BB201" s="7">
        <f t="shared" si="173"/>
        <v>85.522222222222211</v>
      </c>
      <c r="BC201" s="10"/>
    </row>
    <row r="202" spans="1:55" ht="15.5" x14ac:dyDescent="0.35">
      <c r="A202" s="13">
        <v>43185</v>
      </c>
      <c r="B202">
        <v>99</v>
      </c>
      <c r="C202">
        <v>100.8</v>
      </c>
      <c r="D202">
        <v>100.2</v>
      </c>
      <c r="E202">
        <v>101.6</v>
      </c>
      <c r="F202">
        <v>97.8</v>
      </c>
      <c r="G202">
        <v>100.8</v>
      </c>
      <c r="I202">
        <v>98.5</v>
      </c>
      <c r="J202">
        <v>99.4</v>
      </c>
      <c r="K202">
        <v>99.8</v>
      </c>
      <c r="L202">
        <v>100.5</v>
      </c>
      <c r="M202">
        <v>98.3</v>
      </c>
      <c r="N202">
        <v>99.4</v>
      </c>
      <c r="P202" s="10">
        <v>99</v>
      </c>
      <c r="Q202" s="10">
        <v>100.2</v>
      </c>
      <c r="R202" s="10">
        <v>98.4</v>
      </c>
      <c r="S202" s="10">
        <v>100.4</v>
      </c>
      <c r="T202">
        <v>98.8</v>
      </c>
      <c r="U202">
        <v>99.7</v>
      </c>
      <c r="V202" s="5"/>
      <c r="W202" s="10">
        <v>120.3</v>
      </c>
      <c r="X202" s="10"/>
      <c r="Y202" s="5"/>
      <c r="Z202" s="5">
        <v>113.6</v>
      </c>
      <c r="AE202" s="1"/>
      <c r="AF202" s="13">
        <v>43185</v>
      </c>
      <c r="AG202" s="8">
        <f t="shared" si="171"/>
        <v>98.733333333333334</v>
      </c>
      <c r="AH202" s="8">
        <f t="shared" si="171"/>
        <v>100.10000000000001</v>
      </c>
      <c r="AI202" s="14">
        <f t="shared" si="174"/>
        <v>98.866666666666674</v>
      </c>
      <c r="AJ202" s="8">
        <f t="shared" si="175"/>
        <v>99.766666666666666</v>
      </c>
      <c r="AK202" s="14">
        <f t="shared" si="172"/>
        <v>99</v>
      </c>
      <c r="AL202" s="14">
        <f t="shared" si="172"/>
        <v>101.06666666666666</v>
      </c>
      <c r="AM202" s="14">
        <v>120.3</v>
      </c>
      <c r="BA202" s="7">
        <f t="shared" si="173"/>
        <v>98.86666666666666</v>
      </c>
      <c r="BB202" s="7">
        <f t="shared" si="173"/>
        <v>100.31111111111112</v>
      </c>
      <c r="BC202" s="14">
        <v>120.3</v>
      </c>
    </row>
    <row r="203" spans="1:55" ht="15.5" x14ac:dyDescent="0.35">
      <c r="A203" s="13">
        <v>43193</v>
      </c>
      <c r="B203">
        <v>102.7</v>
      </c>
      <c r="C203">
        <v>102.8</v>
      </c>
      <c r="D203">
        <v>102.7</v>
      </c>
      <c r="E203">
        <v>102.4</v>
      </c>
      <c r="F203">
        <v>103.1</v>
      </c>
      <c r="G203">
        <v>102.9</v>
      </c>
      <c r="I203">
        <v>102.4</v>
      </c>
      <c r="J203">
        <v>100.8</v>
      </c>
      <c r="K203">
        <v>102.9</v>
      </c>
      <c r="L203">
        <v>101.5</v>
      </c>
      <c r="M203">
        <v>102.3</v>
      </c>
      <c r="N203">
        <v>102</v>
      </c>
      <c r="P203" s="10">
        <v>96.7</v>
      </c>
      <c r="Q203" s="10">
        <v>96</v>
      </c>
      <c r="R203" s="10">
        <v>97.3</v>
      </c>
      <c r="S203" s="10">
        <v>96.1</v>
      </c>
      <c r="T203">
        <v>95.5</v>
      </c>
      <c r="U203">
        <v>94.5</v>
      </c>
      <c r="V203" s="5"/>
      <c r="W203" s="10">
        <v>99.8</v>
      </c>
      <c r="X203" s="10"/>
      <c r="Y203" s="5"/>
      <c r="Z203" s="5">
        <v>98.9</v>
      </c>
      <c r="AE203" s="1"/>
      <c r="AF203" s="13">
        <v>43193</v>
      </c>
      <c r="AG203" s="8">
        <f t="shared" si="171"/>
        <v>96.5</v>
      </c>
      <c r="AH203" s="8">
        <f t="shared" si="171"/>
        <v>95.533333333333346</v>
      </c>
      <c r="AI203" s="14">
        <f t="shared" si="174"/>
        <v>102.53333333333335</v>
      </c>
      <c r="AJ203" s="8">
        <f t="shared" si="175"/>
        <v>101.43333333333334</v>
      </c>
      <c r="AK203" s="14">
        <f t="shared" si="172"/>
        <v>102.83333333333333</v>
      </c>
      <c r="AL203" s="14">
        <f t="shared" si="172"/>
        <v>102.7</v>
      </c>
      <c r="AM203" s="14">
        <v>99.8</v>
      </c>
      <c r="BA203" s="7">
        <f t="shared" si="173"/>
        <v>100.62222222222221</v>
      </c>
      <c r="BB203" s="7">
        <f t="shared" si="173"/>
        <v>99.8888888888889</v>
      </c>
      <c r="BC203" s="14">
        <v>99.8</v>
      </c>
    </row>
    <row r="204" spans="1:55" ht="15.5" x14ac:dyDescent="0.35">
      <c r="A204" s="13">
        <v>43199</v>
      </c>
      <c r="B204">
        <v>117</v>
      </c>
      <c r="C204">
        <v>109.6</v>
      </c>
      <c r="D204">
        <v>116.5</v>
      </c>
      <c r="E204">
        <v>110.9</v>
      </c>
      <c r="F204">
        <v>117.7</v>
      </c>
      <c r="G204">
        <v>111</v>
      </c>
      <c r="I204">
        <v>120.8</v>
      </c>
      <c r="J204">
        <v>110.6</v>
      </c>
      <c r="K204">
        <v>123.5</v>
      </c>
      <c r="L204">
        <v>111.8</v>
      </c>
      <c r="M204">
        <v>122.1</v>
      </c>
      <c r="N204">
        <v>106.9</v>
      </c>
      <c r="P204" s="10">
        <v>118.2</v>
      </c>
      <c r="Q204" s="55">
        <v>93</v>
      </c>
      <c r="R204" s="10">
        <v>127.7</v>
      </c>
      <c r="S204" s="55">
        <v>101.2</v>
      </c>
      <c r="T204" s="10">
        <v>126.6</v>
      </c>
      <c r="U204" s="10">
        <v>95.8</v>
      </c>
      <c r="V204" s="5"/>
      <c r="W204" s="10">
        <v>110.8</v>
      </c>
      <c r="X204" s="10"/>
      <c r="Y204" s="5"/>
      <c r="Z204" s="10">
        <v>104</v>
      </c>
      <c r="AE204" s="1"/>
      <c r="AF204" s="13">
        <v>43199</v>
      </c>
      <c r="AG204" s="8">
        <f t="shared" si="171"/>
        <v>124.16666666666667</v>
      </c>
      <c r="AH204" s="8">
        <f t="shared" si="171"/>
        <v>96.666666666666671</v>
      </c>
      <c r="AI204" s="14">
        <f t="shared" si="174"/>
        <v>122.13333333333333</v>
      </c>
      <c r="AJ204" s="8">
        <f t="shared" si="175"/>
        <v>109.76666666666665</v>
      </c>
      <c r="AK204" s="14">
        <f t="shared" si="172"/>
        <v>117.06666666666666</v>
      </c>
      <c r="AL204" s="14">
        <f t="shared" si="172"/>
        <v>110.5</v>
      </c>
      <c r="AM204" s="14">
        <v>110.8</v>
      </c>
      <c r="BA204" s="7">
        <f t="shared" si="173"/>
        <v>121.12222222222223</v>
      </c>
      <c r="BB204" s="7">
        <f t="shared" si="173"/>
        <v>105.64444444444445</v>
      </c>
      <c r="BC204" s="14">
        <v>110.8</v>
      </c>
    </row>
    <row r="205" spans="1:55" ht="15.5" x14ac:dyDescent="0.35">
      <c r="A205" s="13">
        <v>43206</v>
      </c>
      <c r="B205">
        <v>118.3</v>
      </c>
      <c r="C205">
        <v>118.2</v>
      </c>
      <c r="D205">
        <v>117</v>
      </c>
      <c r="E205">
        <v>116.5</v>
      </c>
      <c r="F205">
        <v>116</v>
      </c>
      <c r="G205">
        <v>116</v>
      </c>
      <c r="I205">
        <v>116.9</v>
      </c>
      <c r="J205">
        <v>117.5</v>
      </c>
      <c r="K205">
        <v>116.5</v>
      </c>
      <c r="L205">
        <v>116.5</v>
      </c>
      <c r="M205">
        <v>117.8</v>
      </c>
      <c r="N205">
        <v>117.3</v>
      </c>
      <c r="P205" s="10">
        <v>114.9</v>
      </c>
      <c r="Q205" s="10">
        <v>114.6</v>
      </c>
      <c r="R205">
        <v>117.9</v>
      </c>
      <c r="S205">
        <v>116</v>
      </c>
      <c r="T205">
        <v>117.2</v>
      </c>
      <c r="U205">
        <v>116.2</v>
      </c>
      <c r="V205" s="5"/>
      <c r="W205" s="10">
        <v>127.8</v>
      </c>
      <c r="X205" s="10"/>
      <c r="Y205" s="5"/>
      <c r="Z205" s="10">
        <v>129.30000000000001</v>
      </c>
      <c r="AE205" s="1"/>
      <c r="AF205" s="13">
        <v>43206</v>
      </c>
      <c r="AG205" s="8">
        <f t="shared" si="171"/>
        <v>116.66666666666667</v>
      </c>
      <c r="AH205" s="8">
        <f t="shared" si="171"/>
        <v>115.60000000000001</v>
      </c>
      <c r="AI205" s="14">
        <f t="shared" si="174"/>
        <v>117.06666666666666</v>
      </c>
      <c r="AJ205" s="8">
        <f t="shared" si="175"/>
        <v>117.10000000000001</v>
      </c>
      <c r="AK205" s="14">
        <f t="shared" si="172"/>
        <v>117.10000000000001</v>
      </c>
      <c r="AL205" s="14">
        <f t="shared" si="172"/>
        <v>116.89999999999999</v>
      </c>
      <c r="AM205" s="14">
        <v>127.8</v>
      </c>
      <c r="BA205" s="7">
        <f t="shared" si="173"/>
        <v>116.94444444444444</v>
      </c>
      <c r="BB205" s="7">
        <f t="shared" si="173"/>
        <v>116.53333333333333</v>
      </c>
      <c r="BC205" s="14">
        <v>127.8</v>
      </c>
    </row>
    <row r="206" spans="1:55" ht="15.5" x14ac:dyDescent="0.35">
      <c r="A206" s="13">
        <v>43213</v>
      </c>
      <c r="B206" s="43">
        <v>128.69999999999999</v>
      </c>
      <c r="C206" s="43">
        <v>127.6</v>
      </c>
      <c r="D206" s="43">
        <v>125</v>
      </c>
      <c r="E206" s="43">
        <v>127.9</v>
      </c>
      <c r="F206" s="43">
        <v>125.1</v>
      </c>
      <c r="G206" s="43">
        <v>123.9</v>
      </c>
      <c r="I206" s="43">
        <v>132.4</v>
      </c>
      <c r="J206" s="43">
        <v>117.9</v>
      </c>
      <c r="K206" s="43">
        <v>125.5</v>
      </c>
      <c r="L206" s="43">
        <v>123.9</v>
      </c>
      <c r="M206" s="43">
        <v>129.4</v>
      </c>
      <c r="N206" s="43">
        <v>122.2</v>
      </c>
      <c r="P206" s="43">
        <v>121</v>
      </c>
      <c r="Q206" s="43">
        <v>116.6</v>
      </c>
      <c r="R206" s="43">
        <v>120.1</v>
      </c>
      <c r="S206" s="43">
        <v>111.9</v>
      </c>
      <c r="T206" s="43">
        <v>113</v>
      </c>
      <c r="U206" s="43">
        <v>106.3</v>
      </c>
      <c r="V206" s="5"/>
      <c r="W206" s="10">
        <v>163</v>
      </c>
      <c r="X206" s="10"/>
      <c r="Y206" s="5"/>
      <c r="Z206" s="10">
        <v>112.3</v>
      </c>
      <c r="AE206" s="1"/>
      <c r="AF206" s="13">
        <v>43213</v>
      </c>
      <c r="AG206" s="8">
        <f t="shared" si="171"/>
        <v>118.03333333333335</v>
      </c>
      <c r="AH206" s="8">
        <f t="shared" si="171"/>
        <v>111.60000000000001</v>
      </c>
      <c r="AI206" s="14">
        <f t="shared" si="174"/>
        <v>129.1</v>
      </c>
      <c r="AJ206" s="8">
        <f t="shared" si="175"/>
        <v>121.33333333333333</v>
      </c>
      <c r="AK206" s="14">
        <f t="shared" si="172"/>
        <v>126.26666666666665</v>
      </c>
      <c r="AL206" s="14">
        <f t="shared" si="172"/>
        <v>126.46666666666665</v>
      </c>
      <c r="AM206" s="14">
        <v>163</v>
      </c>
      <c r="BA206" s="7">
        <f t="shared" si="173"/>
        <v>124.46666666666664</v>
      </c>
      <c r="BB206" s="7">
        <f t="shared" si="173"/>
        <v>119.80000000000001</v>
      </c>
      <c r="BC206" s="14">
        <v>163</v>
      </c>
    </row>
    <row r="207" spans="1:55" ht="15.5" x14ac:dyDescent="0.35">
      <c r="A207" s="2">
        <v>43222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5"/>
      <c r="P207" s="10"/>
      <c r="Q207" s="10"/>
      <c r="R207" s="10"/>
      <c r="S207" s="10"/>
      <c r="T207" s="10"/>
      <c r="U207" s="10"/>
      <c r="V207" s="5"/>
      <c r="W207" s="10"/>
      <c r="X207" s="10"/>
      <c r="Y207" s="5"/>
      <c r="Z207" s="10">
        <v>91.3</v>
      </c>
      <c r="AE207" s="1"/>
      <c r="AF207" s="2">
        <v>43222</v>
      </c>
      <c r="AG207" s="8"/>
      <c r="AH207" s="8"/>
      <c r="AI207" s="14"/>
      <c r="AJ207" s="8"/>
      <c r="AK207" s="14"/>
      <c r="AL207" s="14"/>
      <c r="AM207" s="14"/>
      <c r="BA207" s="7"/>
      <c r="BB207" s="7"/>
      <c r="BC207" s="14"/>
    </row>
    <row r="208" spans="1:55" ht="15.5" x14ac:dyDescent="0.35">
      <c r="A208" s="2">
        <v>43227</v>
      </c>
      <c r="AE208" s="1"/>
      <c r="AF208" s="2">
        <v>43227</v>
      </c>
      <c r="AG208" s="8"/>
      <c r="AH208" s="8"/>
      <c r="AI208" s="14"/>
      <c r="AJ208" s="8"/>
      <c r="AK208" s="14"/>
      <c r="AL208" s="14"/>
      <c r="AM208" s="8"/>
      <c r="BA208" s="7"/>
      <c r="BB208" s="7"/>
      <c r="BC208" s="8"/>
    </row>
    <row r="209" spans="1:55" ht="15.5" x14ac:dyDescent="0.35">
      <c r="A209" s="13">
        <v>43234</v>
      </c>
      <c r="B209" s="43">
        <v>60.4</v>
      </c>
      <c r="C209" s="43">
        <v>43.7</v>
      </c>
      <c r="D209" s="43">
        <v>62.8</v>
      </c>
      <c r="E209" s="43">
        <v>47.1</v>
      </c>
      <c r="F209" s="43">
        <v>54.1</v>
      </c>
      <c r="G209" s="43">
        <v>38</v>
      </c>
      <c r="I209" s="43">
        <v>69.5</v>
      </c>
      <c r="J209" s="43">
        <v>43.9</v>
      </c>
      <c r="K209" s="43">
        <v>63.6</v>
      </c>
      <c r="L209" s="43">
        <v>34.1</v>
      </c>
      <c r="M209" s="43">
        <v>71.099999999999994</v>
      </c>
      <c r="N209" s="43">
        <v>39.6</v>
      </c>
      <c r="P209" s="43">
        <v>83.4</v>
      </c>
      <c r="Q209" s="43">
        <v>33.299999999999997</v>
      </c>
      <c r="R209" s="43">
        <v>84.3</v>
      </c>
      <c r="S209" s="43">
        <v>50.4</v>
      </c>
      <c r="T209" s="43">
        <v>84.5</v>
      </c>
      <c r="U209" s="43">
        <v>46.3</v>
      </c>
      <c r="V209" s="5"/>
      <c r="W209" s="10"/>
      <c r="X209" s="10"/>
      <c r="Y209" s="5"/>
      <c r="Z209" s="10">
        <v>70.099999999999994</v>
      </c>
      <c r="AE209" s="1"/>
      <c r="AF209" s="13">
        <v>43234</v>
      </c>
      <c r="AG209" s="8">
        <f t="shared" ref="AG209:AH211" si="176">AVERAGE(P209,R209,T209)</f>
        <v>84.066666666666663</v>
      </c>
      <c r="AH209" s="8">
        <f t="shared" si="176"/>
        <v>43.333333333333336</v>
      </c>
      <c r="AI209" s="14">
        <f t="shared" si="174"/>
        <v>68.066666666666663</v>
      </c>
      <c r="AJ209" s="8">
        <f t="shared" si="175"/>
        <v>39.199999999999996</v>
      </c>
      <c r="AK209" s="14">
        <f t="shared" ref="AK209:AL211" si="177">AVERAGE(B209,D209,F209)</f>
        <v>59.099999999999994</v>
      </c>
      <c r="AL209" s="14">
        <f t="shared" si="177"/>
        <v>42.933333333333337</v>
      </c>
      <c r="AM209" s="14"/>
      <c r="BA209" s="7">
        <f t="shared" ref="BA209:BB211" si="178">AVERAGE(B209,D209,F209,I209,K209,M209,P209,R209,T209)</f>
        <v>70.411111111111097</v>
      </c>
      <c r="BB209" s="7">
        <f t="shared" si="178"/>
        <v>41.822222222222223</v>
      </c>
      <c r="BC209" s="14"/>
    </row>
    <row r="210" spans="1:55" ht="15.5" x14ac:dyDescent="0.35">
      <c r="A210" s="13">
        <v>43242</v>
      </c>
      <c r="B210" s="43">
        <v>31.5</v>
      </c>
      <c r="C210" s="43">
        <v>37.6</v>
      </c>
      <c r="D210" s="43">
        <v>42.8</v>
      </c>
      <c r="E210" s="43">
        <v>38.5</v>
      </c>
      <c r="F210" s="43">
        <v>72</v>
      </c>
      <c r="G210" s="73">
        <v>56.5</v>
      </c>
      <c r="I210" s="43">
        <v>72.400000000000006</v>
      </c>
      <c r="J210" s="43">
        <v>14.7</v>
      </c>
      <c r="K210" s="43">
        <v>74.5</v>
      </c>
      <c r="L210" s="43">
        <v>11</v>
      </c>
      <c r="M210" s="43">
        <v>69.8</v>
      </c>
      <c r="N210" s="43">
        <v>12</v>
      </c>
      <c r="P210" s="43">
        <v>61.8</v>
      </c>
      <c r="Q210" s="43">
        <v>14</v>
      </c>
      <c r="R210" s="43">
        <v>60.4</v>
      </c>
      <c r="S210" s="43">
        <v>12.9</v>
      </c>
      <c r="T210" s="43">
        <v>57</v>
      </c>
      <c r="U210" s="43">
        <v>12.7</v>
      </c>
      <c r="V210" s="5"/>
      <c r="W210" s="10">
        <v>112.9</v>
      </c>
      <c r="X210" s="10"/>
      <c r="Y210" s="5"/>
      <c r="Z210" s="5"/>
      <c r="AE210" s="1"/>
      <c r="AF210" s="13">
        <v>43242</v>
      </c>
      <c r="AG210" s="8">
        <f t="shared" si="176"/>
        <v>59.733333333333327</v>
      </c>
      <c r="AH210" s="8">
        <f t="shared" si="176"/>
        <v>13.199999999999998</v>
      </c>
      <c r="AI210" s="14">
        <f t="shared" si="174"/>
        <v>72.233333333333334</v>
      </c>
      <c r="AJ210" s="8">
        <f t="shared" si="175"/>
        <v>12.566666666666668</v>
      </c>
      <c r="AK210" s="14">
        <f t="shared" si="177"/>
        <v>48.766666666666673</v>
      </c>
      <c r="AL210" s="14">
        <f t="shared" si="177"/>
        <v>44.199999999999996</v>
      </c>
      <c r="AM210" s="14">
        <v>112.9</v>
      </c>
      <c r="BA210" s="7">
        <f t="shared" si="178"/>
        <v>60.244444444444447</v>
      </c>
      <c r="BB210" s="7">
        <f t="shared" si="178"/>
        <v>23.322222222222219</v>
      </c>
      <c r="BC210" s="14">
        <v>112.9</v>
      </c>
    </row>
    <row r="211" spans="1:55" ht="15.5" x14ac:dyDescent="0.35">
      <c r="A211" s="13">
        <v>43248</v>
      </c>
      <c r="B211" s="43">
        <v>124.6</v>
      </c>
      <c r="C211" s="43">
        <v>96.5</v>
      </c>
      <c r="D211" s="43">
        <v>123.8</v>
      </c>
      <c r="E211" s="43">
        <v>93.1</v>
      </c>
      <c r="F211" s="43">
        <v>121.7</v>
      </c>
      <c r="G211" s="73">
        <v>71.3</v>
      </c>
      <c r="I211" s="43">
        <v>128.30000000000001</v>
      </c>
      <c r="J211" s="43">
        <v>91.5</v>
      </c>
      <c r="K211" s="43">
        <v>121.5</v>
      </c>
      <c r="L211" s="43">
        <v>98</v>
      </c>
      <c r="M211" s="43">
        <v>128.19999999999999</v>
      </c>
      <c r="N211" s="43">
        <v>74.5</v>
      </c>
      <c r="P211" s="43">
        <v>92.7</v>
      </c>
      <c r="Q211" s="43">
        <v>104.7</v>
      </c>
      <c r="R211" s="43">
        <v>123.4</v>
      </c>
      <c r="S211" s="43">
        <v>118</v>
      </c>
      <c r="T211" s="43">
        <v>119</v>
      </c>
      <c r="U211" s="43">
        <v>117.4</v>
      </c>
      <c r="V211" s="5"/>
      <c r="W211" s="10">
        <v>139.5</v>
      </c>
      <c r="X211" s="10"/>
      <c r="Y211" s="5"/>
      <c r="Z211" s="5"/>
      <c r="AE211" s="1"/>
      <c r="AF211" s="13">
        <v>43248</v>
      </c>
      <c r="AG211" s="8">
        <f t="shared" si="176"/>
        <v>111.7</v>
      </c>
      <c r="AH211" s="8">
        <f t="shared" si="176"/>
        <v>113.36666666666667</v>
      </c>
      <c r="AI211" s="14">
        <f t="shared" si="174"/>
        <v>126</v>
      </c>
      <c r="AJ211" s="8">
        <f t="shared" si="175"/>
        <v>88</v>
      </c>
      <c r="AK211" s="14">
        <f t="shared" si="177"/>
        <v>123.36666666666666</v>
      </c>
      <c r="AL211" s="14">
        <f t="shared" si="177"/>
        <v>86.966666666666654</v>
      </c>
      <c r="AM211" s="14">
        <v>139.5</v>
      </c>
      <c r="BA211" s="7">
        <f t="shared" si="178"/>
        <v>120.35555555555554</v>
      </c>
      <c r="BB211" s="7">
        <f t="shared" si="178"/>
        <v>96.111111111111114</v>
      </c>
      <c r="BC211" s="14">
        <v>139.5</v>
      </c>
    </row>
    <row r="212" spans="1:55" ht="15.5" x14ac:dyDescent="0.35">
      <c r="A212" s="13"/>
      <c r="H212" s="9"/>
      <c r="O212" s="5"/>
      <c r="V212" s="5"/>
      <c r="W212" s="10"/>
      <c r="X212" s="10"/>
      <c r="Y212" s="5"/>
      <c r="Z212" s="5"/>
      <c r="AE212" s="1"/>
      <c r="AG212" s="5"/>
      <c r="AH212" s="5"/>
      <c r="AI212" s="5"/>
      <c r="BA212" s="7"/>
      <c r="BB212" s="7"/>
      <c r="BC212" s="8"/>
    </row>
    <row r="213" spans="1:55" ht="15.5" x14ac:dyDescent="0.35">
      <c r="A213" s="13"/>
      <c r="B213" s="10"/>
      <c r="C213" s="10"/>
      <c r="D213" s="10"/>
      <c r="E213" s="10"/>
      <c r="H213" s="9"/>
      <c r="I213" s="10"/>
      <c r="J213" s="10"/>
      <c r="K213" s="10"/>
      <c r="L213" s="10"/>
      <c r="M213" s="10"/>
      <c r="N213" s="10"/>
      <c r="O213" s="5"/>
      <c r="P213" s="10"/>
      <c r="Q213" s="10"/>
      <c r="R213" s="10"/>
      <c r="S213" s="10"/>
      <c r="T213" s="10"/>
      <c r="U213" s="10"/>
      <c r="V213" s="5"/>
      <c r="W213" s="10"/>
      <c r="X213" s="10"/>
      <c r="Y213" s="5"/>
      <c r="Z213" s="5"/>
      <c r="AE213" s="1"/>
      <c r="AG213" s="5"/>
      <c r="AH213" s="5"/>
      <c r="AI213" s="5"/>
      <c r="BA213" s="7"/>
      <c r="BB213" s="7"/>
      <c r="BC213" s="8"/>
    </row>
    <row r="214" spans="1:55" ht="15.5" x14ac:dyDescent="0.35">
      <c r="A214" s="13"/>
      <c r="D214" s="9"/>
      <c r="F214" s="9"/>
      <c r="H214" s="9"/>
      <c r="I214" s="9"/>
      <c r="K214" s="5"/>
      <c r="M214" s="5"/>
      <c r="O214" s="5"/>
      <c r="AE214" s="1"/>
      <c r="AG214" s="5"/>
      <c r="AH214" s="5"/>
      <c r="AI214" s="5"/>
    </row>
    <row r="215" spans="1:55" ht="15.5" x14ac:dyDescent="0.35">
      <c r="A215" s="13"/>
      <c r="D215" s="9"/>
      <c r="F215" s="9"/>
      <c r="H215" s="9"/>
      <c r="I215" s="9"/>
      <c r="K215" s="5"/>
      <c r="M215" s="5"/>
      <c r="O215" s="5"/>
      <c r="P215" s="5"/>
      <c r="R215" s="5"/>
      <c r="T215" s="5"/>
      <c r="V215" s="5"/>
      <c r="AE215" s="1"/>
      <c r="AG215" s="5"/>
      <c r="AH215" s="5"/>
      <c r="AI215" s="5"/>
    </row>
    <row r="216" spans="1:55" ht="15.5" x14ac:dyDescent="0.35">
      <c r="A216" s="13"/>
      <c r="D216" s="9"/>
      <c r="F216" s="9"/>
      <c r="H216" s="9"/>
      <c r="I216" s="9"/>
      <c r="K216" s="5"/>
      <c r="L216" s="5"/>
      <c r="M216" s="5"/>
      <c r="O216" s="5"/>
      <c r="P216" s="5"/>
      <c r="R216" s="5"/>
      <c r="S216" s="5"/>
      <c r="T216" s="5"/>
      <c r="V216" s="5"/>
      <c r="AE216" s="1"/>
      <c r="AG216" s="5"/>
      <c r="AH216" s="5"/>
      <c r="AI216" s="5"/>
    </row>
    <row r="217" spans="1:55" ht="15.5" x14ac:dyDescent="0.35">
      <c r="A217" s="13"/>
      <c r="D217" s="9"/>
      <c r="E217" s="9"/>
      <c r="F217" s="9"/>
      <c r="H217" s="9"/>
      <c r="I217" s="9"/>
      <c r="K217" s="5"/>
      <c r="L217" s="5"/>
      <c r="M217" s="5"/>
      <c r="O217" s="5"/>
      <c r="P217" s="5"/>
      <c r="R217" s="5"/>
      <c r="S217" s="5"/>
      <c r="T217" s="5"/>
      <c r="V217" s="5"/>
      <c r="AE217" s="1"/>
      <c r="AG217" s="5"/>
      <c r="AH217" s="5"/>
      <c r="AI217" s="5"/>
    </row>
    <row r="218" spans="1:55" ht="15.5" x14ac:dyDescent="0.35">
      <c r="A218" s="13"/>
      <c r="D218" s="9"/>
      <c r="E218" s="9"/>
      <c r="F218" s="9"/>
      <c r="H218" s="9"/>
      <c r="I218" s="9"/>
      <c r="K218" s="5"/>
      <c r="L218" s="5"/>
      <c r="M218" s="5"/>
      <c r="O218" s="5"/>
      <c r="P218" s="5"/>
      <c r="R218" s="5"/>
      <c r="S218" s="5"/>
      <c r="T218" s="5"/>
      <c r="V218" s="5"/>
      <c r="AE218" s="1"/>
      <c r="AG218" s="10"/>
      <c r="AH218" s="5"/>
      <c r="AI218" s="5"/>
    </row>
    <row r="219" spans="1:55" ht="15.5" x14ac:dyDescent="0.35">
      <c r="A219" s="13"/>
      <c r="D219" s="9"/>
      <c r="E219" s="9"/>
      <c r="F219" s="9"/>
      <c r="H219" s="9"/>
      <c r="I219" s="9"/>
      <c r="K219" s="5"/>
      <c r="L219" s="5"/>
      <c r="M219" s="5"/>
      <c r="O219" s="5"/>
      <c r="P219" s="5"/>
      <c r="R219" s="5"/>
      <c r="S219" s="5"/>
      <c r="T219" s="5"/>
      <c r="V219" s="5"/>
      <c r="AE219" s="1"/>
      <c r="AG219" s="5"/>
      <c r="AH219" s="5"/>
      <c r="AI219" s="5"/>
    </row>
    <row r="220" spans="1:55" ht="15.5" x14ac:dyDescent="0.35">
      <c r="A220" s="13"/>
      <c r="C220" s="9"/>
      <c r="D220" s="9"/>
      <c r="E220" s="9"/>
      <c r="F220" s="9"/>
      <c r="G220" s="9"/>
      <c r="H220" s="9"/>
      <c r="I220" s="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AE220" s="1"/>
      <c r="AG220" s="10"/>
      <c r="AH220" s="10"/>
      <c r="AI220" s="10"/>
    </row>
    <row r="221" spans="1:55" ht="15.5" x14ac:dyDescent="0.35">
      <c r="A221" s="13"/>
      <c r="C221" s="9"/>
      <c r="D221" s="9"/>
      <c r="E221" s="9"/>
      <c r="F221" s="9"/>
      <c r="G221" s="9"/>
      <c r="H221" s="9"/>
      <c r="I221" s="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E221" s="9"/>
      <c r="AF221" s="5"/>
      <c r="AG221" s="5"/>
      <c r="AH221" s="5"/>
      <c r="AI221" s="5"/>
    </row>
    <row r="222" spans="1:55" ht="15.5" x14ac:dyDescent="0.35">
      <c r="A222" s="13"/>
      <c r="C222" s="9"/>
      <c r="D222" s="9"/>
      <c r="E222" s="9"/>
      <c r="F222" s="9"/>
      <c r="G222" s="9"/>
      <c r="H222" s="9"/>
      <c r="I222" s="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AG222" s="5"/>
      <c r="AH222" s="5"/>
      <c r="AI222" s="5"/>
    </row>
    <row r="223" spans="1:55" ht="15.5" x14ac:dyDescent="0.35">
      <c r="A223" s="13"/>
      <c r="C223" s="9"/>
      <c r="D223" s="9"/>
      <c r="E223" s="9"/>
      <c r="F223" s="9"/>
      <c r="G223" s="9"/>
      <c r="H223" s="9"/>
      <c r="I223" s="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AH223" s="5"/>
      <c r="AI223" s="5"/>
    </row>
    <row r="224" spans="1:55" ht="15.5" x14ac:dyDescent="0.35">
      <c r="A224" s="13"/>
      <c r="C224" s="9"/>
      <c r="D224" s="9"/>
      <c r="E224" s="9"/>
      <c r="F224" s="9"/>
      <c r="G224" s="9"/>
      <c r="H224" s="9"/>
      <c r="I224" s="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AE224" s="13"/>
      <c r="AF224" s="9"/>
      <c r="AH224" s="5"/>
      <c r="AI224" s="5"/>
    </row>
    <row r="225" spans="1:55" ht="15.5" x14ac:dyDescent="0.35">
      <c r="A225" s="13"/>
      <c r="C225" s="9"/>
      <c r="D225" s="9"/>
      <c r="E225" s="9"/>
      <c r="F225" s="9"/>
      <c r="G225" s="9"/>
      <c r="H225" s="9"/>
      <c r="I225" s="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E225" s="13"/>
      <c r="AF225" s="9"/>
      <c r="AH225" s="5"/>
      <c r="AI225" s="5"/>
    </row>
    <row r="226" spans="1:55" ht="15.5" x14ac:dyDescent="0.35">
      <c r="A226" s="13"/>
      <c r="C226" s="9"/>
      <c r="D226" s="9"/>
      <c r="E226" s="9"/>
      <c r="F226" s="9"/>
      <c r="G226" s="9"/>
      <c r="H226" s="9"/>
      <c r="I226" s="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E226" s="13"/>
      <c r="AF226" s="9"/>
      <c r="AH226" s="5"/>
      <c r="AI226" s="5"/>
    </row>
    <row r="227" spans="1:55" ht="15.5" x14ac:dyDescent="0.35">
      <c r="A227" s="13"/>
      <c r="C227" s="9"/>
      <c r="D227" s="9"/>
      <c r="E227" s="9"/>
      <c r="F227" s="9"/>
      <c r="G227" s="9"/>
      <c r="H227" s="9"/>
      <c r="I227" s="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E227" s="13"/>
      <c r="AF227" s="9"/>
      <c r="AH227" s="5"/>
      <c r="AI227" s="5"/>
    </row>
    <row r="228" spans="1:55" ht="15.5" x14ac:dyDescent="0.35">
      <c r="A228" s="13"/>
      <c r="C228" s="9"/>
      <c r="D228" s="9"/>
      <c r="E228" s="9"/>
      <c r="F228" s="9"/>
      <c r="G228" s="9"/>
      <c r="H228" s="9"/>
      <c r="I228" s="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E228" s="13"/>
      <c r="AF228" s="9"/>
      <c r="AH228" s="5"/>
      <c r="AI228" s="5"/>
    </row>
    <row r="229" spans="1:55" ht="15.5" x14ac:dyDescent="0.35">
      <c r="A229" s="13"/>
      <c r="C229" s="9"/>
      <c r="D229" s="9"/>
      <c r="E229" s="9"/>
      <c r="F229" s="9"/>
      <c r="G229" s="9"/>
      <c r="H229" s="9"/>
      <c r="I229" s="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E229" s="13"/>
      <c r="AF229" s="9"/>
      <c r="AH229" s="5"/>
      <c r="AI229" s="5"/>
    </row>
    <row r="230" spans="1:55" ht="15.5" x14ac:dyDescent="0.35">
      <c r="A230" s="13"/>
      <c r="C230" s="9"/>
      <c r="D230" s="9"/>
      <c r="E230" s="9"/>
      <c r="F230" s="9"/>
      <c r="G230" s="9"/>
      <c r="H230" s="9"/>
      <c r="I230" s="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E230" s="13"/>
      <c r="AF230" s="9"/>
      <c r="AG230" s="5"/>
      <c r="AH230" s="5"/>
      <c r="AI230" s="5"/>
    </row>
    <row r="231" spans="1:55" ht="15.5" x14ac:dyDescent="0.35">
      <c r="A231" s="13"/>
      <c r="C231" s="9"/>
      <c r="D231" s="9"/>
      <c r="E231" s="9"/>
      <c r="F231" s="9"/>
      <c r="G231" s="9"/>
      <c r="H231" s="9"/>
      <c r="I231" s="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E231" s="13"/>
      <c r="AF231" s="9"/>
      <c r="AG231" s="5"/>
      <c r="AH231" s="5"/>
      <c r="AI231" s="5"/>
    </row>
    <row r="232" spans="1:55" ht="15.5" x14ac:dyDescent="0.35">
      <c r="A232" s="13"/>
      <c r="C232" s="9"/>
      <c r="D232" s="9"/>
      <c r="E232" s="9"/>
      <c r="F232" s="9"/>
      <c r="G232" s="9"/>
      <c r="H232" s="9"/>
      <c r="I232" s="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E232" s="13"/>
      <c r="AF232" s="9"/>
      <c r="AG232" s="10"/>
      <c r="AH232" s="10"/>
      <c r="AI232" s="10"/>
    </row>
    <row r="233" spans="1:55" ht="15.5" x14ac:dyDescent="0.35">
      <c r="A233" s="13"/>
      <c r="C233" s="9"/>
      <c r="D233" s="9"/>
      <c r="E233" s="9"/>
      <c r="F233" s="9"/>
      <c r="G233" s="9"/>
      <c r="H233" s="9"/>
      <c r="I233" s="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E233" s="1"/>
      <c r="AG233" s="5"/>
      <c r="AH233" s="5"/>
      <c r="AI233" s="5"/>
    </row>
    <row r="234" spans="1:55" ht="15.5" x14ac:dyDescent="0.35">
      <c r="A234" t="s">
        <v>0</v>
      </c>
      <c r="B234" t="s">
        <v>5</v>
      </c>
      <c r="AE234" s="1"/>
      <c r="AG234" s="10"/>
      <c r="AH234" s="10"/>
      <c r="AI234" s="10"/>
    </row>
    <row r="235" spans="1:55" ht="15.5" x14ac:dyDescent="0.35">
      <c r="B235" t="s">
        <v>136</v>
      </c>
      <c r="I235" t="s">
        <v>134</v>
      </c>
      <c r="P235" t="s">
        <v>135</v>
      </c>
      <c r="AE235" s="1"/>
      <c r="AF235" s="10"/>
      <c r="AG235" s="5"/>
      <c r="AH235" s="5"/>
      <c r="AI235" s="5"/>
    </row>
    <row r="236" spans="1:55" ht="15.5" x14ac:dyDescent="0.35">
      <c r="B236" s="9" t="s">
        <v>128</v>
      </c>
      <c r="C236" s="9" t="s">
        <v>129</v>
      </c>
      <c r="D236" s="9" t="s">
        <v>130</v>
      </c>
      <c r="E236" s="9" t="s">
        <v>131</v>
      </c>
      <c r="F236" s="9" t="s">
        <v>132</v>
      </c>
      <c r="G236" s="9" t="s">
        <v>133</v>
      </c>
      <c r="I236" s="9" t="s">
        <v>128</v>
      </c>
      <c r="J236" s="9" t="s">
        <v>129</v>
      </c>
      <c r="K236" s="9" t="s">
        <v>130</v>
      </c>
      <c r="L236" s="9" t="s">
        <v>131</v>
      </c>
      <c r="M236" s="9" t="s">
        <v>132</v>
      </c>
      <c r="N236" s="9" t="s">
        <v>133</v>
      </c>
      <c r="P236" s="9" t="s">
        <v>128</v>
      </c>
      <c r="Q236" s="9" t="s">
        <v>129</v>
      </c>
      <c r="R236" s="9" t="s">
        <v>130</v>
      </c>
      <c r="S236" s="9" t="s">
        <v>131</v>
      </c>
      <c r="T236" s="9" t="s">
        <v>132</v>
      </c>
      <c r="U236" s="9" t="s">
        <v>133</v>
      </c>
      <c r="W236" s="9" t="s">
        <v>6</v>
      </c>
      <c r="X236" s="9" t="s">
        <v>7</v>
      </c>
      <c r="Z236" s="9" t="s">
        <v>20</v>
      </c>
      <c r="AE236" s="1"/>
      <c r="AF236" s="10"/>
      <c r="AG236" s="5" t="s">
        <v>535</v>
      </c>
      <c r="AH236" s="5" t="s">
        <v>536</v>
      </c>
      <c r="AI236" s="5" t="s">
        <v>537</v>
      </c>
      <c r="AJ236" s="10" t="s">
        <v>538</v>
      </c>
      <c r="AK236" s="10" t="s">
        <v>533</v>
      </c>
      <c r="AL236" s="10" t="s">
        <v>534</v>
      </c>
      <c r="AM236" s="10" t="s">
        <v>539</v>
      </c>
      <c r="BA236" t="s">
        <v>543</v>
      </c>
      <c r="BB236" t="s">
        <v>544</v>
      </c>
      <c r="BC236" t="s">
        <v>171</v>
      </c>
    </row>
    <row r="237" spans="1:55" ht="15.5" x14ac:dyDescent="0.35">
      <c r="A237" s="13">
        <v>42433</v>
      </c>
      <c r="B237" s="5">
        <v>8.27</v>
      </c>
      <c r="C237" s="5">
        <v>8.33</v>
      </c>
      <c r="D237" s="9"/>
      <c r="E237" s="9"/>
      <c r="F237" s="5">
        <v>8.33</v>
      </c>
      <c r="G237" s="5">
        <v>8.35</v>
      </c>
      <c r="H237" s="9"/>
      <c r="I237" s="5">
        <v>8.25</v>
      </c>
      <c r="J237" s="5">
        <v>8.1300000000000008</v>
      </c>
      <c r="K237" s="5"/>
      <c r="L237" s="5"/>
      <c r="M237" s="5">
        <v>8.1199999999999992</v>
      </c>
      <c r="N237" s="5">
        <v>8.24</v>
      </c>
      <c r="P237" s="5">
        <v>8</v>
      </c>
      <c r="Q237" s="5">
        <v>8.1</v>
      </c>
      <c r="T237" s="5">
        <v>7.72</v>
      </c>
      <c r="U237" s="5">
        <v>7.8</v>
      </c>
      <c r="X237" s="5"/>
      <c r="Y237" s="5"/>
      <c r="AE237" s="1"/>
      <c r="AF237" s="13">
        <v>42433</v>
      </c>
      <c r="AG237" s="50">
        <f>AVERAGE(B237,D237,F237)</f>
        <v>8.3000000000000007</v>
      </c>
      <c r="AH237" s="50">
        <f>AVERAGE(C237,E237,G237)</f>
        <v>8.34</v>
      </c>
      <c r="AI237" s="50">
        <f>AVERAGE(I237,K237,M237)</f>
        <v>8.1849999999999987</v>
      </c>
      <c r="AJ237" s="42">
        <f>AVERAGE(J237,L237,N237)</f>
        <v>8.1850000000000005</v>
      </c>
      <c r="AK237" s="42">
        <f>AVERAGE(P237,R237,T237)</f>
        <v>7.8599999999999994</v>
      </c>
      <c r="AL237" s="42">
        <f>AVERAGE(Q237,S237,U237)</f>
        <v>7.9499999999999993</v>
      </c>
      <c r="BA237" s="7">
        <f>AVERAGE(B237,D237,F237,I237,K237,M237,P237,R237,T237)</f>
        <v>8.1150000000000002</v>
      </c>
      <c r="BB237" s="7">
        <f>AVERAGE(C237,E237,G237,J237,L237,N237,Q237,S237,U237)</f>
        <v>8.1583333333333332</v>
      </c>
    </row>
    <row r="238" spans="1:55" ht="15.5" x14ac:dyDescent="0.35">
      <c r="A238" s="13">
        <v>42440</v>
      </c>
      <c r="B238" s="5">
        <v>8.1999999999999993</v>
      </c>
      <c r="C238" s="5">
        <v>8.19</v>
      </c>
      <c r="F238" s="5">
        <v>8.26</v>
      </c>
      <c r="G238" s="5">
        <v>8.2100000000000009</v>
      </c>
      <c r="H238" s="9"/>
      <c r="I238" s="5">
        <v>8.15</v>
      </c>
      <c r="J238" s="5">
        <v>8.19</v>
      </c>
      <c r="K238" s="5"/>
      <c r="L238" s="5"/>
      <c r="M238" s="5">
        <v>8.2200000000000006</v>
      </c>
      <c r="N238" s="5">
        <v>8.2100000000000009</v>
      </c>
      <c r="P238" s="5">
        <v>8.1999999999999993</v>
      </c>
      <c r="Q238" s="5">
        <v>8.18</v>
      </c>
      <c r="T238" s="5">
        <v>8.27</v>
      </c>
      <c r="U238" s="5">
        <v>8.24</v>
      </c>
      <c r="W238" s="5">
        <v>8.15</v>
      </c>
      <c r="X238" s="5">
        <v>8.1199999999999992</v>
      </c>
      <c r="Y238" s="5"/>
      <c r="Z238" s="5">
        <v>8.25</v>
      </c>
      <c r="AE238" s="1"/>
      <c r="AF238" s="13">
        <v>42440</v>
      </c>
      <c r="AG238" s="50">
        <f t="shared" ref="AG238:AG246" si="179">AVERAGE(B238,D238,F238)</f>
        <v>8.23</v>
      </c>
      <c r="AH238" s="50">
        <f t="shared" ref="AH238:AH247" si="180">AVERAGE(C238,E238,G238)</f>
        <v>8.1999999999999993</v>
      </c>
      <c r="AI238" s="50">
        <f t="shared" ref="AI238:AI247" si="181">AVERAGE(I238,K238,M238)</f>
        <v>8.1850000000000005</v>
      </c>
      <c r="AJ238" s="42">
        <f t="shared" ref="AJ238:AJ247" si="182">AVERAGE(J238,L238,N238)</f>
        <v>8.1999999999999993</v>
      </c>
      <c r="AK238" s="42">
        <f t="shared" ref="AK238:AK247" si="183">AVERAGE(P238,R238,T238)</f>
        <v>8.2349999999999994</v>
      </c>
      <c r="AL238" s="42">
        <f t="shared" ref="AL238:AL247" si="184">AVERAGE(Q238,S238,U238)</f>
        <v>8.2100000000000009</v>
      </c>
      <c r="AM238">
        <v>8.15</v>
      </c>
      <c r="BA238" s="7">
        <f t="shared" ref="BA238:BA247" si="185">AVERAGE(B238,D238,F238,I238,K238,M238,P238,R238,T238)</f>
        <v>8.2166666666666668</v>
      </c>
      <c r="BB238" s="7">
        <f t="shared" ref="BB238:BB247" si="186">AVERAGE(C238,E238,G238,J238,L238,N238,Q238,S238,U238)</f>
        <v>8.2033333333333331</v>
      </c>
      <c r="BC238">
        <v>8.15</v>
      </c>
    </row>
    <row r="239" spans="1:55" ht="15.5" x14ac:dyDescent="0.35">
      <c r="A239" s="13">
        <v>42447</v>
      </c>
      <c r="B239" s="10">
        <v>8.64</v>
      </c>
      <c r="C239" s="10">
        <v>8.23</v>
      </c>
      <c r="D239" s="9"/>
      <c r="E239" s="9"/>
      <c r="F239" s="10">
        <v>8.61</v>
      </c>
      <c r="G239" s="10">
        <v>8.33</v>
      </c>
      <c r="H239" s="9"/>
      <c r="I239" s="10">
        <v>8.6</v>
      </c>
      <c r="J239" s="10">
        <v>8.27</v>
      </c>
      <c r="K239" s="10"/>
      <c r="L239" s="10"/>
      <c r="M239" s="10">
        <v>8.57</v>
      </c>
      <c r="N239" s="10">
        <v>8.26</v>
      </c>
      <c r="P239" s="10">
        <v>8.52</v>
      </c>
      <c r="Q239" s="10">
        <v>8.3000000000000007</v>
      </c>
      <c r="T239" s="10">
        <v>8.39</v>
      </c>
      <c r="U239" s="10">
        <v>8.25</v>
      </c>
      <c r="W239" s="10">
        <v>8.23</v>
      </c>
      <c r="X239" s="10">
        <v>8.59</v>
      </c>
      <c r="Y239" s="10"/>
      <c r="Z239" s="5">
        <v>8.5299999999999994</v>
      </c>
      <c r="AE239" s="1"/>
      <c r="AF239" s="13">
        <v>42447</v>
      </c>
      <c r="AG239" s="50">
        <f t="shared" si="179"/>
        <v>8.625</v>
      </c>
      <c r="AH239" s="50">
        <f t="shared" si="180"/>
        <v>8.2800000000000011</v>
      </c>
      <c r="AI239" s="50">
        <f t="shared" si="181"/>
        <v>8.5850000000000009</v>
      </c>
      <c r="AJ239" s="42">
        <f t="shared" si="182"/>
        <v>8.2650000000000006</v>
      </c>
      <c r="AK239" s="42">
        <f t="shared" si="183"/>
        <v>8.4550000000000001</v>
      </c>
      <c r="AL239" s="42">
        <f t="shared" si="184"/>
        <v>8.2750000000000004</v>
      </c>
      <c r="AM239">
        <v>8.23</v>
      </c>
      <c r="BA239" s="7">
        <f t="shared" si="185"/>
        <v>8.5549999999999997</v>
      </c>
      <c r="BB239" s="7">
        <f t="shared" si="186"/>
        <v>8.2733333333333334</v>
      </c>
      <c r="BC239">
        <v>8.23</v>
      </c>
    </row>
    <row r="240" spans="1:55" ht="15.5" x14ac:dyDescent="0.35">
      <c r="A240" s="13">
        <v>42454</v>
      </c>
      <c r="B240" s="5">
        <v>8.36</v>
      </c>
      <c r="C240" s="5">
        <v>8.2799999999999994</v>
      </c>
      <c r="D240" s="9"/>
      <c r="E240" s="9"/>
      <c r="F240" s="5">
        <v>8.34</v>
      </c>
      <c r="G240" s="5">
        <v>8.06</v>
      </c>
      <c r="H240" s="9"/>
      <c r="I240" s="5">
        <v>8.32</v>
      </c>
      <c r="J240" s="5">
        <v>7.99</v>
      </c>
      <c r="K240" s="5"/>
      <c r="L240" s="5"/>
      <c r="M240" s="5">
        <v>8.2799999999999994</v>
      </c>
      <c r="N240" s="5">
        <v>8.16</v>
      </c>
      <c r="P240" s="5">
        <v>8.23</v>
      </c>
      <c r="Q240" s="5">
        <v>8.25</v>
      </c>
      <c r="T240" s="5">
        <v>8.23</v>
      </c>
      <c r="U240" s="5">
        <v>8.2799999999999994</v>
      </c>
      <c r="W240" s="5">
        <v>8.2100000000000009</v>
      </c>
      <c r="X240" s="5">
        <v>8.3000000000000007</v>
      </c>
      <c r="Y240" s="5"/>
      <c r="Z240" s="5">
        <v>8.43</v>
      </c>
      <c r="AE240" s="1"/>
      <c r="AF240" s="13">
        <v>42454</v>
      </c>
      <c r="AG240" s="50">
        <f t="shared" si="179"/>
        <v>8.35</v>
      </c>
      <c r="AH240" s="50">
        <f t="shared" si="180"/>
        <v>8.17</v>
      </c>
      <c r="AI240" s="50">
        <f t="shared" si="181"/>
        <v>8.3000000000000007</v>
      </c>
      <c r="AJ240" s="42">
        <f t="shared" si="182"/>
        <v>8.0749999999999993</v>
      </c>
      <c r="AK240" s="42">
        <f t="shared" si="183"/>
        <v>8.23</v>
      </c>
      <c r="AL240" s="42">
        <f t="shared" si="184"/>
        <v>8.2650000000000006</v>
      </c>
      <c r="AM240">
        <v>8.2100000000000009</v>
      </c>
      <c r="BA240" s="7">
        <f t="shared" si="185"/>
        <v>8.2933333333333348</v>
      </c>
      <c r="BB240" s="7">
        <f t="shared" si="186"/>
        <v>8.17</v>
      </c>
      <c r="BC240">
        <v>8.2100000000000009</v>
      </c>
    </row>
    <row r="241" spans="1:55" ht="15.5" x14ac:dyDescent="0.35">
      <c r="A241" s="13">
        <v>42461</v>
      </c>
      <c r="B241" s="10">
        <v>8.34</v>
      </c>
      <c r="C241" s="10">
        <v>8.09</v>
      </c>
      <c r="D241" s="10">
        <v>8.3000000000000007</v>
      </c>
      <c r="E241" s="10">
        <v>7.99</v>
      </c>
      <c r="F241" s="10">
        <v>8.35</v>
      </c>
      <c r="G241" s="10">
        <v>8.1999999999999993</v>
      </c>
      <c r="H241" s="9"/>
      <c r="I241" s="10">
        <v>8.33</v>
      </c>
      <c r="J241" s="10">
        <v>8.08</v>
      </c>
      <c r="K241" s="10">
        <v>8.31</v>
      </c>
      <c r="L241" s="10">
        <v>8</v>
      </c>
      <c r="M241" s="10">
        <v>8.2899999999999991</v>
      </c>
      <c r="N241" s="10">
        <v>8.01</v>
      </c>
      <c r="P241" s="10">
        <v>8.32</v>
      </c>
      <c r="Q241" s="10">
        <v>8.06</v>
      </c>
      <c r="R241" s="10">
        <v>8.27</v>
      </c>
      <c r="S241" s="10">
        <v>8.16</v>
      </c>
      <c r="T241" s="10">
        <v>8.23</v>
      </c>
      <c r="U241" s="10">
        <v>8.0399999999999991</v>
      </c>
      <c r="W241" s="10">
        <v>8.36</v>
      </c>
      <c r="X241" s="10">
        <v>8.26</v>
      </c>
      <c r="Y241" s="10"/>
      <c r="Z241" s="5">
        <v>8.23</v>
      </c>
      <c r="AE241" s="1"/>
      <c r="AF241" s="13">
        <v>42461</v>
      </c>
      <c r="AG241" s="50">
        <f t="shared" si="179"/>
        <v>8.33</v>
      </c>
      <c r="AH241" s="50">
        <f t="shared" si="180"/>
        <v>8.0933333333333319</v>
      </c>
      <c r="AI241" s="50">
        <f t="shared" si="181"/>
        <v>8.31</v>
      </c>
      <c r="AJ241" s="42">
        <f t="shared" si="182"/>
        <v>8.0299999999999994</v>
      </c>
      <c r="AK241" s="42">
        <f t="shared" si="183"/>
        <v>8.2733333333333334</v>
      </c>
      <c r="AL241" s="42">
        <f t="shared" si="184"/>
        <v>8.086666666666666</v>
      </c>
      <c r="AM241">
        <v>8.36</v>
      </c>
      <c r="BA241" s="7">
        <f t="shared" si="185"/>
        <v>8.3044444444444458</v>
      </c>
      <c r="BB241" s="7">
        <f t="shared" si="186"/>
        <v>8.07</v>
      </c>
      <c r="BC241">
        <v>8.36</v>
      </c>
    </row>
    <row r="242" spans="1:55" ht="15.5" x14ac:dyDescent="0.35">
      <c r="A242" s="13">
        <v>42468</v>
      </c>
      <c r="B242" s="10">
        <v>8.4</v>
      </c>
      <c r="C242" s="10">
        <v>8.1199999999999992</v>
      </c>
      <c r="D242" s="10">
        <v>8.4</v>
      </c>
      <c r="E242" s="10">
        <v>8.14</v>
      </c>
      <c r="F242" s="10">
        <v>8.42</v>
      </c>
      <c r="G242" s="10">
        <v>7.9</v>
      </c>
      <c r="H242" s="9"/>
      <c r="I242" s="10">
        <v>8.4</v>
      </c>
      <c r="J242" s="10">
        <v>7.95</v>
      </c>
      <c r="K242" s="10">
        <v>8.4499999999999993</v>
      </c>
      <c r="L242" s="10">
        <v>7.92</v>
      </c>
      <c r="M242" s="10">
        <v>8.4</v>
      </c>
      <c r="N242" s="10">
        <v>8.08</v>
      </c>
      <c r="P242" s="10">
        <v>8.44</v>
      </c>
      <c r="Q242" s="10">
        <v>8.14</v>
      </c>
      <c r="R242" s="10">
        <v>8.4600000000000009</v>
      </c>
      <c r="S242" s="10">
        <v>8.09</v>
      </c>
      <c r="T242" s="10">
        <v>8.52</v>
      </c>
      <c r="U242" s="10">
        <v>8.16</v>
      </c>
      <c r="W242" s="10">
        <v>8.3699999999999992</v>
      </c>
      <c r="X242" s="10">
        <v>8.4700000000000006</v>
      </c>
      <c r="Y242" s="10"/>
      <c r="Z242" s="5">
        <v>8.3800000000000008</v>
      </c>
      <c r="AE242" s="1"/>
      <c r="AF242" s="13">
        <v>42468</v>
      </c>
      <c r="AG242" s="50">
        <f t="shared" si="179"/>
        <v>8.4066666666666663</v>
      </c>
      <c r="AH242" s="50">
        <f t="shared" si="180"/>
        <v>8.0533333333333328</v>
      </c>
      <c r="AI242" s="50">
        <f t="shared" si="181"/>
        <v>8.4166666666666661</v>
      </c>
      <c r="AJ242" s="42">
        <f t="shared" si="182"/>
        <v>7.9833333333333343</v>
      </c>
      <c r="AK242" s="42">
        <f t="shared" si="183"/>
        <v>8.4733333333333327</v>
      </c>
      <c r="AL242" s="42">
        <f t="shared" si="184"/>
        <v>8.1300000000000008</v>
      </c>
      <c r="AM242">
        <v>8.3699999999999992</v>
      </c>
      <c r="BA242" s="7">
        <f t="shared" si="185"/>
        <v>8.4322222222222205</v>
      </c>
      <c r="BB242" s="7">
        <f t="shared" si="186"/>
        <v>8.0555555555555554</v>
      </c>
      <c r="BC242">
        <v>8.3699999999999992</v>
      </c>
    </row>
    <row r="243" spans="1:55" ht="15.5" x14ac:dyDescent="0.35">
      <c r="A243" s="13">
        <v>42475</v>
      </c>
      <c r="B243" s="10">
        <v>8.44</v>
      </c>
      <c r="C243" s="10">
        <v>8.15</v>
      </c>
      <c r="D243" s="10">
        <v>8.48</v>
      </c>
      <c r="E243" s="10">
        <v>7.9</v>
      </c>
      <c r="F243" s="10">
        <v>8.49</v>
      </c>
      <c r="G243" s="10">
        <v>8.1300000000000008</v>
      </c>
      <c r="H243" s="9"/>
      <c r="I243" s="10">
        <v>8.4700000000000006</v>
      </c>
      <c r="J243" s="10">
        <v>7.99</v>
      </c>
      <c r="K243" s="10">
        <v>8.39</v>
      </c>
      <c r="L243" s="10">
        <v>7.9</v>
      </c>
      <c r="M243" s="10">
        <v>8.4</v>
      </c>
      <c r="N243" s="10">
        <v>8.3800000000000008</v>
      </c>
      <c r="P243" s="10">
        <v>8.4</v>
      </c>
      <c r="Q243" s="10">
        <v>8.1</v>
      </c>
      <c r="R243" s="10">
        <v>8.4</v>
      </c>
      <c r="S243" s="10">
        <v>7.88</v>
      </c>
      <c r="T243" s="10">
        <v>8.15</v>
      </c>
      <c r="U243" s="10">
        <v>8.18</v>
      </c>
      <c r="W243" s="10">
        <v>8.43</v>
      </c>
      <c r="X243" s="10">
        <v>8.4600000000000009</v>
      </c>
      <c r="Y243" s="10"/>
      <c r="Z243" s="5">
        <v>8.39</v>
      </c>
      <c r="AE243" s="1"/>
      <c r="AF243" s="13">
        <v>42475</v>
      </c>
      <c r="AG243" s="50">
        <f t="shared" si="179"/>
        <v>8.4700000000000006</v>
      </c>
      <c r="AH243" s="50">
        <f t="shared" si="180"/>
        <v>8.06</v>
      </c>
      <c r="AI243" s="50">
        <f t="shared" si="181"/>
        <v>8.42</v>
      </c>
      <c r="AJ243" s="42">
        <f t="shared" si="182"/>
        <v>8.0900000000000016</v>
      </c>
      <c r="AK243" s="42">
        <f t="shared" si="183"/>
        <v>8.3166666666666682</v>
      </c>
      <c r="AL243" s="42">
        <f t="shared" si="184"/>
        <v>8.0533333333333328</v>
      </c>
      <c r="AM243">
        <v>8.43</v>
      </c>
      <c r="BA243" s="7">
        <f t="shared" si="185"/>
        <v>8.4022222222222229</v>
      </c>
      <c r="BB243" s="7">
        <f t="shared" si="186"/>
        <v>8.0677777777777795</v>
      </c>
      <c r="BC243">
        <v>8.43</v>
      </c>
    </row>
    <row r="244" spans="1:55" ht="15.5" x14ac:dyDescent="0.35">
      <c r="A244" s="13">
        <v>42482</v>
      </c>
      <c r="B244" s="10">
        <v>8.42</v>
      </c>
      <c r="C244" s="10">
        <v>8.11</v>
      </c>
      <c r="D244" s="10">
        <v>8.5299999999999994</v>
      </c>
      <c r="E244" s="10">
        <v>8.1300000000000008</v>
      </c>
      <c r="F244">
        <v>8.5399999999999991</v>
      </c>
      <c r="G244">
        <v>8.1999999999999993</v>
      </c>
      <c r="H244" s="9"/>
      <c r="I244" s="10">
        <v>8.64</v>
      </c>
      <c r="J244" s="10">
        <v>8.18</v>
      </c>
      <c r="K244" s="10">
        <v>8.69</v>
      </c>
      <c r="L244" s="10">
        <v>8.18</v>
      </c>
      <c r="M244" s="10">
        <v>8.6999999999999993</v>
      </c>
      <c r="N244" s="10">
        <v>8.25</v>
      </c>
      <c r="O244" s="10"/>
      <c r="P244" s="10">
        <v>8.8699999999999992</v>
      </c>
      <c r="Q244" s="10">
        <v>8.2100000000000009</v>
      </c>
      <c r="R244" s="10">
        <v>8.76</v>
      </c>
      <c r="S244" s="10">
        <v>8.08</v>
      </c>
      <c r="T244" s="10">
        <v>8.8000000000000007</v>
      </c>
      <c r="U244" s="10">
        <v>8.3800000000000008</v>
      </c>
      <c r="V244" s="10"/>
      <c r="W244" s="10">
        <v>8.77</v>
      </c>
      <c r="X244" s="10">
        <v>8.73</v>
      </c>
      <c r="Y244" s="10"/>
      <c r="Z244" s="10"/>
      <c r="AE244" s="1"/>
      <c r="AF244" s="13">
        <v>42482</v>
      </c>
      <c r="AG244" s="50">
        <f t="shared" si="179"/>
        <v>8.4966666666666661</v>
      </c>
      <c r="AH244" s="50">
        <f t="shared" si="180"/>
        <v>8.1466666666666665</v>
      </c>
      <c r="AI244" s="50">
        <f t="shared" si="181"/>
        <v>8.6766666666666659</v>
      </c>
      <c r="AJ244" s="42">
        <f t="shared" si="182"/>
        <v>8.2033333333333331</v>
      </c>
      <c r="AK244" s="42">
        <f t="shared" si="183"/>
        <v>8.81</v>
      </c>
      <c r="AL244" s="42">
        <f t="shared" si="184"/>
        <v>8.2233333333333345</v>
      </c>
      <c r="AM244">
        <v>8.77</v>
      </c>
      <c r="BA244" s="7">
        <f t="shared" si="185"/>
        <v>8.6611111111111097</v>
      </c>
      <c r="BB244" s="7">
        <f t="shared" si="186"/>
        <v>8.1911111111111108</v>
      </c>
      <c r="BC244">
        <v>8.77</v>
      </c>
    </row>
    <row r="245" spans="1:55" ht="15.5" x14ac:dyDescent="0.35">
      <c r="A245" s="13">
        <v>42489</v>
      </c>
      <c r="B245">
        <v>8.36</v>
      </c>
      <c r="C245">
        <v>8.15</v>
      </c>
      <c r="D245">
        <v>8.6300000000000008</v>
      </c>
      <c r="E245">
        <v>8.0399999999999991</v>
      </c>
      <c r="F245">
        <v>8.6999999999999993</v>
      </c>
      <c r="G245">
        <v>8.1999999999999993</v>
      </c>
      <c r="H245" s="9"/>
      <c r="I245">
        <v>8.77</v>
      </c>
      <c r="J245">
        <v>8.27</v>
      </c>
      <c r="K245">
        <v>8.76</v>
      </c>
      <c r="L245">
        <v>8.16</v>
      </c>
      <c r="M245">
        <v>8.7799999999999994</v>
      </c>
      <c r="N245">
        <v>8.1999999999999993</v>
      </c>
      <c r="O245" s="10"/>
      <c r="P245">
        <v>8.6999999999999993</v>
      </c>
      <c r="Q245">
        <v>8.19</v>
      </c>
      <c r="R245">
        <v>8.6999999999999993</v>
      </c>
      <c r="S245">
        <v>8.17</v>
      </c>
      <c r="T245">
        <v>8.86</v>
      </c>
      <c r="U245">
        <v>8.51</v>
      </c>
      <c r="V245" s="10"/>
      <c r="X245" s="10"/>
      <c r="Y245" s="10"/>
      <c r="Z245" s="5">
        <v>8.5</v>
      </c>
      <c r="AE245" s="1"/>
      <c r="AF245" s="13">
        <v>42489</v>
      </c>
      <c r="AG245" s="50">
        <f t="shared" si="179"/>
        <v>8.5633333333333344</v>
      </c>
      <c r="AH245" s="50">
        <f t="shared" si="180"/>
        <v>8.129999999999999</v>
      </c>
      <c r="AI245" s="50">
        <f t="shared" si="181"/>
        <v>8.7700000000000014</v>
      </c>
      <c r="AJ245" s="42">
        <f t="shared" si="182"/>
        <v>8.2099999999999991</v>
      </c>
      <c r="AK245" s="42">
        <f t="shared" si="183"/>
        <v>8.7533333333333321</v>
      </c>
      <c r="AL245" s="42">
        <f t="shared" si="184"/>
        <v>8.2899999999999991</v>
      </c>
      <c r="AM245">
        <v>8.5</v>
      </c>
      <c r="BA245" s="7">
        <f t="shared" si="185"/>
        <v>8.6955555555555559</v>
      </c>
      <c r="BB245" s="7">
        <f t="shared" si="186"/>
        <v>8.2100000000000009</v>
      </c>
      <c r="BC245">
        <v>8.5</v>
      </c>
    </row>
    <row r="246" spans="1:55" ht="15.5" x14ac:dyDescent="0.35">
      <c r="A246" s="13">
        <v>42494</v>
      </c>
      <c r="B246">
        <v>8.7200000000000006</v>
      </c>
      <c r="C246">
        <v>8.25</v>
      </c>
      <c r="D246">
        <v>8.75</v>
      </c>
      <c r="E246">
        <v>8.19</v>
      </c>
      <c r="F246">
        <v>8.76</v>
      </c>
      <c r="G246">
        <v>8.26</v>
      </c>
      <c r="H246" s="9"/>
      <c r="I246">
        <v>8.58</v>
      </c>
      <c r="J246">
        <v>8.1199999999999992</v>
      </c>
      <c r="K246">
        <v>8.64</v>
      </c>
      <c r="L246">
        <v>8.09</v>
      </c>
      <c r="M246">
        <v>8.66</v>
      </c>
      <c r="N246">
        <v>8.11</v>
      </c>
      <c r="O246" s="10"/>
      <c r="P246">
        <v>8.27</v>
      </c>
      <c r="Q246">
        <v>8.16</v>
      </c>
      <c r="R246">
        <v>8.36</v>
      </c>
      <c r="S246">
        <v>7.99</v>
      </c>
      <c r="T246">
        <v>8.43</v>
      </c>
      <c r="U246">
        <v>8.01</v>
      </c>
      <c r="V246" s="5"/>
      <c r="W246" s="10">
        <v>8.36</v>
      </c>
      <c r="X246" s="10">
        <v>8.5399999999999991</v>
      </c>
      <c r="Y246" s="10"/>
      <c r="Z246" s="5"/>
      <c r="AE246" s="1"/>
      <c r="AF246" s="13">
        <v>42494</v>
      </c>
      <c r="AG246" s="50">
        <f t="shared" si="179"/>
        <v>8.7433333333333323</v>
      </c>
      <c r="AH246" s="50">
        <f t="shared" si="180"/>
        <v>8.2333333333333325</v>
      </c>
      <c r="AI246" s="50">
        <f t="shared" si="181"/>
        <v>8.6266666666666669</v>
      </c>
      <c r="AJ246" s="42">
        <f t="shared" si="182"/>
        <v>8.1066666666666674</v>
      </c>
      <c r="AK246" s="42">
        <f t="shared" si="183"/>
        <v>8.3533333333333335</v>
      </c>
      <c r="AL246" s="42">
        <f t="shared" si="184"/>
        <v>8.0533333333333328</v>
      </c>
      <c r="AM246">
        <v>8.36</v>
      </c>
      <c r="BA246" s="7">
        <f t="shared" si="185"/>
        <v>8.5744444444444436</v>
      </c>
      <c r="BB246" s="7">
        <f t="shared" si="186"/>
        <v>8.1311111111111103</v>
      </c>
      <c r="BC246">
        <v>8.36</v>
      </c>
    </row>
    <row r="247" spans="1:55" ht="15.5" x14ac:dyDescent="0.35">
      <c r="A247" s="13">
        <v>42503</v>
      </c>
      <c r="B247">
        <v>7.68</v>
      </c>
      <c r="C247">
        <v>7.62</v>
      </c>
      <c r="D247">
        <v>7.68</v>
      </c>
      <c r="E247">
        <v>7.6</v>
      </c>
      <c r="F247">
        <v>7.72</v>
      </c>
      <c r="G247">
        <v>7.65</v>
      </c>
      <c r="H247" s="9"/>
      <c r="I247">
        <v>8.16</v>
      </c>
      <c r="J247">
        <v>7.97</v>
      </c>
      <c r="K247">
        <v>7.93</v>
      </c>
      <c r="L247">
        <v>7.85</v>
      </c>
      <c r="M247">
        <v>8.09</v>
      </c>
      <c r="N247">
        <v>7.95</v>
      </c>
      <c r="O247" s="10"/>
      <c r="P247">
        <v>8.33</v>
      </c>
      <c r="Q247">
        <v>8.0500000000000007</v>
      </c>
      <c r="R247">
        <v>8.27</v>
      </c>
      <c r="S247">
        <v>8.0399999999999991</v>
      </c>
      <c r="T247">
        <v>8.25</v>
      </c>
      <c r="U247">
        <v>8.02</v>
      </c>
      <c r="V247" s="10"/>
      <c r="W247" s="10">
        <v>8.24</v>
      </c>
      <c r="X247" s="10">
        <v>8.7899999999999991</v>
      </c>
      <c r="Y247" s="10"/>
      <c r="Z247" s="5"/>
      <c r="AE247" s="1"/>
      <c r="AF247" s="13">
        <v>42503</v>
      </c>
      <c r="AG247" s="50">
        <f>AVERAGE(B247,D247,F247)</f>
        <v>7.6933333333333325</v>
      </c>
      <c r="AH247" s="50">
        <f t="shared" si="180"/>
        <v>7.6233333333333322</v>
      </c>
      <c r="AI247" s="50">
        <f t="shared" si="181"/>
        <v>8.06</v>
      </c>
      <c r="AJ247" s="42">
        <f t="shared" si="182"/>
        <v>7.9233333333333329</v>
      </c>
      <c r="AK247" s="42">
        <f t="shared" si="183"/>
        <v>8.2833333333333332</v>
      </c>
      <c r="AL247" s="42">
        <f t="shared" si="184"/>
        <v>8.0366666666666671</v>
      </c>
      <c r="AM247">
        <v>8.24</v>
      </c>
      <c r="BA247" s="7">
        <f t="shared" si="185"/>
        <v>8.0122222222222224</v>
      </c>
      <c r="BB247" s="7">
        <f t="shared" si="186"/>
        <v>7.8611111111111107</v>
      </c>
      <c r="BC247">
        <v>8.24</v>
      </c>
    </row>
    <row r="248" spans="1:55" ht="15.5" x14ac:dyDescent="0.35">
      <c r="A248" s="13"/>
      <c r="H248" s="9"/>
      <c r="O248" s="10"/>
      <c r="V248" s="10"/>
      <c r="W248" s="10"/>
      <c r="X248" s="10"/>
      <c r="Y248" s="10"/>
      <c r="Z248" s="5"/>
      <c r="AE248" s="1"/>
      <c r="AF248" s="13"/>
      <c r="AG248" s="50"/>
      <c r="AH248" s="50"/>
      <c r="AI248" s="50"/>
      <c r="AJ248" s="42"/>
      <c r="AK248" s="42"/>
      <c r="AL248" s="42"/>
      <c r="BA248" s="7"/>
      <c r="BB248" s="7"/>
    </row>
    <row r="249" spans="1:55" ht="14.25" customHeight="1" x14ac:dyDescent="0.35">
      <c r="A249" s="13"/>
      <c r="H249" s="9"/>
      <c r="O249" s="10"/>
      <c r="V249" s="10"/>
      <c r="W249" s="10"/>
      <c r="X249" s="10"/>
      <c r="Y249" s="10"/>
      <c r="Z249" s="5"/>
      <c r="AE249" s="1"/>
      <c r="AF249" s="13"/>
      <c r="AG249" s="50"/>
      <c r="AH249" s="50"/>
      <c r="AI249" s="50"/>
      <c r="AJ249" s="42"/>
      <c r="AK249" s="42"/>
      <c r="AL249" s="42"/>
      <c r="BA249" s="7"/>
      <c r="BB249" s="7"/>
    </row>
    <row r="250" spans="1:55" ht="14.25" customHeight="1" x14ac:dyDescent="0.35">
      <c r="A250" s="2">
        <v>42797</v>
      </c>
      <c r="B250">
        <v>8.09</v>
      </c>
      <c r="C250">
        <v>8.09</v>
      </c>
      <c r="F250">
        <v>8.09</v>
      </c>
      <c r="G250">
        <v>8.09</v>
      </c>
      <c r="I250">
        <v>8.08</v>
      </c>
      <c r="J250">
        <v>8.09</v>
      </c>
      <c r="M250">
        <v>8.09</v>
      </c>
      <c r="N250">
        <v>8.09</v>
      </c>
      <c r="P250">
        <v>8.09</v>
      </c>
      <c r="Q250">
        <v>8.09</v>
      </c>
      <c r="T250">
        <v>8.0500000000000007</v>
      </c>
      <c r="U250">
        <v>8.08</v>
      </c>
      <c r="V250" s="10"/>
      <c r="W250" s="10">
        <v>8.0500000000000007</v>
      </c>
      <c r="X250" s="10"/>
      <c r="Y250" s="10"/>
      <c r="Z250" s="5"/>
      <c r="AE250" s="1"/>
      <c r="AF250" s="2">
        <v>42797</v>
      </c>
      <c r="AG250" s="50">
        <f t="shared" ref="AG250:AG260" si="187">AVERAGE(B250,D250,F250)</f>
        <v>8.09</v>
      </c>
      <c r="AH250" s="50">
        <f t="shared" ref="AH250:AH260" si="188">AVERAGE(C250,E250,G250)</f>
        <v>8.09</v>
      </c>
      <c r="AI250" s="50">
        <f t="shared" ref="AI250:AI260" si="189">AVERAGE(I250,K250,M250)</f>
        <v>8.0850000000000009</v>
      </c>
      <c r="AJ250" s="42">
        <f t="shared" ref="AJ250:AJ260" si="190">AVERAGE(J250,L250,N250)</f>
        <v>8.09</v>
      </c>
      <c r="AK250" s="42">
        <f t="shared" ref="AK250:AK260" si="191">AVERAGE(P250,R250,T250)</f>
        <v>8.07</v>
      </c>
      <c r="AL250" s="42">
        <f t="shared" ref="AL250:AL260" si="192">AVERAGE(Q250,S250,U250)</f>
        <v>8.0850000000000009</v>
      </c>
      <c r="AM250">
        <v>8.0500000000000007</v>
      </c>
      <c r="BA250" s="7">
        <f t="shared" ref="BA250:BA260" si="193">AVERAGE(P250,R250,T250,I250,K250,M250,B250,D250,F250)</f>
        <v>8.0816666666666688</v>
      </c>
      <c r="BB250" s="7">
        <f t="shared" ref="BB250:BB260" si="194">AVERAGE(Q250,S250,U250,J250,L250,N250,C250,E250,G250)</f>
        <v>8.0883333333333329</v>
      </c>
      <c r="BC250">
        <v>8.0500000000000007</v>
      </c>
    </row>
    <row r="251" spans="1:55" ht="14.25" customHeight="1" x14ac:dyDescent="0.35">
      <c r="A251" s="2">
        <v>42804</v>
      </c>
      <c r="B251">
        <v>7.8</v>
      </c>
      <c r="C251">
        <v>7.8</v>
      </c>
      <c r="D251">
        <v>7.87</v>
      </c>
      <c r="E251">
        <v>7.8</v>
      </c>
      <c r="F251">
        <v>7.88</v>
      </c>
      <c r="G251">
        <v>7.87</v>
      </c>
      <c r="I251">
        <v>7.86</v>
      </c>
      <c r="J251">
        <v>7.86</v>
      </c>
      <c r="K251">
        <v>7.86</v>
      </c>
      <c r="L251">
        <v>7.86</v>
      </c>
      <c r="M251">
        <v>7.87</v>
      </c>
      <c r="N251">
        <v>7.87</v>
      </c>
      <c r="P251" s="10">
        <v>7.86</v>
      </c>
      <c r="Q251" s="10">
        <v>7.84</v>
      </c>
      <c r="R251" s="10">
        <v>7.84</v>
      </c>
      <c r="S251" s="10">
        <v>7.84</v>
      </c>
      <c r="T251">
        <v>7.83</v>
      </c>
      <c r="U251">
        <v>7.84</v>
      </c>
      <c r="V251" s="10"/>
      <c r="W251" s="10">
        <v>7.78</v>
      </c>
      <c r="X251" s="10"/>
      <c r="Y251" s="10"/>
      <c r="Z251" s="5"/>
      <c r="AE251" s="1"/>
      <c r="AF251" s="2">
        <v>42804</v>
      </c>
      <c r="AG251" s="50">
        <f t="shared" si="187"/>
        <v>7.8500000000000005</v>
      </c>
      <c r="AH251" s="50">
        <f t="shared" si="188"/>
        <v>7.8233333333333333</v>
      </c>
      <c r="AI251" s="50">
        <f t="shared" si="189"/>
        <v>7.8633333333333333</v>
      </c>
      <c r="AJ251" s="42">
        <f t="shared" si="190"/>
        <v>7.8633333333333333</v>
      </c>
      <c r="AK251" s="42">
        <f t="shared" si="191"/>
        <v>7.8433333333333337</v>
      </c>
      <c r="AL251" s="42">
        <f t="shared" si="192"/>
        <v>7.84</v>
      </c>
      <c r="AM251">
        <v>7.78</v>
      </c>
      <c r="BA251" s="7">
        <f t="shared" si="193"/>
        <v>7.8522222222222204</v>
      </c>
      <c r="BB251" s="7">
        <f t="shared" si="194"/>
        <v>7.8422222222222224</v>
      </c>
      <c r="BC251">
        <v>7.78</v>
      </c>
    </row>
    <row r="252" spans="1:55" ht="14.25" customHeight="1" x14ac:dyDescent="0.35">
      <c r="A252" s="2">
        <v>42811</v>
      </c>
      <c r="B252">
        <v>7.92</v>
      </c>
      <c r="C252">
        <v>7.91</v>
      </c>
      <c r="D252">
        <v>7.92</v>
      </c>
      <c r="E252">
        <v>7.91</v>
      </c>
      <c r="F252">
        <v>7.92</v>
      </c>
      <c r="G252">
        <v>7.92</v>
      </c>
      <c r="I252">
        <v>7.92</v>
      </c>
      <c r="J252">
        <v>7.91</v>
      </c>
      <c r="K252">
        <v>7.93</v>
      </c>
      <c r="L252">
        <v>7.91</v>
      </c>
      <c r="M252">
        <v>7.94</v>
      </c>
      <c r="N252">
        <v>7.92</v>
      </c>
      <c r="P252" s="10">
        <v>7.91</v>
      </c>
      <c r="Q252" s="10">
        <v>7.9</v>
      </c>
      <c r="R252">
        <v>7.9</v>
      </c>
      <c r="S252">
        <v>7.91</v>
      </c>
      <c r="T252">
        <v>7.93</v>
      </c>
      <c r="U252">
        <v>7.92</v>
      </c>
      <c r="V252" s="10"/>
      <c r="W252" s="10">
        <v>7.92</v>
      </c>
      <c r="X252" s="10"/>
      <c r="Y252" s="10"/>
      <c r="Z252" s="5"/>
      <c r="AE252" s="1"/>
      <c r="AF252" s="2">
        <v>42811</v>
      </c>
      <c r="AG252" s="50">
        <f t="shared" si="187"/>
        <v>7.919999999999999</v>
      </c>
      <c r="AH252" s="50">
        <f t="shared" si="188"/>
        <v>7.913333333333334</v>
      </c>
      <c r="AI252" s="50">
        <f t="shared" si="189"/>
        <v>7.93</v>
      </c>
      <c r="AJ252" s="42">
        <f t="shared" si="190"/>
        <v>7.913333333333334</v>
      </c>
      <c r="AK252" s="42">
        <f t="shared" si="191"/>
        <v>7.913333333333334</v>
      </c>
      <c r="AL252" s="42">
        <f t="shared" si="192"/>
        <v>7.91</v>
      </c>
      <c r="AM252">
        <v>7.92</v>
      </c>
      <c r="BA252" s="7">
        <f t="shared" si="193"/>
        <v>7.9211111111111121</v>
      </c>
      <c r="BB252" s="7">
        <f t="shared" si="194"/>
        <v>7.9122222222222218</v>
      </c>
      <c r="BC252">
        <v>7.92</v>
      </c>
    </row>
    <row r="253" spans="1:55" ht="14.25" customHeight="1" x14ac:dyDescent="0.35">
      <c r="A253" s="2">
        <v>42818</v>
      </c>
      <c r="B253">
        <v>8.1999999999999993</v>
      </c>
      <c r="C253">
        <v>8.07</v>
      </c>
      <c r="D253">
        <v>8.1</v>
      </c>
      <c r="E253">
        <v>8.02</v>
      </c>
      <c r="F253">
        <v>8.15</v>
      </c>
      <c r="G253">
        <v>8.0500000000000007</v>
      </c>
      <c r="I253" s="10">
        <v>8.2200000000000006</v>
      </c>
      <c r="J253" s="10">
        <v>8</v>
      </c>
      <c r="K253" s="10">
        <v>8.34</v>
      </c>
      <c r="L253" s="10">
        <v>8.01</v>
      </c>
      <c r="M253">
        <v>8.14</v>
      </c>
      <c r="N253">
        <v>8.0399999999999991</v>
      </c>
      <c r="P253" s="10">
        <v>8.4</v>
      </c>
      <c r="Q253" s="10">
        <v>8</v>
      </c>
      <c r="R253" s="10">
        <v>8.42</v>
      </c>
      <c r="S253" s="10">
        <v>8.09</v>
      </c>
      <c r="T253" s="10">
        <v>8.42</v>
      </c>
      <c r="U253" s="10">
        <v>8.4</v>
      </c>
      <c r="V253" s="10"/>
      <c r="W253" s="10">
        <v>8.27</v>
      </c>
      <c r="X253" s="10"/>
      <c r="Y253" s="10"/>
      <c r="Z253" s="5"/>
      <c r="AE253" s="1"/>
      <c r="AF253" s="2">
        <v>42818</v>
      </c>
      <c r="AG253" s="50">
        <f t="shared" si="187"/>
        <v>8.1499999999999986</v>
      </c>
      <c r="AH253" s="50">
        <f t="shared" si="188"/>
        <v>8.0466666666666669</v>
      </c>
      <c r="AI253" s="50">
        <f t="shared" si="189"/>
        <v>8.2333333333333343</v>
      </c>
      <c r="AJ253" s="42">
        <f t="shared" si="190"/>
        <v>8.0166666666666657</v>
      </c>
      <c r="AK253" s="42">
        <f t="shared" si="191"/>
        <v>8.413333333333334</v>
      </c>
      <c r="AL253" s="42">
        <f t="shared" si="192"/>
        <v>8.163333333333334</v>
      </c>
      <c r="AM253">
        <v>8.27</v>
      </c>
      <c r="BA253" s="7">
        <f t="shared" si="193"/>
        <v>8.2655555555555562</v>
      </c>
      <c r="BB253" s="7">
        <f t="shared" si="194"/>
        <v>8.0755555555555549</v>
      </c>
      <c r="BC253">
        <v>8.27</v>
      </c>
    </row>
    <row r="254" spans="1:55" ht="14.25" customHeight="1" x14ac:dyDescent="0.35">
      <c r="A254" s="2">
        <v>42825</v>
      </c>
      <c r="B254">
        <v>8.32</v>
      </c>
      <c r="C254">
        <v>8.16</v>
      </c>
      <c r="D254">
        <v>8.33</v>
      </c>
      <c r="E254">
        <v>8.18</v>
      </c>
      <c r="F254">
        <v>8.32</v>
      </c>
      <c r="G254">
        <v>8.17</v>
      </c>
      <c r="I254">
        <v>8.18</v>
      </c>
      <c r="J254">
        <v>8.23</v>
      </c>
      <c r="K254">
        <v>8.27</v>
      </c>
      <c r="L254">
        <v>8.19</v>
      </c>
      <c r="M254">
        <v>8.27</v>
      </c>
      <c r="N254">
        <v>8.15</v>
      </c>
      <c r="P254" s="10">
        <v>8.18</v>
      </c>
      <c r="Q254" s="10">
        <v>8.25</v>
      </c>
      <c r="R254" s="10">
        <v>8.3000000000000007</v>
      </c>
      <c r="S254" s="10">
        <v>8.31</v>
      </c>
      <c r="T254">
        <v>8.23</v>
      </c>
      <c r="U254">
        <v>8.2200000000000006</v>
      </c>
      <c r="V254" s="10"/>
      <c r="W254" s="10">
        <v>8.48</v>
      </c>
      <c r="X254" s="10"/>
      <c r="Y254" s="10"/>
      <c r="Z254" s="5"/>
      <c r="AE254" s="1"/>
      <c r="AF254" s="2">
        <v>42825</v>
      </c>
      <c r="AG254" s="50">
        <f t="shared" si="187"/>
        <v>8.3233333333333324</v>
      </c>
      <c r="AH254" s="50">
        <f t="shared" si="188"/>
        <v>8.17</v>
      </c>
      <c r="AI254" s="50">
        <f t="shared" si="189"/>
        <v>8.24</v>
      </c>
      <c r="AJ254" s="42">
        <f t="shared" si="190"/>
        <v>8.19</v>
      </c>
      <c r="AK254" s="42">
        <f t="shared" si="191"/>
        <v>8.2366666666666664</v>
      </c>
      <c r="AL254" s="42">
        <f t="shared" si="192"/>
        <v>8.26</v>
      </c>
      <c r="AM254">
        <v>8.48</v>
      </c>
      <c r="BA254" s="7">
        <f t="shared" si="193"/>
        <v>8.2666666666666675</v>
      </c>
      <c r="BB254" s="7">
        <f t="shared" si="194"/>
        <v>8.206666666666667</v>
      </c>
      <c r="BC254">
        <v>8.48</v>
      </c>
    </row>
    <row r="255" spans="1:55" ht="14.25" customHeight="1" x14ac:dyDescent="0.35">
      <c r="A255" s="2">
        <v>42832</v>
      </c>
      <c r="B255">
        <v>8.59</v>
      </c>
      <c r="C255">
        <v>8.6300000000000008</v>
      </c>
      <c r="D255">
        <v>8.6</v>
      </c>
      <c r="E255">
        <v>8.5299999999999994</v>
      </c>
      <c r="F255">
        <v>8.59</v>
      </c>
      <c r="G255">
        <v>8.64</v>
      </c>
      <c r="I255">
        <v>8.57</v>
      </c>
      <c r="J255">
        <v>8.6</v>
      </c>
      <c r="K255">
        <v>8.58</v>
      </c>
      <c r="L255">
        <v>8.5399999999999991</v>
      </c>
      <c r="M255">
        <v>8.6</v>
      </c>
      <c r="N255">
        <v>8.57</v>
      </c>
      <c r="P255">
        <v>8.5399999999999991</v>
      </c>
      <c r="Q255">
        <v>8.66</v>
      </c>
      <c r="R255">
        <v>8.5299999999999994</v>
      </c>
      <c r="S255">
        <v>8.59</v>
      </c>
      <c r="T255">
        <v>8.5399999999999991</v>
      </c>
      <c r="U255">
        <v>8.6199999999999992</v>
      </c>
      <c r="V255" s="10"/>
      <c r="W255" s="10">
        <v>8.8000000000000007</v>
      </c>
      <c r="X255" s="10"/>
      <c r="Y255" s="10"/>
      <c r="Z255" s="5"/>
      <c r="AE255" s="1"/>
      <c r="AF255" s="2">
        <v>42832</v>
      </c>
      <c r="AG255" s="50">
        <f t="shared" si="187"/>
        <v>8.5933333333333319</v>
      </c>
      <c r="AH255" s="50">
        <f t="shared" si="188"/>
        <v>8.6</v>
      </c>
      <c r="AI255" s="50">
        <f t="shared" si="189"/>
        <v>8.5833333333333339</v>
      </c>
      <c r="AJ255" s="42">
        <f t="shared" si="190"/>
        <v>8.57</v>
      </c>
      <c r="AK255" s="42">
        <f t="shared" si="191"/>
        <v>8.5366666666666671</v>
      </c>
      <c r="AL255" s="42">
        <f t="shared" si="192"/>
        <v>8.6233333333333331</v>
      </c>
      <c r="AM255">
        <v>8.8000000000000007</v>
      </c>
      <c r="BA255" s="7">
        <f t="shared" si="193"/>
        <v>8.5711111111111116</v>
      </c>
      <c r="BB255" s="7">
        <f t="shared" si="194"/>
        <v>8.5977777777777771</v>
      </c>
      <c r="BC255">
        <v>8.8000000000000007</v>
      </c>
    </row>
    <row r="256" spans="1:55" ht="14.25" customHeight="1" x14ac:dyDescent="0.35">
      <c r="A256" s="2">
        <v>42839</v>
      </c>
      <c r="B256">
        <v>8.67</v>
      </c>
      <c r="C256">
        <v>8.51</v>
      </c>
      <c r="D256">
        <v>8.68</v>
      </c>
      <c r="E256">
        <v>8.51</v>
      </c>
      <c r="F256">
        <v>8.65</v>
      </c>
      <c r="G256">
        <v>8.48</v>
      </c>
      <c r="I256">
        <v>8.59</v>
      </c>
      <c r="J256">
        <v>8.4</v>
      </c>
      <c r="K256">
        <v>8.6199999999999992</v>
      </c>
      <c r="L256">
        <v>8.49</v>
      </c>
      <c r="M256">
        <v>8.61</v>
      </c>
      <c r="N256">
        <v>8.4600000000000009</v>
      </c>
      <c r="P256" s="10">
        <v>8.5399999999999991</v>
      </c>
      <c r="Q256" s="10">
        <v>8.4499999999999993</v>
      </c>
      <c r="R256">
        <v>8.5399999999999991</v>
      </c>
      <c r="S256">
        <v>8.4499999999999993</v>
      </c>
      <c r="T256">
        <v>8.56</v>
      </c>
      <c r="U256">
        <v>8.44</v>
      </c>
      <c r="V256" s="10"/>
      <c r="W256" s="10">
        <v>8.7899999999999991</v>
      </c>
      <c r="X256" s="10"/>
      <c r="Y256" s="10"/>
      <c r="Z256" s="5"/>
      <c r="AE256" s="1"/>
      <c r="AF256" s="2">
        <v>42839</v>
      </c>
      <c r="AG256" s="50">
        <f t="shared" si="187"/>
        <v>8.6666666666666661</v>
      </c>
      <c r="AH256" s="50">
        <f t="shared" si="188"/>
        <v>8.5</v>
      </c>
      <c r="AI256" s="50">
        <f t="shared" si="189"/>
        <v>8.6066666666666674</v>
      </c>
      <c r="AJ256" s="42">
        <f t="shared" si="190"/>
        <v>8.4500000000000011</v>
      </c>
      <c r="AK256" s="42">
        <f t="shared" si="191"/>
        <v>8.5466666666666669</v>
      </c>
      <c r="AL256" s="42">
        <f t="shared" si="192"/>
        <v>8.4466666666666654</v>
      </c>
      <c r="AM256">
        <v>8.7899999999999991</v>
      </c>
      <c r="BA256" s="7">
        <f t="shared" si="193"/>
        <v>8.6066666666666674</v>
      </c>
      <c r="BB256" s="7">
        <f t="shared" si="194"/>
        <v>8.4655555555555555</v>
      </c>
      <c r="BC256">
        <v>8.7899999999999991</v>
      </c>
    </row>
    <row r="257" spans="1:55" ht="14.25" customHeight="1" x14ac:dyDescent="0.35">
      <c r="A257" s="2">
        <v>42846</v>
      </c>
      <c r="B257">
        <v>8.7799999999999994</v>
      </c>
      <c r="C257">
        <v>8.56</v>
      </c>
      <c r="D257">
        <v>8.82</v>
      </c>
      <c r="E257">
        <v>8.5299999999999994</v>
      </c>
      <c r="F257">
        <v>8.7799999999999994</v>
      </c>
      <c r="G257">
        <v>8.6300000000000008</v>
      </c>
      <c r="I257">
        <v>8.68</v>
      </c>
      <c r="J257">
        <v>8.64</v>
      </c>
      <c r="K257">
        <v>8.7100000000000009</v>
      </c>
      <c r="L257">
        <v>8.6</v>
      </c>
      <c r="M257">
        <v>8.6999999999999993</v>
      </c>
      <c r="N257">
        <v>8.6</v>
      </c>
      <c r="P257">
        <v>8.65</v>
      </c>
      <c r="Q257">
        <v>8.7100000000000009</v>
      </c>
      <c r="R257">
        <v>8.6300000000000008</v>
      </c>
      <c r="S257">
        <v>8.4499999999999993</v>
      </c>
      <c r="T257">
        <v>8.64</v>
      </c>
      <c r="U257">
        <v>8.4499999999999993</v>
      </c>
      <c r="V257" s="10"/>
      <c r="W257" s="10">
        <v>8.9499999999999993</v>
      </c>
      <c r="X257" s="10"/>
      <c r="Y257" s="10"/>
      <c r="Z257" s="5"/>
      <c r="AE257" s="1"/>
      <c r="AF257" s="2">
        <v>42846</v>
      </c>
      <c r="AG257" s="50">
        <f t="shared" si="187"/>
        <v>8.7933333333333348</v>
      </c>
      <c r="AH257" s="50">
        <f t="shared" si="188"/>
        <v>8.5733333333333324</v>
      </c>
      <c r="AI257" s="50">
        <f t="shared" si="189"/>
        <v>8.6966666666666672</v>
      </c>
      <c r="AJ257" s="42">
        <f t="shared" si="190"/>
        <v>8.6133333333333351</v>
      </c>
      <c r="AK257" s="42">
        <f t="shared" si="191"/>
        <v>8.64</v>
      </c>
      <c r="AL257" s="42">
        <f t="shared" si="192"/>
        <v>8.5366666666666671</v>
      </c>
      <c r="AM257">
        <v>8.9499999999999993</v>
      </c>
      <c r="BA257" s="7">
        <f t="shared" si="193"/>
        <v>8.7100000000000009</v>
      </c>
      <c r="BB257" s="7">
        <f t="shared" si="194"/>
        <v>8.5744444444444454</v>
      </c>
      <c r="BC257">
        <v>8.9499999999999993</v>
      </c>
    </row>
    <row r="258" spans="1:55" ht="15.5" x14ac:dyDescent="0.35">
      <c r="A258" s="2">
        <v>42853</v>
      </c>
      <c r="B258">
        <v>9.01</v>
      </c>
      <c r="C258">
        <v>8.33</v>
      </c>
      <c r="D258">
        <v>8.9600000000000009</v>
      </c>
      <c r="E258">
        <v>8.44</v>
      </c>
      <c r="F258">
        <v>8.4499999999999993</v>
      </c>
      <c r="G258" s="5">
        <v>8.39</v>
      </c>
      <c r="I258">
        <v>9.1199999999999992</v>
      </c>
      <c r="J258">
        <v>8.11</v>
      </c>
      <c r="K258">
        <v>9.1300000000000008</v>
      </c>
      <c r="L258">
        <v>8.39</v>
      </c>
      <c r="M258">
        <v>9.15</v>
      </c>
      <c r="N258">
        <v>8.31</v>
      </c>
      <c r="P258" s="10">
        <v>9.01</v>
      </c>
      <c r="Q258" s="10">
        <v>8.23</v>
      </c>
      <c r="R258">
        <v>9.01</v>
      </c>
      <c r="S258">
        <v>8.2200000000000006</v>
      </c>
      <c r="T258">
        <v>9.0399999999999991</v>
      </c>
      <c r="U258">
        <v>8.25</v>
      </c>
      <c r="V258" s="10"/>
      <c r="W258" s="10">
        <v>8.83</v>
      </c>
      <c r="X258" s="10"/>
      <c r="Y258" s="10"/>
      <c r="Z258" s="5"/>
      <c r="AE258" s="1"/>
      <c r="AF258" s="2">
        <v>42853</v>
      </c>
      <c r="AG258" s="50">
        <f t="shared" si="187"/>
        <v>8.8066666666666666</v>
      </c>
      <c r="AH258" s="50">
        <f t="shared" si="188"/>
        <v>8.3866666666666667</v>
      </c>
      <c r="AI258" s="50">
        <f t="shared" si="189"/>
        <v>9.1333333333333329</v>
      </c>
      <c r="AJ258" s="42">
        <f t="shared" si="190"/>
        <v>8.2700000000000014</v>
      </c>
      <c r="AK258" s="42">
        <f t="shared" si="191"/>
        <v>9.02</v>
      </c>
      <c r="AL258" s="42">
        <f t="shared" si="192"/>
        <v>8.2333333333333343</v>
      </c>
      <c r="AM258">
        <v>8.83</v>
      </c>
      <c r="BA258" s="7">
        <f t="shared" si="193"/>
        <v>8.9866666666666681</v>
      </c>
      <c r="BB258" s="7">
        <f t="shared" si="194"/>
        <v>8.2966666666666669</v>
      </c>
      <c r="BC258">
        <v>8.83</v>
      </c>
    </row>
    <row r="259" spans="1:55" ht="15.5" x14ac:dyDescent="0.35">
      <c r="A259" s="2">
        <v>42860</v>
      </c>
      <c r="B259">
        <v>8.5</v>
      </c>
      <c r="C259">
        <v>8.08</v>
      </c>
      <c r="D259">
        <v>8.5</v>
      </c>
      <c r="E259">
        <v>8.11</v>
      </c>
      <c r="F259">
        <v>8.4700000000000006</v>
      </c>
      <c r="G259" s="5">
        <v>8.0399999999999991</v>
      </c>
      <c r="I259">
        <v>8.4499999999999993</v>
      </c>
      <c r="J259">
        <v>8.0500000000000007</v>
      </c>
      <c r="K259">
        <v>8.42</v>
      </c>
      <c r="L259">
        <v>8.09</v>
      </c>
      <c r="M259">
        <v>8.41</v>
      </c>
      <c r="N259">
        <v>8</v>
      </c>
      <c r="P259" s="10">
        <v>8.42</v>
      </c>
      <c r="Q259" s="10">
        <v>8.08</v>
      </c>
      <c r="R259" s="10">
        <v>8.43</v>
      </c>
      <c r="S259" s="10">
        <v>8.08</v>
      </c>
      <c r="T259">
        <v>8.5399999999999991</v>
      </c>
      <c r="U259">
        <v>8.08</v>
      </c>
      <c r="V259" s="10"/>
      <c r="W259" s="10">
        <v>8.83</v>
      </c>
      <c r="X259" s="10"/>
      <c r="Y259" s="10"/>
      <c r="Z259" s="5"/>
      <c r="AE259" s="1"/>
      <c r="AF259" s="2">
        <v>42860</v>
      </c>
      <c r="AG259" s="50">
        <f t="shared" si="187"/>
        <v>8.49</v>
      </c>
      <c r="AH259" s="50">
        <f t="shared" si="188"/>
        <v>8.0766666666666662</v>
      </c>
      <c r="AI259" s="50">
        <f t="shared" si="189"/>
        <v>8.4266666666666659</v>
      </c>
      <c r="AJ259" s="42">
        <f t="shared" si="190"/>
        <v>8.0466666666666669</v>
      </c>
      <c r="AK259" s="42">
        <f t="shared" si="191"/>
        <v>8.4633333333333329</v>
      </c>
      <c r="AL259" s="42">
        <f t="shared" si="192"/>
        <v>8.08</v>
      </c>
      <c r="AM259">
        <v>8.83</v>
      </c>
      <c r="BA259" s="7">
        <f t="shared" si="193"/>
        <v>8.4600000000000009</v>
      </c>
      <c r="BB259" s="7">
        <f t="shared" si="194"/>
        <v>8.0677777777777795</v>
      </c>
      <c r="BC259">
        <v>8.83</v>
      </c>
    </row>
    <row r="260" spans="1:55" ht="15.5" x14ac:dyDescent="0.35">
      <c r="A260" s="2">
        <v>42867</v>
      </c>
      <c r="B260">
        <v>8.57</v>
      </c>
      <c r="C260">
        <v>8.58</v>
      </c>
      <c r="D260">
        <v>8.57</v>
      </c>
      <c r="E260">
        <v>8.6199999999999992</v>
      </c>
      <c r="F260">
        <v>8.56</v>
      </c>
      <c r="G260" s="5">
        <v>8.25</v>
      </c>
      <c r="I260">
        <v>8.2200000000000006</v>
      </c>
      <c r="J260">
        <v>8.4700000000000006</v>
      </c>
      <c r="K260">
        <v>8.5399999999999991</v>
      </c>
      <c r="L260">
        <v>8.6300000000000008</v>
      </c>
      <c r="M260">
        <v>8.5399999999999991</v>
      </c>
      <c r="N260">
        <v>8.4</v>
      </c>
      <c r="P260">
        <v>8.5299999999999994</v>
      </c>
      <c r="Q260">
        <v>8.2200000000000006</v>
      </c>
      <c r="R260">
        <v>8.39</v>
      </c>
      <c r="S260">
        <v>8.1999999999999993</v>
      </c>
      <c r="T260">
        <v>8.4</v>
      </c>
      <c r="U260">
        <v>8.08</v>
      </c>
      <c r="V260" s="10"/>
      <c r="W260" s="10">
        <v>8.91</v>
      </c>
      <c r="X260" s="10"/>
      <c r="Y260" s="10"/>
      <c r="Z260" s="5"/>
      <c r="AE260" s="1"/>
      <c r="AF260" s="2">
        <v>42867</v>
      </c>
      <c r="AG260" s="50">
        <f t="shared" si="187"/>
        <v>8.5666666666666682</v>
      </c>
      <c r="AH260" s="50">
        <f t="shared" si="188"/>
        <v>8.4833333333333325</v>
      </c>
      <c r="AI260" s="50">
        <f t="shared" si="189"/>
        <v>8.4333333333333318</v>
      </c>
      <c r="AJ260" s="42">
        <f t="shared" si="190"/>
        <v>8.5</v>
      </c>
      <c r="AK260" s="42">
        <f t="shared" si="191"/>
        <v>8.44</v>
      </c>
      <c r="AL260" s="42">
        <f t="shared" si="192"/>
        <v>8.1666666666666661</v>
      </c>
      <c r="AM260">
        <v>8.91</v>
      </c>
      <c r="BA260" s="7">
        <f t="shared" si="193"/>
        <v>8.4799999999999986</v>
      </c>
      <c r="BB260" s="7">
        <f t="shared" si="194"/>
        <v>8.3833333333333329</v>
      </c>
      <c r="BC260">
        <v>8.91</v>
      </c>
    </row>
    <row r="261" spans="1:55" ht="15.5" x14ac:dyDescent="0.35">
      <c r="A261" s="13">
        <v>42874</v>
      </c>
      <c r="B261" s="10">
        <v>9.0399999999999991</v>
      </c>
      <c r="C261" s="10">
        <v>8.3800000000000008</v>
      </c>
      <c r="D261" s="10">
        <v>9.0299999999999994</v>
      </c>
      <c r="E261" s="10">
        <v>8.6199999999999992</v>
      </c>
      <c r="F261" s="10">
        <v>9.0500000000000007</v>
      </c>
      <c r="G261" s="5">
        <v>8.56</v>
      </c>
      <c r="H261" s="9"/>
      <c r="I261" s="10">
        <v>9.0299999999999994</v>
      </c>
      <c r="J261" s="10">
        <v>8.6199999999999992</v>
      </c>
      <c r="K261" s="10">
        <v>9.02</v>
      </c>
      <c r="L261" s="10">
        <v>8.65</v>
      </c>
      <c r="M261" s="10">
        <v>9.01</v>
      </c>
      <c r="N261" s="10">
        <v>8.06</v>
      </c>
      <c r="O261" s="10"/>
      <c r="P261" s="10">
        <v>8.6999999999999993</v>
      </c>
      <c r="Q261" s="10">
        <v>8.1999999999999993</v>
      </c>
      <c r="R261" s="10">
        <v>8.74</v>
      </c>
      <c r="S261" s="10">
        <v>8.11</v>
      </c>
      <c r="T261" s="10">
        <v>8.69</v>
      </c>
      <c r="U261" s="10">
        <v>8</v>
      </c>
      <c r="V261" s="10"/>
      <c r="W261" s="10">
        <v>8.59</v>
      </c>
      <c r="X261" s="10"/>
      <c r="Y261" s="10"/>
      <c r="Z261" s="5"/>
      <c r="AE261" s="1"/>
      <c r="AF261" s="2">
        <v>42874</v>
      </c>
      <c r="AG261" s="50">
        <f>AVERAGE(B261,D261,F261)</f>
        <v>9.0400000000000009</v>
      </c>
      <c r="AH261" s="50">
        <f t="shared" ref="AH261:AH262" si="195">AVERAGE(C261,E261,G261)</f>
        <v>8.5200000000000014</v>
      </c>
      <c r="AI261" s="50">
        <f t="shared" ref="AI261:AI262" si="196">AVERAGE(I261,K261,M261)</f>
        <v>9.0199999999999978</v>
      </c>
      <c r="AJ261" s="42">
        <f t="shared" ref="AJ261:AJ262" si="197">AVERAGE(J261,L261,N261)</f>
        <v>8.4433333333333334</v>
      </c>
      <c r="AK261" s="42">
        <f t="shared" ref="AK261:AK262" si="198">AVERAGE(P261,R261,T261)</f>
        <v>8.7099999999999991</v>
      </c>
      <c r="AL261" s="42">
        <f t="shared" ref="AL261:AL262" si="199">AVERAGE(Q261,S261,U261)</f>
        <v>8.1033333333333335</v>
      </c>
      <c r="AM261" s="10">
        <v>8.59</v>
      </c>
      <c r="BA261" s="7">
        <f t="shared" ref="BA261:BA262" si="200">AVERAGE(P261,R261,T261,I261,K261,M261,B261,D261,F261)</f>
        <v>8.923333333333332</v>
      </c>
      <c r="BB261" s="7">
        <f t="shared" ref="BB261:BB262" si="201">AVERAGE(Q261,S261,U261,J261,L261,N261,C261,E261,G261)</f>
        <v>8.3555555555555561</v>
      </c>
      <c r="BC261" s="10">
        <v>8.59</v>
      </c>
    </row>
    <row r="262" spans="1:55" ht="15.5" x14ac:dyDescent="0.35">
      <c r="A262" s="13">
        <v>42879</v>
      </c>
      <c r="B262" s="10">
        <v>9</v>
      </c>
      <c r="C262" s="10">
        <v>8.9</v>
      </c>
      <c r="D262">
        <v>8.8800000000000008</v>
      </c>
      <c r="E262">
        <v>8.84</v>
      </c>
      <c r="F262">
        <v>8.9600000000000009</v>
      </c>
      <c r="G262" s="5">
        <v>8.85</v>
      </c>
      <c r="H262" s="9"/>
      <c r="I262" s="10">
        <v>8.91</v>
      </c>
      <c r="J262" s="10">
        <v>8.33</v>
      </c>
      <c r="K262" s="10">
        <v>8.9499999999999993</v>
      </c>
      <c r="L262" s="10">
        <v>8.5399999999999991</v>
      </c>
      <c r="M262" s="10">
        <v>8.91</v>
      </c>
      <c r="N262" s="10">
        <v>8.5299999999999994</v>
      </c>
      <c r="O262" s="10"/>
      <c r="P262" s="10">
        <v>8.6199999999999992</v>
      </c>
      <c r="Q262" s="10">
        <v>8.34</v>
      </c>
      <c r="R262" s="10">
        <v>8.5</v>
      </c>
      <c r="S262" s="10">
        <v>8.3699999999999992</v>
      </c>
      <c r="T262" s="10">
        <v>8.3800000000000008</v>
      </c>
      <c r="U262" s="10">
        <v>8.26</v>
      </c>
      <c r="V262" s="10"/>
      <c r="W262" s="10">
        <v>8.4700000000000006</v>
      </c>
      <c r="X262" s="10"/>
      <c r="Y262" s="10"/>
      <c r="Z262" s="5"/>
      <c r="AE262" s="1"/>
      <c r="AF262" s="2">
        <v>42879</v>
      </c>
      <c r="AG262" s="50">
        <f t="shared" ref="AG262" si="202">AVERAGE(B262,D262,F262)</f>
        <v>8.9466666666666672</v>
      </c>
      <c r="AH262" s="50">
        <f t="shared" si="195"/>
        <v>8.8633333333333351</v>
      </c>
      <c r="AI262" s="50">
        <f t="shared" si="196"/>
        <v>8.9233333333333338</v>
      </c>
      <c r="AJ262" s="42">
        <f t="shared" si="197"/>
        <v>8.4666666666666668</v>
      </c>
      <c r="AK262" s="42">
        <f t="shared" si="198"/>
        <v>8.5</v>
      </c>
      <c r="AL262" s="42">
        <f t="shared" si="199"/>
        <v>8.3233333333333324</v>
      </c>
      <c r="AM262" s="10">
        <v>8.4700000000000006</v>
      </c>
      <c r="BA262" s="7">
        <f t="shared" si="200"/>
        <v>8.7899999999999991</v>
      </c>
      <c r="BB262" s="7">
        <f t="shared" si="201"/>
        <v>8.5511111111111102</v>
      </c>
      <c r="BC262" s="10">
        <v>8.4700000000000006</v>
      </c>
    </row>
    <row r="263" spans="1:55" ht="15.5" x14ac:dyDescent="0.35">
      <c r="A263" s="13"/>
      <c r="B263" s="10"/>
      <c r="C263" s="10"/>
      <c r="G263" s="5"/>
      <c r="H263" s="9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5"/>
      <c r="AE263" s="1"/>
      <c r="AF263" s="2"/>
      <c r="AG263" s="50"/>
      <c r="AH263" s="50"/>
      <c r="AI263" s="50"/>
      <c r="AJ263" s="42"/>
      <c r="AK263" s="42"/>
      <c r="AL263" s="42"/>
      <c r="AM263" s="10"/>
      <c r="BA263" s="7"/>
      <c r="BB263" s="7"/>
      <c r="BC263" s="10"/>
    </row>
    <row r="264" spans="1:55" ht="15.5" x14ac:dyDescent="0.35">
      <c r="A264" s="13"/>
      <c r="B264" s="10"/>
      <c r="C264" s="10"/>
      <c r="G264" s="5"/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5"/>
      <c r="AE264" s="1"/>
      <c r="AF264" s="2"/>
      <c r="AG264" s="50"/>
      <c r="AH264" s="50"/>
      <c r="AI264" s="50"/>
      <c r="AJ264" s="42"/>
      <c r="AK264" s="42"/>
      <c r="AL264" s="42"/>
      <c r="AM264" s="10"/>
      <c r="BA264" s="7"/>
      <c r="BB264" s="7"/>
      <c r="BC264" s="10"/>
    </row>
    <row r="265" spans="1:55" ht="15.5" x14ac:dyDescent="0.35">
      <c r="A265" s="13">
        <v>43171</v>
      </c>
      <c r="B265" s="10">
        <v>7.8</v>
      </c>
      <c r="C265" s="10">
        <v>7.8</v>
      </c>
      <c r="D265" s="10">
        <v>7.8</v>
      </c>
      <c r="E265" s="10">
        <v>7.8</v>
      </c>
      <c r="F265" s="10">
        <v>7.8</v>
      </c>
      <c r="G265" s="10">
        <v>7.8</v>
      </c>
      <c r="H265" s="10"/>
      <c r="I265" s="10">
        <v>7.8</v>
      </c>
      <c r="J265" s="10">
        <v>7.8</v>
      </c>
      <c r="K265" s="10">
        <v>7.8</v>
      </c>
      <c r="L265" s="10">
        <v>7.8</v>
      </c>
      <c r="M265" s="10">
        <v>7.8</v>
      </c>
      <c r="N265" s="10">
        <v>7.8</v>
      </c>
      <c r="O265" s="10"/>
      <c r="P265" s="10">
        <v>7.8</v>
      </c>
      <c r="Q265" s="10">
        <v>7.8</v>
      </c>
      <c r="R265" s="10">
        <v>7.8</v>
      </c>
      <c r="S265" s="10">
        <v>7.8</v>
      </c>
      <c r="T265" s="10">
        <v>7.8</v>
      </c>
      <c r="U265" s="10">
        <v>7.8</v>
      </c>
      <c r="V265" s="10"/>
      <c r="W265" s="10"/>
      <c r="X265" s="10"/>
      <c r="Y265" s="10"/>
      <c r="Z265" s="5"/>
      <c r="AE265" s="1"/>
      <c r="AF265" s="13">
        <v>43171</v>
      </c>
      <c r="AG265" s="50">
        <f>AVERAGE(B265,D265,F265)</f>
        <v>7.8</v>
      </c>
      <c r="AH265" s="50">
        <f t="shared" ref="AH265:AH276" si="203">AVERAGE(C265,E265,G265)</f>
        <v>7.8</v>
      </c>
      <c r="AI265" s="50">
        <f>AVERAGE(I265,K265,M265)</f>
        <v>7.8</v>
      </c>
      <c r="AJ265" s="42">
        <f t="shared" ref="AJ265:AJ276" si="204">AVERAGE(J265,L265,N265)</f>
        <v>7.8</v>
      </c>
      <c r="AK265" s="42">
        <f t="shared" ref="AK265:AK276" si="205">AVERAGE(P265,R265,T265)</f>
        <v>7.8</v>
      </c>
      <c r="AL265" s="42">
        <f t="shared" ref="AL265:AL276" si="206">AVERAGE(Q265,S265,U265)</f>
        <v>7.8</v>
      </c>
      <c r="AM265" s="10"/>
      <c r="BA265" s="7">
        <f t="shared" ref="BA265:BA276" si="207">AVERAGE(P265,R265,T265,I265,K265,M265,B265,D265,F265)</f>
        <v>7.7999999999999989</v>
      </c>
      <c r="BB265" s="7">
        <f t="shared" ref="BB265:BB276" si="208">AVERAGE(Q265,S265,U265,J265,L265,N265,C265,E265,G265)</f>
        <v>7.7999999999999989</v>
      </c>
      <c r="BC265" s="10"/>
    </row>
    <row r="266" spans="1:55" ht="15.5" x14ac:dyDescent="0.35">
      <c r="A266" s="13">
        <v>43178</v>
      </c>
      <c r="B266">
        <v>8.01</v>
      </c>
      <c r="C266">
        <v>8.016</v>
      </c>
      <c r="D266">
        <v>8.0850000000000009</v>
      </c>
      <c r="E266">
        <v>8.0229999999999997</v>
      </c>
      <c r="F266">
        <v>8.0589999999999993</v>
      </c>
      <c r="G266">
        <v>8.0289999999999999</v>
      </c>
      <c r="I266">
        <v>8.0489999999999995</v>
      </c>
      <c r="J266">
        <v>8.0269999999999992</v>
      </c>
      <c r="K266">
        <v>8.06</v>
      </c>
      <c r="L266">
        <v>8.0429999999999993</v>
      </c>
      <c r="M266">
        <v>8.0489999999999995</v>
      </c>
      <c r="N266">
        <v>8.0220000000000002</v>
      </c>
      <c r="P266">
        <v>8.0670000000000002</v>
      </c>
      <c r="Q266">
        <v>8.0370000000000008</v>
      </c>
      <c r="R266">
        <v>8.0640000000000001</v>
      </c>
      <c r="S266">
        <v>8.0619999999999994</v>
      </c>
      <c r="T266">
        <v>8.0630000000000006</v>
      </c>
      <c r="U266">
        <v>8.0579999999999998</v>
      </c>
      <c r="V266" s="10"/>
      <c r="W266" s="10"/>
      <c r="X266" s="10"/>
      <c r="Y266" s="10"/>
      <c r="Z266" s="5">
        <v>8.093</v>
      </c>
      <c r="AE266" s="1"/>
      <c r="AF266" s="13">
        <v>43178</v>
      </c>
      <c r="AG266" s="50">
        <f t="shared" ref="AG266:AG276" si="209">AVERAGE(B266,D266,F266)</f>
        <v>8.0513333333333321</v>
      </c>
      <c r="AH266" s="50">
        <f t="shared" si="203"/>
        <v>8.0226666666666677</v>
      </c>
      <c r="AI266" s="50">
        <f t="shared" ref="AI266:AI276" si="210">AVERAGE(I266,K266,M266)</f>
        <v>8.0526666666666671</v>
      </c>
      <c r="AJ266" s="42">
        <f t="shared" si="204"/>
        <v>8.0306666666666668</v>
      </c>
      <c r="AK266" s="42">
        <f t="shared" si="205"/>
        <v>8.0646666666666675</v>
      </c>
      <c r="AL266" s="42">
        <f t="shared" si="206"/>
        <v>8.0523333333333333</v>
      </c>
      <c r="AM266" s="10"/>
      <c r="BA266" s="7">
        <f t="shared" si="207"/>
        <v>8.0562222222222228</v>
      </c>
      <c r="BB266" s="7">
        <f t="shared" si="208"/>
        <v>8.035222222222222</v>
      </c>
      <c r="BC266" s="10"/>
    </row>
    <row r="267" spans="1:55" ht="15.5" x14ac:dyDescent="0.35">
      <c r="A267" s="13">
        <v>43185</v>
      </c>
      <c r="B267">
        <v>8.0449999999999999</v>
      </c>
      <c r="C267">
        <v>8.1</v>
      </c>
      <c r="D267">
        <v>8.0709999999999997</v>
      </c>
      <c r="E267">
        <v>8.11</v>
      </c>
      <c r="F267">
        <v>8.07</v>
      </c>
      <c r="G267">
        <v>8.1020000000000003</v>
      </c>
      <c r="I267">
        <v>8.0530000000000008</v>
      </c>
      <c r="J267">
        <v>8.09</v>
      </c>
      <c r="K267">
        <v>8.0820000000000007</v>
      </c>
      <c r="L267">
        <v>8.1199999999999992</v>
      </c>
      <c r="M267">
        <v>8.0719999999999992</v>
      </c>
      <c r="N267">
        <v>8.0920000000000005</v>
      </c>
      <c r="P267" s="10">
        <v>8.0619999999999994</v>
      </c>
      <c r="Q267" s="10">
        <v>8.1080000000000005</v>
      </c>
      <c r="R267" s="10">
        <v>8.0640000000000001</v>
      </c>
      <c r="S267" s="10">
        <v>8.1059999999999999</v>
      </c>
      <c r="T267">
        <v>8.0679999999999996</v>
      </c>
      <c r="U267">
        <v>8.1</v>
      </c>
      <c r="V267" s="10"/>
      <c r="W267" s="10">
        <v>8.5050000000000008</v>
      </c>
      <c r="X267" s="10"/>
      <c r="Y267" s="10"/>
      <c r="Z267" s="5">
        <v>8.3049999999999997</v>
      </c>
      <c r="AE267" s="1"/>
      <c r="AF267" s="13">
        <v>43185</v>
      </c>
      <c r="AG267" s="50">
        <f t="shared" si="209"/>
        <v>8.0619999999999994</v>
      </c>
      <c r="AH267" s="50">
        <f t="shared" si="203"/>
        <v>8.104000000000001</v>
      </c>
      <c r="AI267" s="50">
        <f t="shared" si="210"/>
        <v>8.0690000000000008</v>
      </c>
      <c r="AJ267" s="42">
        <f t="shared" si="204"/>
        <v>8.1006666666666671</v>
      </c>
      <c r="AK267" s="42">
        <f t="shared" si="205"/>
        <v>8.0646666666666658</v>
      </c>
      <c r="AL267" s="42">
        <f t="shared" si="206"/>
        <v>8.1046666666666667</v>
      </c>
      <c r="AM267" s="10">
        <v>8.5050000000000008</v>
      </c>
      <c r="BA267" s="7">
        <f t="shared" si="207"/>
        <v>8.0652222222222214</v>
      </c>
      <c r="BB267" s="7">
        <f t="shared" si="208"/>
        <v>8.1031111111111116</v>
      </c>
      <c r="BC267" s="10">
        <v>8.5050000000000008</v>
      </c>
    </row>
    <row r="268" spans="1:55" ht="15.5" x14ac:dyDescent="0.35">
      <c r="A268" s="13">
        <v>43193</v>
      </c>
      <c r="B268">
        <v>8.1</v>
      </c>
      <c r="C268">
        <v>8.1</v>
      </c>
      <c r="D268">
        <v>8.1</v>
      </c>
      <c r="E268">
        <v>8.1</v>
      </c>
      <c r="F268">
        <v>8.1</v>
      </c>
      <c r="G268">
        <v>8.1</v>
      </c>
      <c r="I268">
        <v>8.1</v>
      </c>
      <c r="J268">
        <v>8.1</v>
      </c>
      <c r="K268">
        <v>8.1</v>
      </c>
      <c r="L268">
        <v>8.1</v>
      </c>
      <c r="M268">
        <v>8.1</v>
      </c>
      <c r="N268">
        <v>8.1</v>
      </c>
      <c r="P268" s="10">
        <v>8.1</v>
      </c>
      <c r="Q268" s="10">
        <v>8.1</v>
      </c>
      <c r="R268" s="10">
        <v>8.1</v>
      </c>
      <c r="S268" s="10">
        <v>8.1</v>
      </c>
      <c r="T268">
        <v>8.1</v>
      </c>
      <c r="U268">
        <v>8.1</v>
      </c>
      <c r="V268" s="10"/>
      <c r="W268" s="10">
        <v>8.14</v>
      </c>
      <c r="X268" s="10"/>
      <c r="Y268" s="10"/>
      <c r="Z268" s="5">
        <v>8.1359999999999992</v>
      </c>
      <c r="AE268" s="1"/>
      <c r="AF268" s="13">
        <v>43193</v>
      </c>
      <c r="AG268" s="50">
        <f t="shared" si="209"/>
        <v>8.1</v>
      </c>
      <c r="AH268" s="50">
        <f t="shared" si="203"/>
        <v>8.1</v>
      </c>
      <c r="AI268" s="50">
        <f t="shared" si="210"/>
        <v>8.1</v>
      </c>
      <c r="AJ268" s="42">
        <f t="shared" si="204"/>
        <v>8.1</v>
      </c>
      <c r="AK268" s="42">
        <f t="shared" si="205"/>
        <v>8.1</v>
      </c>
      <c r="AL268" s="42">
        <f t="shared" si="206"/>
        <v>8.1</v>
      </c>
      <c r="AM268" s="10">
        <v>8.14</v>
      </c>
      <c r="BA268" s="7">
        <f t="shared" si="207"/>
        <v>8.1</v>
      </c>
      <c r="BB268" s="7">
        <f t="shared" si="208"/>
        <v>8.1</v>
      </c>
      <c r="BC268" s="10">
        <v>8.14</v>
      </c>
    </row>
    <row r="269" spans="1:55" ht="15.5" x14ac:dyDescent="0.35">
      <c r="A269" s="13">
        <v>43199</v>
      </c>
      <c r="B269">
        <v>8.1300000000000008</v>
      </c>
      <c r="C269">
        <v>8.0950000000000006</v>
      </c>
      <c r="D269">
        <v>8.2560000000000002</v>
      </c>
      <c r="E269">
        <v>8.1379999999999999</v>
      </c>
      <c r="F269">
        <v>8.2129999999999992</v>
      </c>
      <c r="G269">
        <v>8.1140000000000008</v>
      </c>
      <c r="I269">
        <v>8.3109999999999999</v>
      </c>
      <c r="J269">
        <v>8.1170000000000009</v>
      </c>
      <c r="K269">
        <v>8.3049999999999997</v>
      </c>
      <c r="L269">
        <v>8.1219999999999999</v>
      </c>
      <c r="M269">
        <v>8.3239999999999998</v>
      </c>
      <c r="N269">
        <v>8.1140000000000008</v>
      </c>
      <c r="P269" s="10">
        <v>8.3789999999999996</v>
      </c>
      <c r="Q269" s="55">
        <v>8.0129999999999999</v>
      </c>
      <c r="R269" s="10">
        <v>8.3719999999999999</v>
      </c>
      <c r="S269" s="55">
        <v>7.992</v>
      </c>
      <c r="T269" s="10">
        <v>8.3469999999999995</v>
      </c>
      <c r="U269" s="10">
        <v>8.0299999999999994</v>
      </c>
      <c r="V269" s="10"/>
      <c r="W269" s="10">
        <v>8.2479999999999993</v>
      </c>
      <c r="X269" s="10"/>
      <c r="Y269" s="10"/>
      <c r="Z269" s="10">
        <v>8.1999999999999993</v>
      </c>
      <c r="AE269" s="1"/>
      <c r="AF269" s="13">
        <v>43199</v>
      </c>
      <c r="AG269" s="50">
        <f t="shared" si="209"/>
        <v>8.1996666666666673</v>
      </c>
      <c r="AH269" s="50">
        <f t="shared" si="203"/>
        <v>8.1156666666666677</v>
      </c>
      <c r="AI269" s="50">
        <f t="shared" si="210"/>
        <v>8.3133333333333326</v>
      </c>
      <c r="AJ269" s="42">
        <f t="shared" si="204"/>
        <v>8.1176666666666666</v>
      </c>
      <c r="AK269" s="42">
        <f t="shared" si="205"/>
        <v>8.3659999999999997</v>
      </c>
      <c r="AL269" s="42">
        <f t="shared" si="206"/>
        <v>8.0116666666666649</v>
      </c>
      <c r="AM269" s="10">
        <v>8.2479999999999993</v>
      </c>
      <c r="BA269" s="7">
        <f t="shared" si="207"/>
        <v>8.2929999999999993</v>
      </c>
      <c r="BB269" s="7">
        <f t="shared" si="208"/>
        <v>8.0816666666666688</v>
      </c>
      <c r="BC269" s="10">
        <v>8.2479999999999993</v>
      </c>
    </row>
    <row r="270" spans="1:55" ht="15.5" x14ac:dyDescent="0.35">
      <c r="A270" s="13">
        <v>43206</v>
      </c>
      <c r="B270">
        <v>8.14</v>
      </c>
      <c r="C270">
        <v>8.1300000000000008</v>
      </c>
      <c r="D270">
        <v>8.1300000000000008</v>
      </c>
      <c r="E270">
        <v>8.1300000000000008</v>
      </c>
      <c r="F270">
        <v>8.1300000000000008</v>
      </c>
      <c r="G270">
        <v>8.1300000000000008</v>
      </c>
      <c r="I270">
        <v>8.14</v>
      </c>
      <c r="J270">
        <v>8.1300000000000008</v>
      </c>
      <c r="K270">
        <v>8.1359999999999992</v>
      </c>
      <c r="L270">
        <v>8.1300000000000008</v>
      </c>
      <c r="M270">
        <v>8.1379999999999999</v>
      </c>
      <c r="N270">
        <v>8.1349999999999998</v>
      </c>
      <c r="P270" s="10">
        <v>8.1140000000000008</v>
      </c>
      <c r="Q270" s="10">
        <v>8.0960000000000001</v>
      </c>
      <c r="R270">
        <v>8.1199999999999992</v>
      </c>
      <c r="S270">
        <v>8.1120000000000001</v>
      </c>
      <c r="T270">
        <v>8.11</v>
      </c>
      <c r="U270">
        <v>8.1069999999999993</v>
      </c>
      <c r="V270" s="10"/>
      <c r="W270" s="10">
        <v>8.1489999999999991</v>
      </c>
      <c r="X270" s="10"/>
      <c r="Y270" s="10"/>
      <c r="Z270" s="10">
        <v>8.41</v>
      </c>
      <c r="AE270" s="1"/>
      <c r="AF270" s="13">
        <v>43206</v>
      </c>
      <c r="AG270" s="50">
        <f t="shared" si="209"/>
        <v>8.1333333333333346</v>
      </c>
      <c r="AH270" s="50">
        <f t="shared" si="203"/>
        <v>8.1300000000000008</v>
      </c>
      <c r="AI270" s="50">
        <f t="shared" si="210"/>
        <v>8.1379999999999999</v>
      </c>
      <c r="AJ270" s="42">
        <f t="shared" si="204"/>
        <v>8.1316666666666677</v>
      </c>
      <c r="AK270" s="42">
        <f t="shared" si="205"/>
        <v>8.1146666666666665</v>
      </c>
      <c r="AL270" s="42">
        <f t="shared" si="206"/>
        <v>8.1049999999999986</v>
      </c>
      <c r="AM270" s="10">
        <v>8.1489999999999991</v>
      </c>
      <c r="BA270" s="7">
        <f t="shared" si="207"/>
        <v>8.1286666666666676</v>
      </c>
      <c r="BB270" s="7">
        <f t="shared" si="208"/>
        <v>8.1222222222222218</v>
      </c>
      <c r="BC270" s="10">
        <v>8.1489999999999991</v>
      </c>
    </row>
    <row r="271" spans="1:55" ht="15.5" x14ac:dyDescent="0.35">
      <c r="A271" s="13">
        <v>43213</v>
      </c>
      <c r="B271" s="91">
        <v>8.3119999999999994</v>
      </c>
      <c r="C271" s="91">
        <v>8.35</v>
      </c>
      <c r="D271" s="91">
        <v>8.1999999999999993</v>
      </c>
      <c r="E271" s="91">
        <v>8.3490000000000002</v>
      </c>
      <c r="F271" s="91">
        <v>8.1859999999999999</v>
      </c>
      <c r="G271" s="91">
        <v>8.3119999999999994</v>
      </c>
      <c r="I271" s="91">
        <v>8.2439999999999998</v>
      </c>
      <c r="J271" s="91">
        <v>8.27</v>
      </c>
      <c r="K271" s="91">
        <v>8.1999999999999993</v>
      </c>
      <c r="L271" s="91">
        <v>8.3109999999999999</v>
      </c>
      <c r="M271" s="91">
        <v>8.2710000000000008</v>
      </c>
      <c r="N271" s="91">
        <v>8.2929999999999993</v>
      </c>
      <c r="P271" s="90">
        <v>8.16</v>
      </c>
      <c r="Q271" s="90">
        <v>8.1950000000000003</v>
      </c>
      <c r="R271" s="90">
        <v>8.18</v>
      </c>
      <c r="S271" s="90">
        <v>8.25</v>
      </c>
      <c r="T271" s="90">
        <v>8.19</v>
      </c>
      <c r="U271" s="90">
        <v>8.2370000000000001</v>
      </c>
      <c r="V271" s="10"/>
      <c r="W271" s="88">
        <v>8.4730000000000008</v>
      </c>
      <c r="X271" s="10"/>
      <c r="Y271" s="10"/>
      <c r="Z271" s="10">
        <v>8.2629999999999999</v>
      </c>
      <c r="AE271" s="1"/>
      <c r="AF271" s="13">
        <v>43213</v>
      </c>
      <c r="AG271" s="50">
        <f t="shared" si="209"/>
        <v>8.2326666666666668</v>
      </c>
      <c r="AH271" s="50">
        <f t="shared" si="203"/>
        <v>8.336999999999998</v>
      </c>
      <c r="AI271" s="50">
        <f t="shared" si="210"/>
        <v>8.2383333333333333</v>
      </c>
      <c r="AJ271" s="42">
        <f t="shared" si="204"/>
        <v>8.2913333333333323</v>
      </c>
      <c r="AK271" s="42">
        <f t="shared" si="205"/>
        <v>8.1766666666666676</v>
      </c>
      <c r="AL271" s="42">
        <f t="shared" si="206"/>
        <v>8.2273333333333341</v>
      </c>
      <c r="AM271" s="88">
        <v>8.4730000000000008</v>
      </c>
      <c r="BA271" s="7">
        <f t="shared" si="207"/>
        <v>8.215888888888891</v>
      </c>
      <c r="BB271" s="7">
        <f t="shared" si="208"/>
        <v>8.285222222222222</v>
      </c>
      <c r="BC271" s="88">
        <v>8.4730000000000008</v>
      </c>
    </row>
    <row r="272" spans="1:55" ht="15.5" x14ac:dyDescent="0.35">
      <c r="A272" s="2">
        <v>43222</v>
      </c>
      <c r="B272" s="91">
        <v>8.0589999999999993</v>
      </c>
      <c r="C272" s="91">
        <v>8.0660000000000007</v>
      </c>
      <c r="D272" s="91">
        <v>8.0510000000000002</v>
      </c>
      <c r="E272" s="91">
        <v>8.0470000000000006</v>
      </c>
      <c r="F272" s="91">
        <v>8.0440000000000005</v>
      </c>
      <c r="G272" s="91">
        <v>8.0459999999999994</v>
      </c>
      <c r="I272" s="91">
        <v>8.048</v>
      </c>
      <c r="J272" s="91">
        <v>8.0510000000000002</v>
      </c>
      <c r="K272" s="91">
        <v>8.0250000000000004</v>
      </c>
      <c r="L272" s="91">
        <v>8.0250000000000004</v>
      </c>
      <c r="M272" s="91">
        <v>8.0329999999999995</v>
      </c>
      <c r="N272" s="91">
        <v>8.0399999999999991</v>
      </c>
      <c r="P272" s="90">
        <v>8.0609999999999999</v>
      </c>
      <c r="Q272" s="90">
        <v>8.0449999999999999</v>
      </c>
      <c r="R272" s="90">
        <v>8.02</v>
      </c>
      <c r="S272" s="90">
        <v>8.0280000000000005</v>
      </c>
      <c r="T272" s="90">
        <v>7.9880000000000004</v>
      </c>
      <c r="U272" s="90">
        <v>7.992</v>
      </c>
      <c r="V272" s="10"/>
      <c r="W272" s="88">
        <v>8.09</v>
      </c>
      <c r="X272" s="10"/>
      <c r="Y272" s="10"/>
      <c r="Z272" s="10">
        <v>8.1690000000000005</v>
      </c>
      <c r="AE272" s="1"/>
      <c r="AF272" s="2">
        <v>43222</v>
      </c>
      <c r="AG272" s="50">
        <f t="shared" si="209"/>
        <v>8.0513333333333339</v>
      </c>
      <c r="AH272" s="50">
        <f t="shared" si="203"/>
        <v>8.052999999999999</v>
      </c>
      <c r="AI272" s="50">
        <f t="shared" si="210"/>
        <v>8.0353333333333339</v>
      </c>
      <c r="AJ272" s="42">
        <f t="shared" si="204"/>
        <v>8.038666666666666</v>
      </c>
      <c r="AK272" s="42">
        <f t="shared" si="205"/>
        <v>8.0229999999999997</v>
      </c>
      <c r="AL272" s="42">
        <f t="shared" si="206"/>
        <v>8.0216666666666665</v>
      </c>
      <c r="AM272" s="88">
        <v>8.09</v>
      </c>
      <c r="BA272" s="7">
        <f t="shared" si="207"/>
        <v>8.0365555555555552</v>
      </c>
      <c r="BB272" s="7">
        <f t="shared" si="208"/>
        <v>8.0377777777777784</v>
      </c>
      <c r="BC272" s="88">
        <v>8.09</v>
      </c>
    </row>
    <row r="273" spans="1:55" ht="15.5" x14ac:dyDescent="0.35">
      <c r="A273" s="2">
        <v>43227</v>
      </c>
      <c r="B273" s="91">
        <v>8.15</v>
      </c>
      <c r="C273" s="91">
        <v>8.0749999999999993</v>
      </c>
      <c r="D273" s="91">
        <v>8.3140000000000001</v>
      </c>
      <c r="E273" s="91">
        <v>8.1</v>
      </c>
      <c r="F273" s="91">
        <v>8.2249999999999996</v>
      </c>
      <c r="G273" s="92">
        <v>8.0220000000000002</v>
      </c>
      <c r="I273" s="91">
        <v>8.1039999999999992</v>
      </c>
      <c r="J273" s="91">
        <v>8.0399999999999991</v>
      </c>
      <c r="K273" s="91">
        <v>8.26</v>
      </c>
      <c r="L273" s="91">
        <v>8.0860000000000003</v>
      </c>
      <c r="M273" s="91">
        <v>8.2530000000000001</v>
      </c>
      <c r="N273" s="91">
        <v>8.0470000000000006</v>
      </c>
      <c r="P273" s="90">
        <v>8.1</v>
      </c>
      <c r="Q273" s="90">
        <v>7.976</v>
      </c>
      <c r="R273" s="90">
        <v>8.1319999999999997</v>
      </c>
      <c r="S273" s="90">
        <v>7.992</v>
      </c>
      <c r="T273" s="90">
        <v>8.02</v>
      </c>
      <c r="U273" s="90">
        <v>7.9669999999999996</v>
      </c>
      <c r="V273" s="10"/>
      <c r="W273" s="88">
        <v>8.657</v>
      </c>
      <c r="X273" s="10"/>
      <c r="Y273" s="10"/>
      <c r="Z273" s="5"/>
      <c r="AE273" s="1"/>
      <c r="AF273" s="2">
        <v>43227</v>
      </c>
      <c r="AG273" s="50">
        <f t="shared" si="209"/>
        <v>8.2296666666666667</v>
      </c>
      <c r="AH273" s="50">
        <f t="shared" si="203"/>
        <v>8.0656666666666652</v>
      </c>
      <c r="AI273" s="50">
        <f t="shared" si="210"/>
        <v>8.2056666666666658</v>
      </c>
      <c r="AJ273" s="42">
        <f t="shared" si="204"/>
        <v>8.0576666666666661</v>
      </c>
      <c r="AK273" s="42">
        <f t="shared" si="205"/>
        <v>8.0839999999999996</v>
      </c>
      <c r="AL273" s="42">
        <f t="shared" si="206"/>
        <v>7.9783333333333326</v>
      </c>
      <c r="AM273" s="88">
        <v>8.657</v>
      </c>
      <c r="BA273" s="7">
        <f t="shared" si="207"/>
        <v>8.1731111111111101</v>
      </c>
      <c r="BB273" s="7">
        <f t="shared" si="208"/>
        <v>8.0338888888888889</v>
      </c>
      <c r="BC273" s="88">
        <v>8.657</v>
      </c>
    </row>
    <row r="274" spans="1:55" ht="15.5" x14ac:dyDescent="0.35">
      <c r="A274" s="13">
        <v>43234</v>
      </c>
      <c r="B274" s="91">
        <v>7.97</v>
      </c>
      <c r="C274" s="91">
        <v>7.94</v>
      </c>
      <c r="D274" s="91">
        <v>7.9669999999999996</v>
      </c>
      <c r="E274" s="91">
        <v>7.9290000000000003</v>
      </c>
      <c r="F274" s="91">
        <v>7.976</v>
      </c>
      <c r="G274" s="91">
        <v>7.923</v>
      </c>
      <c r="I274" s="91">
        <v>8.0229999999999997</v>
      </c>
      <c r="J274" s="91">
        <v>7.9260000000000002</v>
      </c>
      <c r="K274" s="91">
        <v>8.0269999999999992</v>
      </c>
      <c r="L274" s="91">
        <v>7.9139999999999997</v>
      </c>
      <c r="M274" s="91">
        <v>8.0350000000000001</v>
      </c>
      <c r="N274" s="91">
        <v>7.9119999999999999</v>
      </c>
      <c r="P274" s="90">
        <v>8.1630000000000003</v>
      </c>
      <c r="Q274" s="90">
        <v>7.82</v>
      </c>
      <c r="R274" s="90">
        <v>8.1489999999999991</v>
      </c>
      <c r="S274" s="90">
        <v>8.1359999999999992</v>
      </c>
      <c r="T274" s="90">
        <v>8.1440000000000001</v>
      </c>
      <c r="U274" s="90">
        <v>7.84</v>
      </c>
      <c r="V274" s="10"/>
      <c r="W274" s="93">
        <f>(W273+W275)/2</f>
        <v>8.5555000000000003</v>
      </c>
      <c r="X274" s="10"/>
      <c r="Y274" s="10"/>
      <c r="Z274" s="10">
        <v>8.0280000000000005</v>
      </c>
      <c r="AE274" s="1"/>
      <c r="AF274" s="13">
        <v>43234</v>
      </c>
      <c r="AG274" s="50">
        <f t="shared" si="209"/>
        <v>7.9710000000000001</v>
      </c>
      <c r="AH274" s="50">
        <f t="shared" si="203"/>
        <v>7.9306666666666672</v>
      </c>
      <c r="AI274" s="50">
        <f t="shared" si="210"/>
        <v>8.0283333333333324</v>
      </c>
      <c r="AJ274" s="42">
        <f t="shared" si="204"/>
        <v>7.9173333333333327</v>
      </c>
      <c r="AK274" s="42">
        <f t="shared" si="205"/>
        <v>8.1519999999999992</v>
      </c>
      <c r="AL274" s="42">
        <f t="shared" si="206"/>
        <v>7.9319999999999995</v>
      </c>
      <c r="AM274" s="93">
        <v>8.5555000000000003</v>
      </c>
      <c r="BA274" s="7">
        <f t="shared" si="207"/>
        <v>8.0504444444444445</v>
      </c>
      <c r="BB274" s="7">
        <f t="shared" si="208"/>
        <v>7.9266666666666667</v>
      </c>
      <c r="BC274" s="93">
        <v>8.5555000000000003</v>
      </c>
    </row>
    <row r="275" spans="1:55" ht="15.5" x14ac:dyDescent="0.35">
      <c r="A275" s="13">
        <v>43242</v>
      </c>
      <c r="B275" s="91">
        <v>7.9610000000000003</v>
      </c>
      <c r="C275" s="91">
        <v>7.6689999999999996</v>
      </c>
      <c r="D275" s="91">
        <v>7.96</v>
      </c>
      <c r="E275" s="91">
        <v>7.657</v>
      </c>
      <c r="F275" s="91">
        <v>7.9690000000000003</v>
      </c>
      <c r="G275" s="92">
        <v>7.734</v>
      </c>
      <c r="I275" s="91">
        <v>7.9749999999999996</v>
      </c>
      <c r="J275" s="91">
        <v>7.65</v>
      </c>
      <c r="K275" s="91">
        <v>7.9729999999999999</v>
      </c>
      <c r="L275" s="91">
        <v>7.657</v>
      </c>
      <c r="M275" s="91">
        <v>7.98</v>
      </c>
      <c r="N275" s="91">
        <v>7.633</v>
      </c>
      <c r="P275" s="90">
        <v>7.9550000000000001</v>
      </c>
      <c r="Q275" s="90">
        <v>7.6710000000000003</v>
      </c>
      <c r="R275" s="90">
        <v>7.9939999999999998</v>
      </c>
      <c r="S275" s="90">
        <v>7.6689999999999996</v>
      </c>
      <c r="T275" s="90">
        <v>7.9249999999999998</v>
      </c>
      <c r="U275" s="90">
        <v>7.6639999999999997</v>
      </c>
      <c r="V275" s="10"/>
      <c r="W275" s="89">
        <v>8.4540000000000006</v>
      </c>
      <c r="X275" s="10"/>
      <c r="Y275" s="10"/>
      <c r="Z275" s="5"/>
      <c r="AE275" s="1"/>
      <c r="AF275" s="13">
        <v>43242</v>
      </c>
      <c r="AG275" s="50">
        <f t="shared" si="209"/>
        <v>7.9633333333333338</v>
      </c>
      <c r="AH275" s="50">
        <f t="shared" si="203"/>
        <v>7.6866666666666674</v>
      </c>
      <c r="AI275" s="50">
        <f t="shared" si="210"/>
        <v>7.976</v>
      </c>
      <c r="AJ275" s="42">
        <f t="shared" si="204"/>
        <v>7.6466666666666674</v>
      </c>
      <c r="AK275" s="42">
        <f t="shared" si="205"/>
        <v>7.9579999999999993</v>
      </c>
      <c r="AL275" s="42">
        <f t="shared" si="206"/>
        <v>7.6679999999999993</v>
      </c>
      <c r="AM275" s="89">
        <v>8.4540000000000006</v>
      </c>
      <c r="BA275" s="7">
        <f t="shared" si="207"/>
        <v>7.9657777777777774</v>
      </c>
      <c r="BB275" s="7">
        <f t="shared" si="208"/>
        <v>7.6671111111111099</v>
      </c>
      <c r="BC275" s="89">
        <v>8.4540000000000006</v>
      </c>
    </row>
    <row r="276" spans="1:55" ht="15.5" x14ac:dyDescent="0.35">
      <c r="A276" s="13">
        <v>43248</v>
      </c>
      <c r="B276" s="91">
        <v>8.3879999999999999</v>
      </c>
      <c r="C276" s="91">
        <v>8.1999999999999993</v>
      </c>
      <c r="D276" s="91">
        <v>8.41</v>
      </c>
      <c r="E276" s="91">
        <v>8.2509999999999994</v>
      </c>
      <c r="F276" s="91">
        <v>8.4009999999999998</v>
      </c>
      <c r="G276" s="92">
        <v>8.1210000000000004</v>
      </c>
      <c r="I276" s="91">
        <v>8.43</v>
      </c>
      <c r="J276" s="91">
        <v>8.2260000000000009</v>
      </c>
      <c r="K276" s="91">
        <v>8.4209999999999994</v>
      </c>
      <c r="L276" s="91">
        <v>8.27</v>
      </c>
      <c r="M276" s="91">
        <v>8.4160000000000004</v>
      </c>
      <c r="N276" s="91">
        <v>8.2279999999999998</v>
      </c>
      <c r="P276" s="90">
        <v>8.2690000000000001</v>
      </c>
      <c r="Q276" s="90">
        <v>8.3719999999999999</v>
      </c>
      <c r="R276" s="90">
        <v>8.4179999999999993</v>
      </c>
      <c r="S276" s="90">
        <v>8.3870000000000005</v>
      </c>
      <c r="T276" s="90">
        <v>8.3800000000000008</v>
      </c>
      <c r="U276" s="90">
        <v>8.3840000000000003</v>
      </c>
      <c r="V276" s="10"/>
      <c r="W276" s="89">
        <v>8.5359999999999996</v>
      </c>
      <c r="X276" s="10"/>
      <c r="Y276" s="10"/>
      <c r="Z276" s="5"/>
      <c r="AE276" s="1"/>
      <c r="AF276" s="13">
        <v>43248</v>
      </c>
      <c r="AG276" s="50">
        <f t="shared" si="209"/>
        <v>8.3996666666666666</v>
      </c>
      <c r="AH276" s="50">
        <f t="shared" si="203"/>
        <v>8.190666666666667</v>
      </c>
      <c r="AI276" s="50">
        <f t="shared" si="210"/>
        <v>8.4223333333333326</v>
      </c>
      <c r="AJ276" s="42">
        <f t="shared" si="204"/>
        <v>8.2413333333333352</v>
      </c>
      <c r="AK276" s="42">
        <f t="shared" si="205"/>
        <v>8.3556666666666661</v>
      </c>
      <c r="AL276" s="42">
        <f t="shared" si="206"/>
        <v>8.3810000000000002</v>
      </c>
      <c r="AM276" s="89">
        <v>8.5359999999999996</v>
      </c>
      <c r="BA276" s="7">
        <f t="shared" si="207"/>
        <v>8.3925555555555551</v>
      </c>
      <c r="BB276" s="7">
        <f t="shared" si="208"/>
        <v>8.270999999999999</v>
      </c>
      <c r="BC276" s="89">
        <v>8.5359999999999996</v>
      </c>
    </row>
    <row r="277" spans="1:55" ht="15.5" x14ac:dyDescent="0.35">
      <c r="A277" s="13"/>
      <c r="H277" s="9"/>
      <c r="O277" s="10"/>
      <c r="V277" s="10"/>
      <c r="X277" s="10"/>
      <c r="Y277" s="10"/>
      <c r="Z277" s="5"/>
      <c r="AE277" s="1"/>
      <c r="AG277" s="10"/>
      <c r="AH277" s="10"/>
      <c r="AI277" s="10"/>
    </row>
    <row r="278" spans="1:55" ht="15.5" x14ac:dyDescent="0.35">
      <c r="A278" s="13"/>
      <c r="H278" s="9"/>
      <c r="O278" s="10"/>
      <c r="V278" s="10"/>
      <c r="AE278" s="1"/>
      <c r="AG278" s="10"/>
      <c r="AH278" s="10"/>
      <c r="AI278" s="10"/>
    </row>
    <row r="279" spans="1:55" ht="15.5" x14ac:dyDescent="0.35">
      <c r="A279" s="13"/>
      <c r="B279" s="5"/>
      <c r="D279" s="9"/>
      <c r="F279" s="9"/>
      <c r="H279" s="9"/>
      <c r="I279" s="9"/>
      <c r="K279" s="5"/>
      <c r="M279" s="5"/>
      <c r="O279" s="5"/>
      <c r="AD279" s="5"/>
      <c r="AE279" s="9"/>
      <c r="AF279" s="5"/>
      <c r="AG279" s="5"/>
      <c r="AH279" s="5"/>
      <c r="AI279" s="5"/>
    </row>
    <row r="280" spans="1:55" ht="15.5" x14ac:dyDescent="0.35">
      <c r="A280" s="13"/>
      <c r="D280" s="9"/>
      <c r="F280" s="9"/>
      <c r="H280" s="9"/>
      <c r="I280" s="9"/>
      <c r="K280" s="10"/>
      <c r="L280" s="10"/>
      <c r="M280" s="10"/>
      <c r="O280" s="10"/>
      <c r="P280" s="10"/>
      <c r="R280" s="10"/>
      <c r="S280" s="10"/>
      <c r="T280" s="10"/>
      <c r="V280" s="10"/>
      <c r="AD280" s="5"/>
      <c r="AE280" s="9"/>
      <c r="AF280" s="5"/>
      <c r="AG280" s="5"/>
      <c r="AH280" s="5"/>
      <c r="AI280" s="5"/>
    </row>
    <row r="281" spans="1:55" ht="15.5" x14ac:dyDescent="0.35">
      <c r="A281" s="13"/>
      <c r="D281" s="9"/>
      <c r="E281" s="9"/>
      <c r="F281" s="9"/>
      <c r="H281" s="9"/>
      <c r="I281" s="9"/>
      <c r="K281" s="10"/>
      <c r="L281" s="10"/>
      <c r="M281" s="10"/>
      <c r="O281" s="10"/>
      <c r="P281" s="10"/>
      <c r="R281" s="10"/>
      <c r="S281" s="10"/>
      <c r="T281" s="10"/>
      <c r="AD281" s="5"/>
      <c r="AE281" s="9"/>
      <c r="AF281" s="5"/>
      <c r="AG281" s="5"/>
      <c r="AH281" s="5"/>
      <c r="AI281" s="5"/>
    </row>
    <row r="282" spans="1:55" ht="15.5" x14ac:dyDescent="0.35">
      <c r="A282" s="13"/>
      <c r="D282" s="9"/>
      <c r="E282" s="9"/>
      <c r="F282" s="9"/>
      <c r="H282" s="9"/>
      <c r="I282" s="9"/>
      <c r="K282" s="10"/>
      <c r="L282" s="10"/>
      <c r="M282" s="10"/>
      <c r="O282" s="10"/>
      <c r="P282" s="10"/>
      <c r="R282" s="10"/>
      <c r="S282" s="10"/>
      <c r="T282" s="10"/>
      <c r="AD282" s="5"/>
      <c r="AE282" s="9"/>
      <c r="AF282" s="5"/>
      <c r="AG282" s="10"/>
      <c r="AH282" s="10"/>
      <c r="AI282" s="10"/>
    </row>
    <row r="283" spans="1:55" ht="15.5" x14ac:dyDescent="0.35">
      <c r="A283" s="13"/>
      <c r="B283" s="5"/>
      <c r="D283" s="9"/>
      <c r="E283" s="9"/>
      <c r="F283" s="9"/>
      <c r="H283" s="9"/>
      <c r="I283" s="9"/>
      <c r="K283" s="5"/>
      <c r="L283" s="5"/>
      <c r="M283" s="5"/>
      <c r="O283" s="5"/>
      <c r="P283" s="5"/>
      <c r="R283" s="5"/>
      <c r="S283" s="5"/>
      <c r="T283" s="5"/>
      <c r="AD283" s="5"/>
      <c r="AE283" s="5"/>
      <c r="AF283" s="5"/>
      <c r="AG283" s="5"/>
      <c r="AH283" s="5"/>
      <c r="AI283" s="5"/>
    </row>
    <row r="284" spans="1:55" ht="15.5" x14ac:dyDescent="0.35">
      <c r="A284" s="13"/>
      <c r="C284" s="9"/>
      <c r="D284" s="9"/>
      <c r="E284" s="9"/>
      <c r="F284" s="9"/>
      <c r="G284" s="9"/>
      <c r="H284" s="9"/>
      <c r="I284" s="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AD284" s="5"/>
      <c r="AE284" s="5"/>
      <c r="AF284" s="5"/>
      <c r="AG284" s="5"/>
      <c r="AH284" s="5"/>
      <c r="AI284" s="5"/>
    </row>
    <row r="285" spans="1:55" ht="15.5" x14ac:dyDescent="0.35">
      <c r="A285" s="13"/>
      <c r="C285" s="9"/>
      <c r="D285" s="9"/>
      <c r="E285" s="9"/>
      <c r="F285" s="9"/>
      <c r="G285" s="9"/>
      <c r="H285" s="9"/>
      <c r="I285" s="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AD285" s="5"/>
      <c r="AE285" s="5"/>
      <c r="AF285" s="5"/>
      <c r="AG285" s="5"/>
      <c r="AH285" s="5"/>
      <c r="AI285" s="5"/>
    </row>
    <row r="286" spans="1:55" ht="15.5" x14ac:dyDescent="0.35">
      <c r="A286" s="13"/>
      <c r="C286" s="9"/>
      <c r="D286" s="9"/>
      <c r="E286" s="9"/>
      <c r="F286" s="9"/>
      <c r="G286" s="9"/>
      <c r="H286" s="9"/>
      <c r="I286" s="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AG286" s="5"/>
      <c r="AH286" s="5"/>
      <c r="AI286" s="5"/>
    </row>
    <row r="287" spans="1:55" ht="15.5" x14ac:dyDescent="0.35">
      <c r="A287" s="13"/>
      <c r="B287" s="5"/>
      <c r="C287" s="9"/>
      <c r="D287" s="9"/>
      <c r="E287" s="9"/>
      <c r="F287" s="9"/>
      <c r="G287" s="9"/>
      <c r="H287" s="9"/>
      <c r="I287" s="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AG287" s="5"/>
      <c r="AH287" s="5"/>
      <c r="AI287" s="5"/>
    </row>
    <row r="288" spans="1:55" ht="15.5" x14ac:dyDescent="0.35">
      <c r="A288" s="13"/>
      <c r="C288" s="9"/>
      <c r="D288" s="9"/>
      <c r="E288" s="9"/>
      <c r="F288" s="9"/>
      <c r="G288" s="9"/>
      <c r="H288" s="9"/>
      <c r="I288" s="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AG288" s="10"/>
      <c r="AH288" s="10"/>
      <c r="AI288" s="10"/>
    </row>
    <row r="289" spans="1:39" ht="15.5" x14ac:dyDescent="0.35">
      <c r="A289" s="13"/>
      <c r="C289" s="9"/>
      <c r="D289" s="9"/>
      <c r="E289" s="9"/>
      <c r="F289" s="9"/>
      <c r="G289" s="9"/>
      <c r="H289" s="9"/>
      <c r="I289" s="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AE289" s="13"/>
      <c r="AF289" s="9"/>
      <c r="AG289" s="5"/>
      <c r="AH289" s="5"/>
      <c r="AI289" s="5"/>
    </row>
    <row r="290" spans="1:39" ht="15.5" x14ac:dyDescent="0.35">
      <c r="A290" s="13"/>
      <c r="C290" s="9"/>
      <c r="D290" s="9"/>
      <c r="E290" s="9"/>
      <c r="F290" s="9"/>
      <c r="G290" s="9"/>
      <c r="H290" s="9"/>
      <c r="I290" s="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AE290" s="13"/>
      <c r="AF290" s="9"/>
      <c r="AG290" s="10"/>
      <c r="AH290" s="10"/>
      <c r="AI290" s="10"/>
    </row>
    <row r="291" spans="1:39" ht="15.5" x14ac:dyDescent="0.35">
      <c r="A291" s="13"/>
      <c r="C291" s="9"/>
      <c r="D291" s="9"/>
      <c r="E291" s="9"/>
      <c r="F291" s="9"/>
      <c r="G291" s="9"/>
      <c r="H291" s="9"/>
      <c r="I291" s="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AE291" s="13"/>
      <c r="AF291" s="9"/>
      <c r="AG291" s="5"/>
      <c r="AH291" s="5"/>
      <c r="AI291" s="5"/>
    </row>
    <row r="292" spans="1:39" ht="15.5" x14ac:dyDescent="0.35">
      <c r="A292" s="13"/>
      <c r="C292" s="9"/>
      <c r="D292" s="9"/>
      <c r="E292" s="9"/>
      <c r="F292" s="9"/>
      <c r="G292" s="9"/>
      <c r="H292" s="9"/>
      <c r="I292" s="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AE292" s="13"/>
      <c r="AF292" s="9"/>
      <c r="AG292" s="5"/>
      <c r="AH292" s="5"/>
      <c r="AI292" s="5"/>
    </row>
    <row r="293" spans="1:39" ht="15.5" x14ac:dyDescent="0.35">
      <c r="A293" s="13"/>
      <c r="C293" s="9"/>
      <c r="D293" s="9"/>
      <c r="E293" s="9"/>
      <c r="F293" s="9"/>
      <c r="G293" s="9"/>
      <c r="H293" s="9"/>
      <c r="I293" s="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E293" s="13"/>
      <c r="AF293" s="9"/>
      <c r="AH293" s="5"/>
      <c r="AI293" s="5"/>
    </row>
    <row r="294" spans="1:39" ht="15.5" x14ac:dyDescent="0.35">
      <c r="A294" s="13"/>
      <c r="C294" s="9"/>
      <c r="D294" s="9"/>
      <c r="E294" s="9"/>
      <c r="F294" s="9"/>
      <c r="G294" s="9"/>
      <c r="H294" s="9"/>
      <c r="I294" s="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E294" s="13"/>
      <c r="AF294" s="9"/>
      <c r="AH294" s="5"/>
      <c r="AI294" s="5"/>
    </row>
    <row r="295" spans="1:39" ht="15.5" x14ac:dyDescent="0.35">
      <c r="A295" s="13"/>
      <c r="B295" s="5"/>
      <c r="C295" s="9"/>
      <c r="D295" s="9"/>
      <c r="E295" s="9"/>
      <c r="F295" s="9"/>
      <c r="G295" s="9"/>
      <c r="H295" s="9"/>
      <c r="I295" s="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E295" s="13"/>
      <c r="AF295" s="9"/>
      <c r="AH295" s="5"/>
      <c r="AI295" s="5"/>
    </row>
    <row r="296" spans="1:39" ht="15.5" x14ac:dyDescent="0.35">
      <c r="A296" s="13"/>
      <c r="B296" s="5"/>
      <c r="C296" s="9"/>
      <c r="D296" s="9"/>
      <c r="E296" s="9"/>
      <c r="F296" s="9"/>
      <c r="G296" s="9"/>
      <c r="H296" s="9"/>
      <c r="I296" s="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E296" s="13"/>
      <c r="AF296" s="9"/>
      <c r="AH296" s="5"/>
      <c r="AI296" s="5"/>
    </row>
    <row r="297" spans="1:39" ht="15.5" x14ac:dyDescent="0.35">
      <c r="A297" s="13"/>
      <c r="B297" s="10"/>
      <c r="C297" s="9"/>
      <c r="D297" s="9"/>
      <c r="E297" s="9"/>
      <c r="F297" s="9"/>
      <c r="G297" s="9"/>
      <c r="H297" s="9"/>
      <c r="I297" s="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E297" s="13"/>
      <c r="AF297" s="9"/>
      <c r="AH297" s="5"/>
      <c r="AI297" s="5"/>
    </row>
    <row r="298" spans="1:39" ht="15.5" x14ac:dyDescent="0.35">
      <c r="A298" s="13"/>
      <c r="B298" s="5"/>
      <c r="C298" s="9"/>
      <c r="D298" s="9"/>
      <c r="E298" s="9"/>
      <c r="F298" s="9"/>
      <c r="G298" s="9"/>
      <c r="H298" s="9"/>
      <c r="I298" s="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E298" s="13"/>
      <c r="AF298" s="9"/>
      <c r="AH298" s="5"/>
      <c r="AI298" s="5"/>
    </row>
    <row r="299" spans="1:39" ht="15.5" x14ac:dyDescent="0.35">
      <c r="A299" t="s">
        <v>0</v>
      </c>
      <c r="B299" t="s">
        <v>141</v>
      </c>
      <c r="AE299" s="13"/>
      <c r="AF299" s="9"/>
      <c r="AH299" s="5"/>
      <c r="AI299" s="5"/>
    </row>
    <row r="300" spans="1:39" ht="15.5" x14ac:dyDescent="0.35">
      <c r="B300" t="s">
        <v>136</v>
      </c>
      <c r="I300" t="s">
        <v>134</v>
      </c>
      <c r="P300" t="s">
        <v>135</v>
      </c>
      <c r="AE300" s="13"/>
      <c r="AF300" s="9"/>
      <c r="AG300" s="5"/>
      <c r="AH300" s="5"/>
      <c r="AI300" s="5"/>
    </row>
    <row r="301" spans="1:39" ht="15.5" x14ac:dyDescent="0.35">
      <c r="B301" s="9" t="s">
        <v>128</v>
      </c>
      <c r="C301" s="9" t="s">
        <v>129</v>
      </c>
      <c r="D301" s="9" t="s">
        <v>130</v>
      </c>
      <c r="E301" s="9" t="s">
        <v>131</v>
      </c>
      <c r="F301" s="9" t="s">
        <v>132</v>
      </c>
      <c r="G301" s="9" t="s">
        <v>133</v>
      </c>
      <c r="I301" s="9" t="s">
        <v>128</v>
      </c>
      <c r="J301" s="9" t="s">
        <v>129</v>
      </c>
      <c r="K301" s="9" t="s">
        <v>130</v>
      </c>
      <c r="L301" s="9" t="s">
        <v>131</v>
      </c>
      <c r="M301" s="9" t="s">
        <v>132</v>
      </c>
      <c r="N301" s="9" t="s">
        <v>133</v>
      </c>
      <c r="P301" s="9" t="s">
        <v>128</v>
      </c>
      <c r="Q301" s="9" t="s">
        <v>129</v>
      </c>
      <c r="R301" s="9" t="s">
        <v>130</v>
      </c>
      <c r="S301" s="9" t="s">
        <v>131</v>
      </c>
      <c r="T301" s="9" t="s">
        <v>132</v>
      </c>
      <c r="U301" s="9" t="s">
        <v>133</v>
      </c>
      <c r="W301" s="9"/>
      <c r="X301" s="9"/>
      <c r="Z301" s="9"/>
      <c r="AE301" s="13"/>
      <c r="AF301" s="10"/>
      <c r="AG301" s="5" t="s">
        <v>535</v>
      </c>
      <c r="AH301" s="5" t="s">
        <v>537</v>
      </c>
      <c r="AI301" s="10" t="s">
        <v>533</v>
      </c>
      <c r="AJ301" s="10"/>
      <c r="AL301" s="10"/>
      <c r="AM301" s="10"/>
    </row>
    <row r="302" spans="1:39" ht="15.5" x14ac:dyDescent="0.35">
      <c r="A302" s="13">
        <v>42433</v>
      </c>
      <c r="B302" s="5">
        <v>64</v>
      </c>
      <c r="C302" s="5"/>
      <c r="D302" s="9"/>
      <c r="E302" s="9"/>
      <c r="F302" s="5">
        <v>65</v>
      </c>
      <c r="G302" s="5"/>
      <c r="H302" s="9"/>
      <c r="I302" s="5">
        <v>65</v>
      </c>
      <c r="J302" s="5"/>
      <c r="K302" s="5">
        <v>65</v>
      </c>
      <c r="L302" s="5"/>
      <c r="M302" s="5">
        <v>65</v>
      </c>
      <c r="N302" s="5"/>
      <c r="P302" s="5">
        <v>63</v>
      </c>
      <c r="Q302" s="5"/>
      <c r="T302" s="5">
        <v>63</v>
      </c>
      <c r="U302" s="5"/>
      <c r="V302" s="13">
        <v>42433</v>
      </c>
      <c r="W302" s="8">
        <f>AVERAGE(B302:U302)</f>
        <v>64.285714285714292</v>
      </c>
      <c r="X302" s="5"/>
      <c r="Y302" s="5"/>
      <c r="AF302" s="13">
        <v>42433</v>
      </c>
      <c r="AG302" s="14">
        <f>AVERAGE(B302,D302,F302)</f>
        <v>64.5</v>
      </c>
      <c r="AH302" s="14">
        <f t="shared" ref="AH302:AH310" si="211">AVERAGE(I302,K302,M302)</f>
        <v>65</v>
      </c>
      <c r="AI302" s="8">
        <f t="shared" ref="AI302:AI311" si="212">AVERAGE(P302,R302,T302)</f>
        <v>63</v>
      </c>
      <c r="AJ302" s="42"/>
      <c r="AL302" s="42"/>
    </row>
    <row r="303" spans="1:39" ht="15.5" x14ac:dyDescent="0.35">
      <c r="A303" s="13">
        <v>42440</v>
      </c>
      <c r="B303" s="5">
        <v>38</v>
      </c>
      <c r="C303" s="5"/>
      <c r="F303" s="5">
        <v>35</v>
      </c>
      <c r="G303" s="5"/>
      <c r="H303" s="9"/>
      <c r="I303" s="5">
        <v>36</v>
      </c>
      <c r="J303" s="5"/>
      <c r="K303" s="5">
        <v>34</v>
      </c>
      <c r="L303" s="5"/>
      <c r="M303" s="5">
        <v>34</v>
      </c>
      <c r="N303" s="5"/>
      <c r="P303" s="5">
        <v>35</v>
      </c>
      <c r="Q303" s="5"/>
      <c r="T303" s="5">
        <v>35</v>
      </c>
      <c r="U303" s="5"/>
      <c r="V303" s="13">
        <v>42440</v>
      </c>
      <c r="W303" s="8">
        <f t="shared" ref="W303:W311" si="213">AVERAGE(B303:U303)</f>
        <v>35.285714285714285</v>
      </c>
      <c r="X303" s="5"/>
      <c r="Y303" s="5"/>
      <c r="Z303" s="5"/>
      <c r="AF303" s="13">
        <v>42440</v>
      </c>
      <c r="AG303" s="14">
        <f t="shared" ref="AG303:AG310" si="214">AVERAGE(B303,D303,F303)</f>
        <v>36.5</v>
      </c>
      <c r="AH303" s="14">
        <f t="shared" si="211"/>
        <v>34.666666666666664</v>
      </c>
      <c r="AI303" s="8">
        <f t="shared" si="212"/>
        <v>35</v>
      </c>
      <c r="AJ303" s="42"/>
      <c r="AL303" s="42"/>
    </row>
    <row r="304" spans="1:39" ht="15.5" x14ac:dyDescent="0.35">
      <c r="A304" s="13">
        <v>42447</v>
      </c>
      <c r="B304" s="10">
        <v>85</v>
      </c>
      <c r="C304" s="5"/>
      <c r="D304" s="9"/>
      <c r="E304" s="9"/>
      <c r="F304" s="10">
        <v>84</v>
      </c>
      <c r="G304" s="5"/>
      <c r="H304" s="9"/>
      <c r="I304" s="10">
        <v>86</v>
      </c>
      <c r="J304" s="5"/>
      <c r="K304" s="10">
        <v>85</v>
      </c>
      <c r="L304" s="5"/>
      <c r="M304" s="10">
        <v>85</v>
      </c>
      <c r="N304" s="5"/>
      <c r="P304" s="10">
        <v>83</v>
      </c>
      <c r="Q304" s="5"/>
      <c r="T304" s="10">
        <v>83</v>
      </c>
      <c r="U304" s="5"/>
      <c r="V304" s="13">
        <v>42447</v>
      </c>
      <c r="W304" s="8">
        <f t="shared" si="213"/>
        <v>84.428571428571431</v>
      </c>
      <c r="X304" s="10"/>
      <c r="Y304" s="10"/>
      <c r="Z304" s="5"/>
      <c r="AF304" s="13">
        <v>42447</v>
      </c>
      <c r="AG304" s="14">
        <f t="shared" si="214"/>
        <v>84.5</v>
      </c>
      <c r="AH304" s="14">
        <f t="shared" si="211"/>
        <v>85.333333333333329</v>
      </c>
      <c r="AI304" s="8">
        <f t="shared" si="212"/>
        <v>83</v>
      </c>
      <c r="AJ304" s="42"/>
      <c r="AL304" s="42"/>
    </row>
    <row r="305" spans="1:38" ht="15.5" x14ac:dyDescent="0.35">
      <c r="A305" s="13">
        <v>42454</v>
      </c>
      <c r="B305" s="5">
        <v>63</v>
      </c>
      <c r="C305" s="5"/>
      <c r="D305" s="9"/>
      <c r="E305" s="9"/>
      <c r="F305" s="5">
        <v>63</v>
      </c>
      <c r="G305" s="5"/>
      <c r="H305" s="9"/>
      <c r="I305" s="5">
        <v>64</v>
      </c>
      <c r="J305" s="5"/>
      <c r="K305" s="5"/>
      <c r="L305" s="5"/>
      <c r="M305" s="5">
        <v>61</v>
      </c>
      <c r="N305" s="5"/>
      <c r="P305" s="5">
        <v>62</v>
      </c>
      <c r="Q305" s="5"/>
      <c r="T305" s="5">
        <v>64</v>
      </c>
      <c r="U305" s="5"/>
      <c r="V305" s="13">
        <v>42454</v>
      </c>
      <c r="W305" s="8">
        <f t="shared" si="213"/>
        <v>62.833333333333336</v>
      </c>
      <c r="X305" s="5"/>
      <c r="Y305" s="5"/>
      <c r="Z305" s="5"/>
      <c r="AF305" s="13">
        <v>42454</v>
      </c>
      <c r="AG305" s="14">
        <f t="shared" si="214"/>
        <v>63</v>
      </c>
      <c r="AH305" s="14">
        <f t="shared" si="211"/>
        <v>62.5</v>
      </c>
      <c r="AI305" s="8">
        <f t="shared" si="212"/>
        <v>63</v>
      </c>
      <c r="AJ305" s="42"/>
      <c r="AL305" s="42"/>
    </row>
    <row r="306" spans="1:38" ht="15.5" x14ac:dyDescent="0.35">
      <c r="A306" s="13">
        <v>42461</v>
      </c>
      <c r="B306" s="10">
        <v>73</v>
      </c>
      <c r="C306" s="5"/>
      <c r="D306" s="10"/>
      <c r="E306" s="10"/>
      <c r="F306" s="10">
        <v>76</v>
      </c>
      <c r="G306" s="5"/>
      <c r="H306" s="9"/>
      <c r="I306" s="10">
        <v>75</v>
      </c>
      <c r="J306" s="5"/>
      <c r="K306" s="10">
        <v>75</v>
      </c>
      <c r="L306" s="5"/>
      <c r="M306" s="10">
        <v>75</v>
      </c>
      <c r="N306" s="5"/>
      <c r="P306" s="10">
        <v>76</v>
      </c>
      <c r="Q306" s="5"/>
      <c r="R306" s="10"/>
      <c r="S306" s="10"/>
      <c r="T306" s="10">
        <v>76</v>
      </c>
      <c r="U306" s="5"/>
      <c r="V306" s="13">
        <v>42461</v>
      </c>
      <c r="W306" s="8">
        <f t="shared" si="213"/>
        <v>75.142857142857139</v>
      </c>
      <c r="X306" s="10"/>
      <c r="Y306" s="10"/>
      <c r="Z306" s="5"/>
      <c r="AF306" s="13">
        <v>42461</v>
      </c>
      <c r="AG306" s="14">
        <f t="shared" si="214"/>
        <v>74.5</v>
      </c>
      <c r="AH306" s="14">
        <f t="shared" si="211"/>
        <v>75</v>
      </c>
      <c r="AI306" s="8">
        <f t="shared" si="212"/>
        <v>76</v>
      </c>
      <c r="AJ306" s="42"/>
      <c r="AL306" s="42"/>
    </row>
    <row r="307" spans="1:38" ht="15.5" x14ac:dyDescent="0.35">
      <c r="A307" s="13">
        <v>42468</v>
      </c>
      <c r="B307" s="10">
        <v>67</v>
      </c>
      <c r="C307" s="5"/>
      <c r="D307" s="10">
        <v>70</v>
      </c>
      <c r="E307" s="10"/>
      <c r="F307" s="10">
        <v>67</v>
      </c>
      <c r="G307" s="5"/>
      <c r="H307" s="9"/>
      <c r="I307" s="10">
        <v>70</v>
      </c>
      <c r="J307" s="5"/>
      <c r="K307" s="10">
        <v>70</v>
      </c>
      <c r="L307" s="5"/>
      <c r="M307" s="10">
        <v>73</v>
      </c>
      <c r="N307" s="5"/>
      <c r="P307" s="10">
        <v>68</v>
      </c>
      <c r="Q307" s="5"/>
      <c r="R307" s="10">
        <v>71</v>
      </c>
      <c r="S307" s="10"/>
      <c r="T307" s="10">
        <v>71</v>
      </c>
      <c r="U307" s="5"/>
      <c r="V307" s="13">
        <v>42468</v>
      </c>
      <c r="W307" s="8">
        <f t="shared" si="213"/>
        <v>69.666666666666671</v>
      </c>
      <c r="X307" s="10"/>
      <c r="Y307" s="10"/>
      <c r="Z307" s="5"/>
      <c r="AF307" s="13">
        <v>42468</v>
      </c>
      <c r="AG307" s="14">
        <f t="shared" si="214"/>
        <v>68</v>
      </c>
      <c r="AH307" s="14">
        <f t="shared" si="211"/>
        <v>71</v>
      </c>
      <c r="AI307" s="8">
        <f t="shared" si="212"/>
        <v>70</v>
      </c>
      <c r="AJ307" s="42"/>
      <c r="AL307" s="42"/>
    </row>
    <row r="308" spans="1:38" ht="15.5" x14ac:dyDescent="0.35">
      <c r="A308" s="13">
        <v>42475</v>
      </c>
      <c r="B308" s="10">
        <v>80</v>
      </c>
      <c r="C308" s="5"/>
      <c r="D308" s="10">
        <v>82</v>
      </c>
      <c r="E308" s="10"/>
      <c r="F308" s="10">
        <v>82</v>
      </c>
      <c r="G308" s="5"/>
      <c r="H308" s="9"/>
      <c r="I308" s="10">
        <v>80</v>
      </c>
      <c r="J308" s="5"/>
      <c r="K308" s="10">
        <v>81</v>
      </c>
      <c r="L308" s="5"/>
      <c r="M308" s="10">
        <v>81</v>
      </c>
      <c r="N308" s="5"/>
      <c r="P308" s="10">
        <v>78</v>
      </c>
      <c r="Q308" s="5"/>
      <c r="R308" s="10"/>
      <c r="S308" s="10"/>
      <c r="T308" s="10">
        <v>78</v>
      </c>
      <c r="U308" s="5"/>
      <c r="V308" s="13">
        <v>42475</v>
      </c>
      <c r="W308" s="8">
        <f t="shared" si="213"/>
        <v>80.25</v>
      </c>
      <c r="X308" s="10"/>
      <c r="Y308" s="10"/>
      <c r="Z308" s="5"/>
      <c r="AF308" s="13">
        <v>42475</v>
      </c>
      <c r="AG308" s="14">
        <f t="shared" si="214"/>
        <v>81.333333333333329</v>
      </c>
      <c r="AH308" s="14">
        <f t="shared" si="211"/>
        <v>80.666666666666671</v>
      </c>
      <c r="AI308" s="8">
        <f t="shared" si="212"/>
        <v>78</v>
      </c>
      <c r="AJ308" s="42"/>
      <c r="AL308" s="42"/>
    </row>
    <row r="309" spans="1:38" x14ac:dyDescent="0.35">
      <c r="A309" s="2">
        <v>42482</v>
      </c>
      <c r="B309" s="10">
        <v>93</v>
      </c>
      <c r="C309" s="5"/>
      <c r="F309" s="10">
        <v>90</v>
      </c>
      <c r="G309" s="5"/>
      <c r="I309" s="10">
        <v>90</v>
      </c>
      <c r="J309" s="5"/>
      <c r="L309" s="5"/>
      <c r="M309" s="10">
        <v>92</v>
      </c>
      <c r="N309" s="5"/>
      <c r="P309" s="10">
        <v>90</v>
      </c>
      <c r="Q309" s="5"/>
      <c r="T309" s="10">
        <v>90</v>
      </c>
      <c r="U309" s="5"/>
      <c r="V309" s="2">
        <v>42482</v>
      </c>
      <c r="W309" s="8">
        <f t="shared" si="213"/>
        <v>90.833333333333329</v>
      </c>
      <c r="AF309" s="13">
        <v>42482</v>
      </c>
      <c r="AG309" s="14">
        <f t="shared" si="214"/>
        <v>91.5</v>
      </c>
      <c r="AH309" s="14">
        <f t="shared" si="211"/>
        <v>91</v>
      </c>
      <c r="AI309" s="8">
        <f t="shared" si="212"/>
        <v>90</v>
      </c>
      <c r="AJ309" s="42"/>
      <c r="AL309" s="42"/>
    </row>
    <row r="310" spans="1:38" x14ac:dyDescent="0.35">
      <c r="A310" s="2">
        <v>42489</v>
      </c>
      <c r="B310">
        <v>67</v>
      </c>
      <c r="C310" s="5"/>
      <c r="D310">
        <v>67</v>
      </c>
      <c r="F310">
        <v>64</v>
      </c>
      <c r="G310" s="5"/>
      <c r="I310">
        <v>65</v>
      </c>
      <c r="J310" s="5"/>
      <c r="K310">
        <v>64</v>
      </c>
      <c r="L310" s="5"/>
      <c r="M310">
        <v>66</v>
      </c>
      <c r="N310" s="5"/>
      <c r="P310">
        <v>65</v>
      </c>
      <c r="Q310" s="5"/>
      <c r="R310">
        <v>64</v>
      </c>
      <c r="T310">
        <v>65</v>
      </c>
      <c r="U310" s="5"/>
      <c r="V310" s="2">
        <v>42489</v>
      </c>
      <c r="W310" s="8">
        <f t="shared" si="213"/>
        <v>65.222222222222229</v>
      </c>
      <c r="AF310" s="13">
        <v>42489</v>
      </c>
      <c r="AG310" s="14">
        <f t="shared" si="214"/>
        <v>66</v>
      </c>
      <c r="AH310" s="14">
        <f t="shared" si="211"/>
        <v>65</v>
      </c>
      <c r="AI310" s="8">
        <f t="shared" si="212"/>
        <v>64.666666666666671</v>
      </c>
      <c r="AJ310" s="42"/>
      <c r="AL310" s="42"/>
    </row>
    <row r="311" spans="1:38" x14ac:dyDescent="0.35">
      <c r="A311" s="2">
        <v>42494</v>
      </c>
      <c r="B311" s="10"/>
      <c r="F311" s="10"/>
      <c r="I311" s="10"/>
      <c r="M311" s="10"/>
      <c r="P311" s="10">
        <v>72</v>
      </c>
      <c r="Q311" s="5"/>
      <c r="T311" s="10"/>
      <c r="V311" s="2">
        <v>42494</v>
      </c>
      <c r="W311" s="8">
        <f t="shared" si="213"/>
        <v>72</v>
      </c>
      <c r="AF311" s="13">
        <v>42494</v>
      </c>
      <c r="AG311" s="14"/>
      <c r="AH311" s="14"/>
      <c r="AI311" s="8">
        <f t="shared" si="212"/>
        <v>72</v>
      </c>
      <c r="AJ311" s="42"/>
      <c r="AL311" s="42"/>
    </row>
    <row r="312" spans="1:38" x14ac:dyDescent="0.35">
      <c r="A312" s="2">
        <v>42503</v>
      </c>
      <c r="B312" s="10"/>
      <c r="F312" s="10"/>
      <c r="I312" s="10"/>
      <c r="M312" s="10"/>
      <c r="P312" s="10"/>
      <c r="T312" s="10"/>
      <c r="V312" s="2">
        <v>42503</v>
      </c>
      <c r="W312" s="8"/>
      <c r="AF312" s="13">
        <v>42503</v>
      </c>
      <c r="AG312" s="14"/>
      <c r="AH312" s="14"/>
      <c r="AI312" s="8"/>
      <c r="AJ312" s="42"/>
      <c r="AL312" s="42"/>
    </row>
    <row r="313" spans="1:38" x14ac:dyDescent="0.35">
      <c r="A313" s="2"/>
      <c r="B313" s="10"/>
      <c r="F313" s="10"/>
      <c r="I313" s="10"/>
      <c r="M313" s="10"/>
      <c r="P313" s="10"/>
      <c r="T313" s="10"/>
      <c r="V313" s="2"/>
      <c r="W313" s="8"/>
      <c r="AF313" s="13"/>
      <c r="AG313" s="14"/>
      <c r="AH313" s="14"/>
      <c r="AI313" s="8"/>
      <c r="AJ313" s="42"/>
      <c r="AL313" s="42"/>
    </row>
    <row r="314" spans="1:38" x14ac:dyDescent="0.35">
      <c r="A314" s="2"/>
      <c r="B314" s="10"/>
      <c r="F314" s="10"/>
      <c r="I314" s="10"/>
      <c r="M314" s="10"/>
      <c r="P314" s="10"/>
      <c r="T314" s="10"/>
      <c r="V314" s="2"/>
      <c r="W314" s="8"/>
      <c r="AF314" s="13"/>
      <c r="AG314" s="14"/>
      <c r="AH314" s="14"/>
      <c r="AI314" s="8"/>
      <c r="AJ314" s="42"/>
      <c r="AL314" s="42"/>
    </row>
    <row r="315" spans="1:38" x14ac:dyDescent="0.35">
      <c r="A315" s="2">
        <v>42797</v>
      </c>
      <c r="B315">
        <v>41</v>
      </c>
      <c r="F315">
        <v>42</v>
      </c>
      <c r="I315">
        <v>40</v>
      </c>
      <c r="M315">
        <v>40</v>
      </c>
      <c r="P315">
        <v>40</v>
      </c>
      <c r="T315">
        <v>40</v>
      </c>
      <c r="V315" s="2">
        <v>42797</v>
      </c>
      <c r="W315" s="8">
        <f t="shared" ref="W315:W341" si="215">AVERAGE(B315:U315)</f>
        <v>40.5</v>
      </c>
      <c r="AF315" s="13"/>
      <c r="AG315" s="14"/>
      <c r="AH315" s="14"/>
      <c r="AI315" s="8"/>
      <c r="AJ315" s="42"/>
      <c r="AL315" s="42"/>
    </row>
    <row r="316" spans="1:38" x14ac:dyDescent="0.35">
      <c r="A316" s="2">
        <v>42804</v>
      </c>
      <c r="B316">
        <v>53</v>
      </c>
      <c r="F316">
        <v>53</v>
      </c>
      <c r="I316">
        <v>54</v>
      </c>
      <c r="M316">
        <v>52</v>
      </c>
      <c r="P316" s="10">
        <v>53</v>
      </c>
      <c r="T316">
        <v>52</v>
      </c>
      <c r="V316" s="2">
        <v>42804</v>
      </c>
      <c r="W316" s="8">
        <f t="shared" si="215"/>
        <v>52.833333333333336</v>
      </c>
      <c r="AF316" s="2">
        <v>42797</v>
      </c>
      <c r="AG316" s="14">
        <f>AVERAGE(B315,D315,F315)</f>
        <v>41.5</v>
      </c>
      <c r="AH316" s="14">
        <f t="shared" ref="AH316:AH326" si="216">AVERAGE(I315,K315,M315)</f>
        <v>40</v>
      </c>
      <c r="AI316" s="8">
        <f t="shared" ref="AI316:AI326" si="217">AVERAGE(P315,R315,T315)</f>
        <v>40</v>
      </c>
      <c r="AJ316" s="42"/>
      <c r="AL316" s="42"/>
    </row>
    <row r="317" spans="1:38" x14ac:dyDescent="0.35">
      <c r="A317" s="2">
        <v>42811</v>
      </c>
      <c r="B317">
        <v>55</v>
      </c>
      <c r="F317">
        <v>54</v>
      </c>
      <c r="I317">
        <v>55</v>
      </c>
      <c r="M317">
        <v>55</v>
      </c>
      <c r="P317" s="10">
        <v>55</v>
      </c>
      <c r="T317">
        <v>55</v>
      </c>
      <c r="U317" s="10"/>
      <c r="V317" s="2">
        <v>42811</v>
      </c>
      <c r="W317" s="8">
        <f t="shared" si="215"/>
        <v>54.833333333333336</v>
      </c>
      <c r="AF317" s="2">
        <v>42804</v>
      </c>
      <c r="AG317" s="14">
        <f t="shared" ref="AG317:AG326" si="218">AVERAGE(B316,D316,F316)</f>
        <v>53</v>
      </c>
      <c r="AH317" s="14">
        <f t="shared" si="216"/>
        <v>53</v>
      </c>
      <c r="AI317" s="8">
        <f t="shared" si="217"/>
        <v>52.5</v>
      </c>
      <c r="AJ317" s="42"/>
      <c r="AL317" s="42"/>
    </row>
    <row r="318" spans="1:38" x14ac:dyDescent="0.35">
      <c r="A318" s="2">
        <v>42818</v>
      </c>
      <c r="B318">
        <v>83</v>
      </c>
      <c r="F318">
        <v>86</v>
      </c>
      <c r="I318" s="10">
        <v>84</v>
      </c>
      <c r="M318">
        <v>80</v>
      </c>
      <c r="P318" s="10">
        <v>89</v>
      </c>
      <c r="T318" s="10">
        <v>94</v>
      </c>
      <c r="V318" s="2">
        <v>42818</v>
      </c>
      <c r="W318" s="8">
        <f t="shared" si="215"/>
        <v>86</v>
      </c>
      <c r="AF318" s="2">
        <v>42811</v>
      </c>
      <c r="AG318" s="14">
        <f t="shared" si="218"/>
        <v>54.5</v>
      </c>
      <c r="AH318" s="14">
        <f t="shared" si="216"/>
        <v>55</v>
      </c>
      <c r="AI318" s="8">
        <f t="shared" si="217"/>
        <v>55</v>
      </c>
      <c r="AJ318" s="42"/>
      <c r="AL318" s="42"/>
    </row>
    <row r="319" spans="1:38" x14ac:dyDescent="0.35">
      <c r="A319" s="2">
        <v>42825</v>
      </c>
      <c r="B319">
        <v>92</v>
      </c>
      <c r="F319">
        <v>92</v>
      </c>
      <c r="I319">
        <v>93</v>
      </c>
      <c r="M319">
        <v>94</v>
      </c>
      <c r="P319" s="10">
        <v>92</v>
      </c>
      <c r="T319">
        <v>94</v>
      </c>
      <c r="V319" s="2">
        <v>42825</v>
      </c>
      <c r="W319" s="8">
        <f t="shared" si="215"/>
        <v>92.833333333333329</v>
      </c>
      <c r="AF319" s="2">
        <v>42818</v>
      </c>
      <c r="AG319" s="14">
        <f t="shared" si="218"/>
        <v>84.5</v>
      </c>
      <c r="AH319" s="14">
        <f t="shared" si="216"/>
        <v>82</v>
      </c>
      <c r="AI319" s="8">
        <f t="shared" si="217"/>
        <v>91.5</v>
      </c>
      <c r="AJ319" s="42"/>
      <c r="AL319" s="42"/>
    </row>
    <row r="320" spans="1:38" x14ac:dyDescent="0.35">
      <c r="A320" s="2">
        <v>42832</v>
      </c>
      <c r="B320">
        <v>130</v>
      </c>
      <c r="F320">
        <v>130</v>
      </c>
      <c r="I320">
        <v>127</v>
      </c>
      <c r="M320">
        <v>125</v>
      </c>
      <c r="P320">
        <v>135</v>
      </c>
      <c r="T320">
        <v>135</v>
      </c>
      <c r="V320" s="2">
        <v>42832</v>
      </c>
      <c r="W320" s="8">
        <f t="shared" si="215"/>
        <v>130.33333333333334</v>
      </c>
      <c r="AF320" s="2">
        <v>42825</v>
      </c>
      <c r="AG320" s="14">
        <f t="shared" si="218"/>
        <v>92</v>
      </c>
      <c r="AH320" s="14">
        <f t="shared" si="216"/>
        <v>93.5</v>
      </c>
      <c r="AI320" s="8">
        <f t="shared" si="217"/>
        <v>93</v>
      </c>
      <c r="AJ320" s="42"/>
      <c r="AL320" s="42"/>
    </row>
    <row r="321" spans="1:39" x14ac:dyDescent="0.35">
      <c r="A321" s="2">
        <v>42839</v>
      </c>
      <c r="B321">
        <v>78</v>
      </c>
      <c r="F321">
        <v>78</v>
      </c>
      <c r="K321">
        <v>80</v>
      </c>
      <c r="T321">
        <v>79</v>
      </c>
      <c r="V321" s="2">
        <v>42839</v>
      </c>
      <c r="W321" s="8">
        <f t="shared" si="215"/>
        <v>78.75</v>
      </c>
      <c r="AF321" s="2">
        <v>42832</v>
      </c>
      <c r="AG321" s="14">
        <f t="shared" si="218"/>
        <v>130</v>
      </c>
      <c r="AH321" s="14">
        <f t="shared" si="216"/>
        <v>126</v>
      </c>
      <c r="AI321" s="8">
        <f t="shared" si="217"/>
        <v>135</v>
      </c>
      <c r="AJ321" s="42"/>
      <c r="AL321" s="42"/>
    </row>
    <row r="322" spans="1:39" x14ac:dyDescent="0.35">
      <c r="A322" s="2">
        <v>42846</v>
      </c>
      <c r="B322">
        <v>75</v>
      </c>
      <c r="D322">
        <v>75</v>
      </c>
      <c r="F322">
        <v>76</v>
      </c>
      <c r="I322">
        <v>74</v>
      </c>
      <c r="K322">
        <v>75</v>
      </c>
      <c r="M322">
        <v>76</v>
      </c>
      <c r="P322">
        <v>74</v>
      </c>
      <c r="R322">
        <v>73</v>
      </c>
      <c r="T322">
        <v>74</v>
      </c>
      <c r="V322" s="2">
        <v>42846</v>
      </c>
      <c r="W322" s="8">
        <f t="shared" si="215"/>
        <v>74.666666666666671</v>
      </c>
      <c r="AF322" s="2">
        <v>42839</v>
      </c>
      <c r="AG322" s="14">
        <f t="shared" si="218"/>
        <v>78</v>
      </c>
      <c r="AH322" s="14">
        <f t="shared" si="216"/>
        <v>80</v>
      </c>
      <c r="AI322" s="8">
        <f t="shared" si="217"/>
        <v>79</v>
      </c>
      <c r="AJ322" s="42"/>
      <c r="AL322" s="42"/>
    </row>
    <row r="323" spans="1:39" x14ac:dyDescent="0.35">
      <c r="A323" s="2">
        <v>42853</v>
      </c>
      <c r="B323">
        <v>69</v>
      </c>
      <c r="F323">
        <v>70</v>
      </c>
      <c r="I323">
        <v>70</v>
      </c>
      <c r="M323">
        <v>70</v>
      </c>
      <c r="P323" s="10">
        <v>69</v>
      </c>
      <c r="T323">
        <v>69</v>
      </c>
      <c r="V323" s="2">
        <v>42853</v>
      </c>
      <c r="W323" s="8">
        <f t="shared" si="215"/>
        <v>69.5</v>
      </c>
      <c r="AF323" s="2">
        <v>42846</v>
      </c>
      <c r="AG323" s="14">
        <f t="shared" si="218"/>
        <v>75.333333333333329</v>
      </c>
      <c r="AH323" s="14">
        <f t="shared" si="216"/>
        <v>75</v>
      </c>
      <c r="AI323" s="8">
        <f t="shared" si="217"/>
        <v>73.666666666666671</v>
      </c>
      <c r="AJ323" s="42"/>
      <c r="AL323" s="42"/>
    </row>
    <row r="324" spans="1:39" x14ac:dyDescent="0.35">
      <c r="A324" s="2">
        <v>42860</v>
      </c>
      <c r="B324">
        <v>73</v>
      </c>
      <c r="F324">
        <v>72</v>
      </c>
      <c r="I324">
        <v>73</v>
      </c>
      <c r="K324">
        <v>73</v>
      </c>
      <c r="M324">
        <v>71</v>
      </c>
      <c r="P324" s="10"/>
      <c r="T324">
        <v>72</v>
      </c>
      <c r="V324" s="2">
        <v>42860</v>
      </c>
      <c r="W324" s="8">
        <f t="shared" si="215"/>
        <v>72.333333333333329</v>
      </c>
      <c r="AF324" s="2">
        <v>42853</v>
      </c>
      <c r="AG324" s="14">
        <f t="shared" si="218"/>
        <v>69.5</v>
      </c>
      <c r="AH324" s="14">
        <f t="shared" si="216"/>
        <v>70</v>
      </c>
      <c r="AI324" s="8">
        <f t="shared" si="217"/>
        <v>69</v>
      </c>
      <c r="AJ324" s="42"/>
      <c r="AL324" s="42"/>
    </row>
    <row r="325" spans="1:39" x14ac:dyDescent="0.35">
      <c r="A325" s="2">
        <v>42867</v>
      </c>
      <c r="B325">
        <v>80</v>
      </c>
      <c r="D325">
        <v>80</v>
      </c>
      <c r="F325" s="10"/>
      <c r="I325">
        <v>80</v>
      </c>
      <c r="M325">
        <v>81</v>
      </c>
      <c r="P325">
        <v>81</v>
      </c>
      <c r="T325">
        <v>80</v>
      </c>
      <c r="V325" s="2">
        <v>42867</v>
      </c>
      <c r="W325" s="8">
        <f t="shared" si="215"/>
        <v>80.333333333333329</v>
      </c>
      <c r="AF325" s="2">
        <v>42860</v>
      </c>
      <c r="AG325" s="14">
        <f t="shared" si="218"/>
        <v>72.5</v>
      </c>
      <c r="AH325" s="14">
        <f t="shared" si="216"/>
        <v>72.333333333333329</v>
      </c>
      <c r="AI325" s="8">
        <f t="shared" si="217"/>
        <v>72</v>
      </c>
      <c r="AJ325" s="42"/>
      <c r="AL325" s="42"/>
    </row>
    <row r="326" spans="1:39" x14ac:dyDescent="0.35">
      <c r="A326" s="2">
        <v>42874</v>
      </c>
      <c r="B326" s="10">
        <v>63</v>
      </c>
      <c r="C326" s="5"/>
      <c r="D326" s="10">
        <v>63</v>
      </c>
      <c r="E326" s="5"/>
      <c r="F326" s="10">
        <v>64</v>
      </c>
      <c r="I326" s="10">
        <v>61</v>
      </c>
      <c r="J326" s="5"/>
      <c r="K326" s="5">
        <v>63</v>
      </c>
      <c r="L326" s="5"/>
      <c r="M326" s="10">
        <v>64</v>
      </c>
      <c r="P326" s="10">
        <v>63</v>
      </c>
      <c r="Q326" s="5"/>
      <c r="R326" s="10">
        <v>65</v>
      </c>
      <c r="S326" s="5"/>
      <c r="T326" s="10">
        <v>62</v>
      </c>
      <c r="V326" s="2">
        <v>42874</v>
      </c>
      <c r="W326" s="8">
        <f t="shared" si="215"/>
        <v>63.111111111111114</v>
      </c>
      <c r="AF326" s="2">
        <v>42867</v>
      </c>
      <c r="AG326" s="14">
        <f t="shared" si="218"/>
        <v>80</v>
      </c>
      <c r="AH326" s="14">
        <f t="shared" si="216"/>
        <v>80.5</v>
      </c>
      <c r="AI326" s="8">
        <f t="shared" si="217"/>
        <v>80.5</v>
      </c>
      <c r="AJ326" s="42"/>
      <c r="AL326" s="42"/>
    </row>
    <row r="327" spans="1:39" x14ac:dyDescent="0.35">
      <c r="A327" s="2">
        <v>42879</v>
      </c>
      <c r="B327" s="10">
        <v>72</v>
      </c>
      <c r="C327" s="5"/>
      <c r="F327">
        <v>71</v>
      </c>
      <c r="G327" s="5"/>
      <c r="I327" s="5">
        <v>72</v>
      </c>
      <c r="J327" s="5"/>
      <c r="K327" s="5"/>
      <c r="L327" s="5"/>
      <c r="M327" s="10">
        <v>74</v>
      </c>
      <c r="P327" s="10">
        <v>71</v>
      </c>
      <c r="Q327" s="5"/>
      <c r="R327" s="5"/>
      <c r="T327" s="10">
        <v>71</v>
      </c>
      <c r="V327" s="2">
        <v>42879</v>
      </c>
      <c r="W327" s="8">
        <f t="shared" si="215"/>
        <v>71.833333333333329</v>
      </c>
      <c r="AF327" s="2">
        <v>42874</v>
      </c>
      <c r="AG327" s="14">
        <f t="shared" ref="AG327" si="219">AVERAGE(B326,D326,F326)</f>
        <v>63.333333333333336</v>
      </c>
      <c r="AH327" s="14">
        <f t="shared" ref="AH327" si="220">AVERAGE(I326,K326,M326)</f>
        <v>62.666666666666664</v>
      </c>
      <c r="AI327" s="8">
        <f t="shared" ref="AI327" si="221">AVERAGE(P326,R326,T326)</f>
        <v>63.333333333333336</v>
      </c>
      <c r="AJ327" s="42"/>
      <c r="AL327" s="42"/>
      <c r="AM327" s="10"/>
    </row>
    <row r="328" spans="1:39" x14ac:dyDescent="0.35">
      <c r="A328" s="2"/>
      <c r="B328" s="10"/>
      <c r="C328" s="5"/>
      <c r="G328" s="5"/>
      <c r="I328" s="5"/>
      <c r="J328" s="5"/>
      <c r="K328" s="5"/>
      <c r="L328" s="5"/>
      <c r="M328" s="10"/>
      <c r="P328" s="10"/>
      <c r="Q328" s="5"/>
      <c r="R328" s="5"/>
      <c r="T328" s="10"/>
      <c r="V328" s="2"/>
      <c r="W328" s="8"/>
      <c r="AF328" s="2"/>
      <c r="AG328" s="14"/>
      <c r="AH328" s="14"/>
      <c r="AI328" s="8"/>
      <c r="AJ328" s="42"/>
      <c r="AL328" s="42"/>
      <c r="AM328" s="10"/>
    </row>
    <row r="329" spans="1:39" x14ac:dyDescent="0.35">
      <c r="A329" s="2"/>
      <c r="B329" s="10"/>
      <c r="C329" s="5"/>
      <c r="G329" s="5"/>
      <c r="I329" s="5"/>
      <c r="J329" s="5"/>
      <c r="K329" s="5"/>
      <c r="L329" s="5"/>
      <c r="M329" s="10"/>
      <c r="P329" s="10"/>
      <c r="Q329" s="5"/>
      <c r="R329" s="5"/>
      <c r="T329" s="10"/>
      <c r="V329" s="2"/>
      <c r="W329" s="8"/>
      <c r="AF329" s="2">
        <v>42879</v>
      </c>
      <c r="AG329" s="14">
        <f>AVERAGE(B327,D327,F327)</f>
        <v>71.5</v>
      </c>
      <c r="AH329" s="14">
        <f>AVERAGE(I327,K327,M327)</f>
        <v>73</v>
      </c>
      <c r="AI329" s="8">
        <f>AVERAGE(P327,R327,T327)</f>
        <v>71</v>
      </c>
      <c r="AJ329" s="42"/>
      <c r="AL329" s="42"/>
      <c r="AM329" s="10"/>
    </row>
    <row r="330" spans="1:39" x14ac:dyDescent="0.35">
      <c r="A330" s="13">
        <v>43171</v>
      </c>
      <c r="B330" s="10"/>
      <c r="C330" s="5"/>
      <c r="G330" s="5"/>
      <c r="I330" s="5"/>
      <c r="J330" s="5"/>
      <c r="K330" s="5"/>
      <c r="L330" s="5"/>
      <c r="M330" s="10"/>
      <c r="P330">
        <v>55</v>
      </c>
      <c r="R330">
        <v>55</v>
      </c>
      <c r="T330">
        <v>55</v>
      </c>
      <c r="V330" s="13">
        <v>43171</v>
      </c>
      <c r="W330" s="8">
        <f t="shared" si="215"/>
        <v>55</v>
      </c>
      <c r="AF330" s="2"/>
      <c r="AG330" s="14"/>
      <c r="AH330" s="14"/>
      <c r="AI330" s="8"/>
      <c r="AJ330" s="42"/>
      <c r="AL330" s="42"/>
      <c r="AM330" s="10"/>
    </row>
    <row r="331" spans="1:39" x14ac:dyDescent="0.35">
      <c r="A331" s="13">
        <v>43178</v>
      </c>
      <c r="B331" s="10"/>
      <c r="C331" s="5"/>
      <c r="F331">
        <v>75</v>
      </c>
      <c r="G331" s="5"/>
      <c r="I331" s="5">
        <v>72</v>
      </c>
      <c r="J331" s="5"/>
      <c r="K331" s="5"/>
      <c r="L331" s="5"/>
      <c r="M331" s="10">
        <v>72</v>
      </c>
      <c r="P331" s="10"/>
      <c r="Q331" s="5"/>
      <c r="R331" s="5">
        <v>71</v>
      </c>
      <c r="T331" s="10"/>
      <c r="V331" s="13">
        <v>43178</v>
      </c>
      <c r="W331" s="8">
        <f t="shared" si="215"/>
        <v>72.5</v>
      </c>
      <c r="AJ331" s="42"/>
      <c r="AL331" s="42"/>
      <c r="AM331" s="10"/>
    </row>
    <row r="332" spans="1:39" x14ac:dyDescent="0.35">
      <c r="A332" s="13">
        <v>43185</v>
      </c>
      <c r="B332" s="10"/>
      <c r="C332" s="5"/>
      <c r="D332">
        <v>71</v>
      </c>
      <c r="G332" s="5"/>
      <c r="I332" s="5"/>
      <c r="J332" s="5"/>
      <c r="K332" s="5">
        <v>92</v>
      </c>
      <c r="L332" s="5"/>
      <c r="M332" s="10"/>
      <c r="P332" s="10"/>
      <c r="Q332" s="5"/>
      <c r="R332" s="5">
        <v>70</v>
      </c>
      <c r="T332" s="10"/>
      <c r="V332" s="13">
        <v>43185</v>
      </c>
      <c r="W332" s="8">
        <f t="shared" si="215"/>
        <v>77.666666666666671</v>
      </c>
      <c r="AF332" s="13">
        <v>43171</v>
      </c>
      <c r="AG332" s="14"/>
      <c r="AH332" s="14"/>
      <c r="AI332" s="8">
        <f t="shared" ref="AI332:AI343" si="222">AVERAGE(P330,R330,T330)</f>
        <v>55</v>
      </c>
      <c r="AJ332" s="42"/>
      <c r="AL332" s="42"/>
      <c r="AM332" s="10"/>
    </row>
    <row r="333" spans="1:39" x14ac:dyDescent="0.35">
      <c r="A333" s="13">
        <v>43193</v>
      </c>
      <c r="B333" s="10">
        <v>79</v>
      </c>
      <c r="C333" s="5"/>
      <c r="D333">
        <v>78</v>
      </c>
      <c r="F333">
        <v>79</v>
      </c>
      <c r="G333" s="5"/>
      <c r="I333" s="5">
        <v>77</v>
      </c>
      <c r="J333" s="5"/>
      <c r="K333" s="5">
        <v>78</v>
      </c>
      <c r="L333" s="5"/>
      <c r="M333" s="10">
        <v>77</v>
      </c>
      <c r="P333" s="10">
        <v>79</v>
      </c>
      <c r="Q333" s="5"/>
      <c r="R333" s="10">
        <v>78</v>
      </c>
      <c r="T333" s="10">
        <v>79</v>
      </c>
      <c r="V333" s="13">
        <v>43193</v>
      </c>
      <c r="W333" s="8">
        <f t="shared" si="215"/>
        <v>78.222222222222229</v>
      </c>
      <c r="AF333" s="13">
        <v>43178</v>
      </c>
      <c r="AG333" s="14">
        <f t="shared" ref="AG333:AG343" si="223">AVERAGE(B331,D331,F331)</f>
        <v>75</v>
      </c>
      <c r="AH333" s="14">
        <f t="shared" ref="AH333:AH343" si="224">AVERAGE(I331,K331,M331)</f>
        <v>72</v>
      </c>
      <c r="AI333" s="8">
        <f t="shared" si="222"/>
        <v>71</v>
      </c>
      <c r="AJ333" s="42"/>
      <c r="AL333" s="42"/>
      <c r="AM333" s="10"/>
    </row>
    <row r="334" spans="1:39" x14ac:dyDescent="0.35">
      <c r="A334" s="13">
        <v>43199</v>
      </c>
      <c r="B334" s="10">
        <v>80</v>
      </c>
      <c r="C334" s="5"/>
      <c r="F334">
        <v>80</v>
      </c>
      <c r="G334" s="5"/>
      <c r="I334" s="5">
        <v>82</v>
      </c>
      <c r="J334" s="5"/>
      <c r="K334" s="5"/>
      <c r="L334" s="5"/>
      <c r="M334" s="10"/>
      <c r="P334" s="10">
        <v>71</v>
      </c>
      <c r="Q334" s="5"/>
      <c r="R334" s="5"/>
      <c r="T334" s="10"/>
      <c r="V334" s="13">
        <v>43199</v>
      </c>
      <c r="W334" s="8">
        <f t="shared" si="215"/>
        <v>78.25</v>
      </c>
      <c r="AF334" s="13">
        <v>43185</v>
      </c>
      <c r="AG334" s="14">
        <f t="shared" si="223"/>
        <v>71</v>
      </c>
      <c r="AH334" s="14">
        <f t="shared" si="224"/>
        <v>92</v>
      </c>
      <c r="AI334" s="8">
        <f t="shared" si="222"/>
        <v>70</v>
      </c>
      <c r="AJ334" s="42"/>
      <c r="AL334" s="42"/>
      <c r="AM334" s="10"/>
    </row>
    <row r="335" spans="1:39" x14ac:dyDescent="0.35">
      <c r="A335" s="13">
        <v>43206</v>
      </c>
      <c r="B335" s="10"/>
      <c r="C335" s="5"/>
      <c r="F335">
        <v>51</v>
      </c>
      <c r="G335" s="5"/>
      <c r="I335" s="5"/>
      <c r="J335" s="5"/>
      <c r="L335" s="5"/>
      <c r="M335" s="10">
        <v>53</v>
      </c>
      <c r="P335" s="10"/>
      <c r="Q335" s="5"/>
      <c r="R335" s="5"/>
      <c r="T335" s="10">
        <v>55</v>
      </c>
      <c r="V335" s="13">
        <v>43206</v>
      </c>
      <c r="W335" s="8">
        <f t="shared" si="215"/>
        <v>53</v>
      </c>
      <c r="AF335" s="13">
        <v>43193</v>
      </c>
      <c r="AG335" s="14">
        <f t="shared" si="223"/>
        <v>78.666666666666671</v>
      </c>
      <c r="AH335" s="14">
        <f t="shared" si="224"/>
        <v>77.333333333333329</v>
      </c>
      <c r="AI335" s="8">
        <f t="shared" si="222"/>
        <v>78.666666666666671</v>
      </c>
      <c r="AJ335" s="42"/>
      <c r="AL335" s="42"/>
      <c r="AM335" s="10"/>
    </row>
    <row r="336" spans="1:39" x14ac:dyDescent="0.35">
      <c r="A336" s="13">
        <v>43213</v>
      </c>
      <c r="B336" s="10"/>
      <c r="C336" s="5"/>
      <c r="D336">
        <v>120</v>
      </c>
      <c r="G336" s="5"/>
      <c r="I336" s="5"/>
      <c r="J336" s="5"/>
      <c r="K336" s="5">
        <v>90</v>
      </c>
      <c r="L336" s="5"/>
      <c r="M336" s="10"/>
      <c r="P336" s="10"/>
      <c r="Q336" s="5"/>
      <c r="R336" s="5"/>
      <c r="T336" s="10">
        <v>100</v>
      </c>
      <c r="V336" s="13">
        <v>43213</v>
      </c>
      <c r="W336" s="8">
        <f t="shared" si="215"/>
        <v>103.33333333333333</v>
      </c>
      <c r="AF336" s="13">
        <v>43199</v>
      </c>
      <c r="AG336" s="14">
        <f t="shared" si="223"/>
        <v>80</v>
      </c>
      <c r="AH336" s="14">
        <f t="shared" si="224"/>
        <v>82</v>
      </c>
      <c r="AI336" s="8">
        <f t="shared" si="222"/>
        <v>71</v>
      </c>
      <c r="AJ336" s="42"/>
      <c r="AL336" s="42"/>
      <c r="AM336" s="10"/>
    </row>
    <row r="337" spans="1:39" x14ac:dyDescent="0.35">
      <c r="A337" s="2">
        <v>43222</v>
      </c>
      <c r="B337" s="10">
        <v>45</v>
      </c>
      <c r="C337" s="5"/>
      <c r="D337">
        <v>44</v>
      </c>
      <c r="F337">
        <v>44</v>
      </c>
      <c r="G337" s="5"/>
      <c r="I337" s="5">
        <v>46</v>
      </c>
      <c r="J337" s="5"/>
      <c r="K337" s="10">
        <v>44</v>
      </c>
      <c r="L337" s="5"/>
      <c r="M337" s="10">
        <v>45</v>
      </c>
      <c r="P337" s="10">
        <v>46</v>
      </c>
      <c r="Q337" s="5"/>
      <c r="R337" s="5">
        <v>45</v>
      </c>
      <c r="T337" s="10">
        <v>45</v>
      </c>
      <c r="V337" s="2">
        <v>43222</v>
      </c>
      <c r="W337" s="8">
        <f t="shared" si="215"/>
        <v>44.888888888888886</v>
      </c>
      <c r="AF337" s="13">
        <v>43206</v>
      </c>
      <c r="AG337" s="14">
        <f t="shared" si="223"/>
        <v>51</v>
      </c>
      <c r="AH337" s="14">
        <f t="shared" si="224"/>
        <v>53</v>
      </c>
      <c r="AI337" s="8">
        <f t="shared" si="222"/>
        <v>55</v>
      </c>
      <c r="AJ337" s="42"/>
      <c r="AL337" s="42"/>
      <c r="AM337" s="10"/>
    </row>
    <row r="338" spans="1:39" x14ac:dyDescent="0.35">
      <c r="A338" s="2">
        <v>43227</v>
      </c>
      <c r="B338" s="10"/>
      <c r="C338" s="5"/>
      <c r="F338">
        <v>53</v>
      </c>
      <c r="G338" s="5"/>
      <c r="I338" s="5"/>
      <c r="J338" s="5"/>
      <c r="K338" s="10">
        <v>103</v>
      </c>
      <c r="L338" s="5"/>
      <c r="M338" s="10">
        <v>62</v>
      </c>
      <c r="P338" s="10"/>
      <c r="Q338" s="5"/>
      <c r="R338" s="5">
        <v>67</v>
      </c>
      <c r="T338" s="10">
        <v>60</v>
      </c>
      <c r="V338" s="2">
        <v>43227</v>
      </c>
      <c r="W338" s="8">
        <f t="shared" si="215"/>
        <v>69</v>
      </c>
      <c r="AF338" s="13">
        <v>43213</v>
      </c>
      <c r="AG338" s="14">
        <f t="shared" si="223"/>
        <v>120</v>
      </c>
      <c r="AH338" s="14">
        <f t="shared" si="224"/>
        <v>90</v>
      </c>
      <c r="AI338" s="8">
        <f t="shared" si="222"/>
        <v>100</v>
      </c>
      <c r="AJ338" s="42"/>
      <c r="AL338" s="42"/>
      <c r="AM338" s="10"/>
    </row>
    <row r="339" spans="1:39" x14ac:dyDescent="0.35">
      <c r="A339" s="13">
        <v>43234</v>
      </c>
      <c r="B339" s="10">
        <v>99</v>
      </c>
      <c r="C339" s="5"/>
      <c r="D339">
        <v>97</v>
      </c>
      <c r="F339">
        <v>96</v>
      </c>
      <c r="G339" s="5"/>
      <c r="I339" s="5">
        <v>105</v>
      </c>
      <c r="J339" s="5"/>
      <c r="K339" s="5"/>
      <c r="L339" s="5"/>
      <c r="M339" s="10">
        <v>105</v>
      </c>
      <c r="P339" s="10">
        <v>97</v>
      </c>
      <c r="Q339" s="5"/>
      <c r="R339" s="5">
        <v>99</v>
      </c>
      <c r="T339" s="10">
        <v>97</v>
      </c>
      <c r="V339" s="13">
        <v>43234</v>
      </c>
      <c r="W339" s="8">
        <f t="shared" si="215"/>
        <v>99.375</v>
      </c>
      <c r="AF339" s="2">
        <v>43222</v>
      </c>
      <c r="AG339" s="14">
        <f t="shared" si="223"/>
        <v>44.333333333333336</v>
      </c>
      <c r="AH339" s="14">
        <f t="shared" si="224"/>
        <v>45</v>
      </c>
      <c r="AI339" s="8">
        <f t="shared" si="222"/>
        <v>45.333333333333336</v>
      </c>
      <c r="AJ339" s="42"/>
      <c r="AL339" s="42"/>
      <c r="AM339" s="10"/>
    </row>
    <row r="340" spans="1:39" x14ac:dyDescent="0.35">
      <c r="A340" s="13">
        <v>43242</v>
      </c>
      <c r="B340" s="10">
        <v>136</v>
      </c>
      <c r="C340" s="5"/>
      <c r="D340">
        <v>134</v>
      </c>
      <c r="F340">
        <v>136</v>
      </c>
      <c r="G340" s="5"/>
      <c r="I340" s="5">
        <v>131</v>
      </c>
      <c r="J340" s="5"/>
      <c r="K340" s="5"/>
      <c r="L340" s="5"/>
      <c r="M340" s="10">
        <v>125</v>
      </c>
      <c r="P340" s="10">
        <v>110</v>
      </c>
      <c r="Q340" s="5"/>
      <c r="R340" s="5"/>
      <c r="T340" s="10">
        <v>117</v>
      </c>
      <c r="V340" s="13">
        <v>43242</v>
      </c>
      <c r="W340" s="8">
        <f t="shared" si="215"/>
        <v>127</v>
      </c>
      <c r="AF340" s="2">
        <v>43227</v>
      </c>
      <c r="AG340" s="14">
        <f t="shared" si="223"/>
        <v>53</v>
      </c>
      <c r="AH340" s="14">
        <f t="shared" si="224"/>
        <v>82.5</v>
      </c>
      <c r="AI340" s="8">
        <f t="shared" si="222"/>
        <v>63.5</v>
      </c>
      <c r="AJ340" s="42"/>
      <c r="AL340" s="42"/>
      <c r="AM340" s="10"/>
    </row>
    <row r="341" spans="1:39" x14ac:dyDescent="0.35">
      <c r="A341" s="13">
        <v>43248</v>
      </c>
      <c r="B341" s="10"/>
      <c r="C341" s="5"/>
      <c r="D341">
        <v>80</v>
      </c>
      <c r="G341" s="5"/>
      <c r="I341" s="5"/>
      <c r="J341" s="5"/>
      <c r="K341" s="5">
        <v>80</v>
      </c>
      <c r="L341" s="5"/>
      <c r="M341" s="10"/>
      <c r="P341" s="10"/>
      <c r="Q341" s="5"/>
      <c r="R341" s="10">
        <v>70</v>
      </c>
      <c r="T341" s="10"/>
      <c r="V341" s="13">
        <v>43248</v>
      </c>
      <c r="W341" s="8">
        <f t="shared" si="215"/>
        <v>76.666666666666671</v>
      </c>
      <c r="AF341" s="13">
        <v>43234</v>
      </c>
      <c r="AG341" s="14">
        <f t="shared" si="223"/>
        <v>97.333333333333329</v>
      </c>
      <c r="AH341" s="14">
        <f t="shared" si="224"/>
        <v>105</v>
      </c>
      <c r="AI341" s="8">
        <f t="shared" si="222"/>
        <v>97.666666666666671</v>
      </c>
      <c r="AJ341" s="42"/>
      <c r="AL341" s="42"/>
      <c r="AM341" s="10"/>
    </row>
    <row r="342" spans="1:39" x14ac:dyDescent="0.35">
      <c r="V342" s="2"/>
      <c r="W342" s="8"/>
      <c r="AF342" s="13">
        <v>43242</v>
      </c>
      <c r="AG342" s="14">
        <f t="shared" si="223"/>
        <v>135.33333333333334</v>
      </c>
      <c r="AH342" s="14">
        <f t="shared" si="224"/>
        <v>128</v>
      </c>
      <c r="AI342" s="8">
        <f t="shared" si="222"/>
        <v>113.5</v>
      </c>
      <c r="AJ342" s="42"/>
      <c r="AL342" s="42"/>
      <c r="AM342" s="10"/>
    </row>
    <row r="343" spans="1:39" x14ac:dyDescent="0.35">
      <c r="A343" s="2"/>
      <c r="B343" s="10"/>
      <c r="C343" s="5"/>
      <c r="G343" s="5"/>
      <c r="I343" s="5"/>
      <c r="J343" s="5"/>
      <c r="K343" s="5"/>
      <c r="L343" s="5"/>
      <c r="M343" s="10"/>
      <c r="P343" s="10"/>
      <c r="Q343" s="5"/>
      <c r="R343" s="5"/>
      <c r="T343" s="10"/>
      <c r="V343" s="2"/>
      <c r="W343" s="8"/>
      <c r="AF343" s="13">
        <v>43248</v>
      </c>
      <c r="AG343" s="14">
        <f t="shared" si="223"/>
        <v>80</v>
      </c>
      <c r="AH343" s="14">
        <f t="shared" si="224"/>
        <v>80</v>
      </c>
      <c r="AI343" s="8">
        <f t="shared" si="222"/>
        <v>70</v>
      </c>
      <c r="AJ343" s="42"/>
      <c r="AL343" s="42"/>
      <c r="AM343" s="10"/>
    </row>
    <row r="344" spans="1:39" x14ac:dyDescent="0.35">
      <c r="A344" s="2"/>
      <c r="F344" s="5"/>
      <c r="L344" s="5"/>
      <c r="T344" s="10"/>
      <c r="AG344" s="14"/>
      <c r="AH344" s="14"/>
      <c r="AI344" s="8"/>
      <c r="AJ344" s="42"/>
      <c r="AL344" s="42"/>
      <c r="AM344" s="10"/>
    </row>
    <row r="345" spans="1:39" x14ac:dyDescent="0.35">
      <c r="AG345" s="50"/>
      <c r="AH345" s="50"/>
      <c r="AI345" s="42"/>
    </row>
    <row r="350" spans="1:39" x14ac:dyDescent="0.35">
      <c r="K350" s="5"/>
    </row>
    <row r="351" spans="1:39" x14ac:dyDescent="0.35">
      <c r="AE351" s="5"/>
      <c r="AF351" s="5"/>
      <c r="AG351" s="5"/>
      <c r="AH351" s="5"/>
      <c r="AI351" s="5"/>
    </row>
    <row r="352" spans="1:39" x14ac:dyDescent="0.35">
      <c r="AE352" s="5"/>
      <c r="AF352" s="5"/>
      <c r="AG352" s="5"/>
      <c r="AH352" s="5"/>
      <c r="AI352" s="5"/>
    </row>
    <row r="353" spans="1:35" x14ac:dyDescent="0.35">
      <c r="AE353" s="5"/>
      <c r="AF353" s="5"/>
      <c r="AG353" s="5"/>
      <c r="AH353" s="5"/>
      <c r="AI353" s="5"/>
    </row>
    <row r="354" spans="1:35" x14ac:dyDescent="0.35">
      <c r="AE354" s="5"/>
      <c r="AF354" s="5"/>
      <c r="AG354" s="5"/>
      <c r="AH354" s="5"/>
      <c r="AI354" s="5"/>
    </row>
    <row r="355" spans="1:35" x14ac:dyDescent="0.35">
      <c r="AE355" s="5"/>
      <c r="AF355" s="5"/>
      <c r="AG355" s="5"/>
      <c r="AH355" s="5"/>
      <c r="AI355" s="5"/>
    </row>
    <row r="356" spans="1:35" x14ac:dyDescent="0.35">
      <c r="AE356" s="5"/>
      <c r="AF356" s="5"/>
      <c r="AG356" s="5"/>
      <c r="AH356" s="5"/>
      <c r="AI356" s="5"/>
    </row>
    <row r="357" spans="1:35" x14ac:dyDescent="0.35">
      <c r="AE357" s="5"/>
      <c r="AF357" s="5"/>
      <c r="AG357" s="5"/>
      <c r="AH357" s="5"/>
      <c r="AI357" s="5"/>
    </row>
    <row r="358" spans="1:35" x14ac:dyDescent="0.35">
      <c r="AE358" s="5"/>
      <c r="AF358" s="5"/>
      <c r="AG358" s="5"/>
      <c r="AH358" s="5"/>
      <c r="AI358" s="5"/>
    </row>
    <row r="359" spans="1:35" x14ac:dyDescent="0.35">
      <c r="AE359" s="5"/>
      <c r="AF359" s="5"/>
      <c r="AG359" s="5"/>
      <c r="AH359" s="5"/>
      <c r="AI359" s="5"/>
    </row>
    <row r="360" spans="1:35" x14ac:dyDescent="0.35">
      <c r="AE360" s="5"/>
      <c r="AF360" s="5"/>
      <c r="AG360" s="5"/>
      <c r="AH360" s="5"/>
      <c r="AI360" s="5"/>
    </row>
    <row r="361" spans="1:35" x14ac:dyDescent="0.35">
      <c r="AE361" s="5"/>
      <c r="AF361" s="5"/>
      <c r="AG361" s="5"/>
      <c r="AH361" s="5"/>
      <c r="AI361" s="5"/>
    </row>
    <row r="362" spans="1:35" x14ac:dyDescent="0.35">
      <c r="AE362" s="5"/>
      <c r="AF362" s="5"/>
      <c r="AG362" s="5"/>
      <c r="AH362" s="5"/>
      <c r="AI362" s="5"/>
    </row>
    <row r="363" spans="1:35" x14ac:dyDescent="0.35">
      <c r="AE363" s="5"/>
      <c r="AF363" s="5"/>
      <c r="AG363" s="5"/>
      <c r="AH363" s="5"/>
      <c r="AI363" s="5"/>
    </row>
    <row r="364" spans="1:35" x14ac:dyDescent="0.35">
      <c r="AE364" s="5"/>
      <c r="AF364" s="5"/>
      <c r="AG364" s="5"/>
      <c r="AH364" s="5"/>
      <c r="AI364" s="5"/>
    </row>
    <row r="365" spans="1:35" x14ac:dyDescent="0.35">
      <c r="A365" t="s">
        <v>0</v>
      </c>
      <c r="B365" t="s">
        <v>164</v>
      </c>
      <c r="AE365" s="5"/>
      <c r="AF365" s="5"/>
      <c r="AG365" s="5"/>
      <c r="AH365" s="5"/>
      <c r="AI365" s="5"/>
    </row>
    <row r="366" spans="1:35" x14ac:dyDescent="0.35">
      <c r="B366" t="s">
        <v>136</v>
      </c>
      <c r="I366" t="s">
        <v>134</v>
      </c>
      <c r="P366" t="s">
        <v>135</v>
      </c>
      <c r="AE366" s="5"/>
      <c r="AF366" s="5"/>
      <c r="AG366" s="5"/>
      <c r="AH366" s="5"/>
      <c r="AI366" s="5"/>
    </row>
    <row r="367" spans="1:35" ht="15.5" x14ac:dyDescent="0.35">
      <c r="B367" s="9" t="s">
        <v>128</v>
      </c>
      <c r="C367" s="9" t="s">
        <v>129</v>
      </c>
      <c r="D367" s="9" t="s">
        <v>130</v>
      </c>
      <c r="E367" s="9" t="s">
        <v>131</v>
      </c>
      <c r="F367" s="9" t="s">
        <v>132</v>
      </c>
      <c r="G367" s="9" t="s">
        <v>133</v>
      </c>
      <c r="I367" s="9" t="s">
        <v>128</v>
      </c>
      <c r="J367" s="9" t="s">
        <v>129</v>
      </c>
      <c r="K367" s="9" t="s">
        <v>130</v>
      </c>
      <c r="L367" s="9" t="s">
        <v>131</v>
      </c>
      <c r="M367" s="9" t="s">
        <v>132</v>
      </c>
      <c r="N367" s="9" t="s">
        <v>133</v>
      </c>
      <c r="P367" s="9" t="s">
        <v>128</v>
      </c>
      <c r="Q367" s="9" t="s">
        <v>129</v>
      </c>
      <c r="R367" s="9" t="s">
        <v>130</v>
      </c>
      <c r="S367" s="9" t="s">
        <v>131</v>
      </c>
      <c r="T367" s="9" t="s">
        <v>132</v>
      </c>
      <c r="U367" s="9" t="s">
        <v>133</v>
      </c>
      <c r="X367" s="1"/>
      <c r="AE367" s="5"/>
      <c r="AF367" s="5"/>
      <c r="AG367" s="5"/>
      <c r="AH367" s="5"/>
      <c r="AI367" s="5"/>
    </row>
    <row r="368" spans="1:35" ht="15.5" x14ac:dyDescent="0.35">
      <c r="A368" s="13">
        <v>42433</v>
      </c>
      <c r="B368" s="5"/>
      <c r="C368" s="5">
        <v>1.2</v>
      </c>
      <c r="D368" s="9"/>
      <c r="E368" s="9">
        <v>2.9</v>
      </c>
      <c r="F368" s="5"/>
      <c r="G368" s="5">
        <v>1.1000000000000001</v>
      </c>
      <c r="H368" s="9"/>
      <c r="I368" s="5"/>
      <c r="J368" s="5">
        <v>2.7</v>
      </c>
      <c r="K368" s="5"/>
      <c r="L368" s="5"/>
      <c r="M368" s="5"/>
      <c r="N368" s="5">
        <v>1.7</v>
      </c>
      <c r="P368" s="5"/>
      <c r="Q368" s="5">
        <v>2</v>
      </c>
      <c r="T368" s="5"/>
      <c r="U368" s="5">
        <v>1.3</v>
      </c>
      <c r="X368" s="1"/>
      <c r="AE368" s="5"/>
      <c r="AF368" s="5"/>
      <c r="AG368" s="5"/>
      <c r="AH368" s="5"/>
      <c r="AI368" s="5"/>
    </row>
    <row r="369" spans="1:35" ht="15.5" x14ac:dyDescent="0.35">
      <c r="A369" s="13">
        <v>42440</v>
      </c>
      <c r="B369" s="5"/>
      <c r="C369" s="5">
        <v>1.6</v>
      </c>
      <c r="E369">
        <v>2.1</v>
      </c>
      <c r="F369" s="5"/>
      <c r="G369" s="5">
        <v>2</v>
      </c>
      <c r="H369" s="9"/>
      <c r="I369" s="5"/>
      <c r="J369" s="5">
        <v>1.6</v>
      </c>
      <c r="K369" s="5"/>
      <c r="L369" s="5"/>
      <c r="M369" s="5"/>
      <c r="N369" s="5">
        <v>1.6</v>
      </c>
      <c r="P369" s="5"/>
      <c r="Q369" s="5">
        <v>1.7</v>
      </c>
      <c r="T369" s="5"/>
      <c r="U369" s="5">
        <v>1.7</v>
      </c>
      <c r="X369" s="1"/>
      <c r="AE369" s="5"/>
      <c r="AF369" s="5"/>
      <c r="AG369" s="5"/>
      <c r="AH369" s="5"/>
      <c r="AI369" s="5"/>
    </row>
    <row r="370" spans="1:35" ht="15.5" x14ac:dyDescent="0.35">
      <c r="A370" s="13">
        <v>42447</v>
      </c>
      <c r="B370" s="10"/>
      <c r="C370" s="10">
        <v>2.5</v>
      </c>
      <c r="D370" s="9"/>
      <c r="E370" s="9"/>
      <c r="F370" s="10"/>
      <c r="G370" s="10">
        <v>1.6</v>
      </c>
      <c r="H370" s="9"/>
      <c r="I370" s="10"/>
      <c r="J370" s="10">
        <v>2.6</v>
      </c>
      <c r="K370" s="10"/>
      <c r="L370" s="10"/>
      <c r="M370" s="10"/>
      <c r="N370" s="10">
        <v>2.5</v>
      </c>
      <c r="P370" s="10"/>
      <c r="Q370" s="10">
        <v>1.7</v>
      </c>
      <c r="T370" s="10"/>
      <c r="U370" s="10">
        <v>1.2</v>
      </c>
      <c r="X370" s="1"/>
      <c r="AE370" s="5"/>
      <c r="AF370" s="5"/>
      <c r="AG370" s="5"/>
      <c r="AH370" s="5"/>
      <c r="AI370" s="5"/>
    </row>
    <row r="371" spans="1:35" ht="15.5" x14ac:dyDescent="0.35">
      <c r="A371" s="13">
        <v>42454</v>
      </c>
      <c r="B371" s="5"/>
      <c r="C371" s="10">
        <v>1.2</v>
      </c>
      <c r="D371" s="9"/>
      <c r="E371" s="9"/>
      <c r="F371" s="5"/>
      <c r="G371" s="10">
        <v>1.7</v>
      </c>
      <c r="H371" s="9"/>
      <c r="I371" s="5"/>
      <c r="J371" s="10">
        <v>1.9</v>
      </c>
      <c r="K371" s="5"/>
      <c r="L371" s="5"/>
      <c r="M371" s="5"/>
      <c r="N371" s="10">
        <v>1.8</v>
      </c>
      <c r="P371" s="5"/>
      <c r="Q371" s="10">
        <v>2</v>
      </c>
      <c r="T371" s="5"/>
      <c r="U371" s="10">
        <v>1.3</v>
      </c>
      <c r="X371" s="1"/>
      <c r="AE371" s="5"/>
      <c r="AF371" s="5"/>
      <c r="AG371" s="5"/>
      <c r="AH371" s="5"/>
      <c r="AI371" s="5"/>
    </row>
    <row r="372" spans="1:35" ht="15.5" x14ac:dyDescent="0.35">
      <c r="A372" s="13">
        <v>42461</v>
      </c>
      <c r="B372" s="10"/>
      <c r="C372" s="10">
        <v>1.9</v>
      </c>
      <c r="D372" s="10"/>
      <c r="E372" s="10">
        <v>2.9</v>
      </c>
      <c r="G372" s="10">
        <v>1.3</v>
      </c>
      <c r="H372" s="9"/>
      <c r="I372" s="10"/>
      <c r="J372" s="10">
        <v>2.2000000000000002</v>
      </c>
      <c r="K372" s="10"/>
      <c r="L372" s="10">
        <v>2.7</v>
      </c>
      <c r="N372" s="10">
        <v>2.5</v>
      </c>
      <c r="P372" s="10"/>
      <c r="Q372" s="10">
        <v>2.6</v>
      </c>
      <c r="R372" s="10"/>
      <c r="S372" s="10">
        <v>2.7</v>
      </c>
      <c r="T372" s="10"/>
      <c r="U372" s="10">
        <v>2.5</v>
      </c>
      <c r="X372" s="1"/>
      <c r="AE372" s="5"/>
      <c r="AF372" s="5"/>
      <c r="AG372" s="5"/>
      <c r="AH372" s="5"/>
      <c r="AI372" s="5"/>
    </row>
    <row r="373" spans="1:35" ht="15.5" x14ac:dyDescent="0.35">
      <c r="A373" s="13">
        <v>42468</v>
      </c>
      <c r="B373" s="10"/>
      <c r="C373">
        <v>1.6</v>
      </c>
      <c r="E373">
        <v>1.3</v>
      </c>
      <c r="G373">
        <v>2.8</v>
      </c>
      <c r="H373" s="9"/>
      <c r="I373" s="10"/>
      <c r="J373">
        <v>2.9</v>
      </c>
      <c r="L373">
        <v>2.7</v>
      </c>
      <c r="N373">
        <v>1.6</v>
      </c>
      <c r="P373" s="10"/>
      <c r="Q373">
        <v>1.3</v>
      </c>
      <c r="S373">
        <v>2.6</v>
      </c>
      <c r="U373">
        <v>1.8</v>
      </c>
      <c r="X373" s="1"/>
      <c r="AE373" s="5"/>
      <c r="AF373" s="5"/>
      <c r="AG373" s="5"/>
      <c r="AH373" s="5"/>
      <c r="AI373" s="5"/>
    </row>
    <row r="374" spans="1:35" ht="15.5" x14ac:dyDescent="0.35">
      <c r="A374" s="13">
        <v>42475</v>
      </c>
      <c r="B374" s="10"/>
      <c r="C374">
        <v>2</v>
      </c>
      <c r="E374">
        <v>2.9</v>
      </c>
      <c r="G374">
        <v>2.1</v>
      </c>
      <c r="H374" s="9"/>
      <c r="I374" s="10"/>
      <c r="J374">
        <v>2.4</v>
      </c>
      <c r="L374">
        <v>2.7</v>
      </c>
      <c r="N374">
        <v>1.3</v>
      </c>
      <c r="P374" s="10"/>
      <c r="Q374">
        <v>2.2000000000000002</v>
      </c>
      <c r="S374">
        <v>2.7</v>
      </c>
      <c r="U374">
        <v>1.3</v>
      </c>
      <c r="X374" s="1"/>
      <c r="AE374" s="5"/>
      <c r="AF374" s="5"/>
      <c r="AG374" s="5"/>
      <c r="AH374" s="5"/>
      <c r="AI374" s="5"/>
    </row>
    <row r="375" spans="1:35" ht="15.5" x14ac:dyDescent="0.35">
      <c r="A375" s="2">
        <v>42482</v>
      </c>
      <c r="C375">
        <v>2.2999999999999998</v>
      </c>
      <c r="E375">
        <v>2.8</v>
      </c>
      <c r="G375">
        <v>1.3</v>
      </c>
      <c r="J375">
        <v>2.2999999999999998</v>
      </c>
      <c r="L375">
        <v>3.2</v>
      </c>
      <c r="N375">
        <v>1.5</v>
      </c>
      <c r="Q375">
        <v>2.1</v>
      </c>
      <c r="S375">
        <v>2.7</v>
      </c>
      <c r="U375">
        <v>2.1</v>
      </c>
      <c r="X375" s="1"/>
      <c r="AE375" s="5"/>
      <c r="AF375" s="5"/>
      <c r="AG375" s="5"/>
      <c r="AH375" s="5"/>
      <c r="AI375" s="5"/>
    </row>
    <row r="376" spans="1:35" ht="15.5" x14ac:dyDescent="0.35">
      <c r="A376" s="2">
        <v>42489</v>
      </c>
      <c r="C376">
        <v>2</v>
      </c>
      <c r="E376">
        <v>2.7</v>
      </c>
      <c r="G376">
        <v>2.2999999999999998</v>
      </c>
      <c r="J376">
        <v>2.2000000000000002</v>
      </c>
      <c r="L376">
        <v>2.8</v>
      </c>
      <c r="N376">
        <v>2.4</v>
      </c>
      <c r="Q376">
        <v>2.5</v>
      </c>
      <c r="S376">
        <v>2.8</v>
      </c>
      <c r="U376">
        <v>2.5</v>
      </c>
      <c r="X376" s="1"/>
      <c r="AE376" s="5"/>
      <c r="AF376" s="5"/>
      <c r="AG376" s="5"/>
      <c r="AH376" s="5"/>
      <c r="AI376" s="5"/>
    </row>
    <row r="377" spans="1:35" ht="15.5" x14ac:dyDescent="0.35">
      <c r="A377" s="2">
        <v>42494</v>
      </c>
      <c r="C377">
        <v>2</v>
      </c>
      <c r="E377">
        <v>3.1</v>
      </c>
      <c r="G377">
        <v>1.8</v>
      </c>
      <c r="J377">
        <v>2.7</v>
      </c>
      <c r="L377">
        <v>2.8</v>
      </c>
      <c r="N377">
        <v>2.8</v>
      </c>
      <c r="Q377">
        <v>2</v>
      </c>
      <c r="S377">
        <v>2.7</v>
      </c>
      <c r="U377">
        <v>2.4</v>
      </c>
      <c r="X377" s="1"/>
      <c r="AE377" s="5"/>
      <c r="AF377" s="5"/>
      <c r="AG377" s="5"/>
      <c r="AH377" s="5"/>
      <c r="AI377" s="5"/>
    </row>
    <row r="378" spans="1:35" ht="15.5" x14ac:dyDescent="0.35">
      <c r="A378" s="2">
        <v>42503</v>
      </c>
      <c r="C378">
        <v>2.6</v>
      </c>
      <c r="E378">
        <v>3.1</v>
      </c>
      <c r="G378">
        <v>2.9</v>
      </c>
      <c r="J378">
        <v>2.8</v>
      </c>
      <c r="L378">
        <v>3</v>
      </c>
      <c r="N378">
        <v>2.7</v>
      </c>
      <c r="Q378">
        <v>2</v>
      </c>
      <c r="S378">
        <v>2.7</v>
      </c>
      <c r="U378">
        <v>2.5</v>
      </c>
      <c r="X378" s="1"/>
      <c r="AE378" s="5"/>
      <c r="AF378" s="5"/>
      <c r="AG378" s="5"/>
      <c r="AH378" s="5"/>
      <c r="AI378" s="5"/>
    </row>
    <row r="379" spans="1:35" ht="15.5" x14ac:dyDescent="0.35">
      <c r="X379" s="1"/>
      <c r="AE379" s="5"/>
      <c r="AF379" s="5"/>
      <c r="AG379" s="5"/>
      <c r="AH379" s="5"/>
      <c r="AI379" s="5"/>
    </row>
    <row r="380" spans="1:35" ht="15.5" x14ac:dyDescent="0.35">
      <c r="C380">
        <f>AVERAGE(C368:C378)</f>
        <v>1.9000000000000001</v>
      </c>
      <c r="E380" s="7">
        <f t="shared" ref="E380:U380" si="225">AVERAGE(E368:E378)</f>
        <v>2.6444444444444448</v>
      </c>
      <c r="G380">
        <f t="shared" si="225"/>
        <v>1.9</v>
      </c>
      <c r="J380" s="7">
        <f t="shared" si="225"/>
        <v>2.3909090909090911</v>
      </c>
      <c r="L380" s="7">
        <f t="shared" si="225"/>
        <v>2.842857142857143</v>
      </c>
      <c r="N380" s="7">
        <f t="shared" si="225"/>
        <v>2.0363636363636362</v>
      </c>
      <c r="Q380" s="7">
        <f t="shared" si="225"/>
        <v>2.0090909090909093</v>
      </c>
      <c r="S380">
        <f t="shared" si="225"/>
        <v>2.6999999999999997</v>
      </c>
      <c r="U380" s="7">
        <f t="shared" si="225"/>
        <v>1.8727272727272728</v>
      </c>
      <c r="X380" s="1"/>
      <c r="AE380" s="5"/>
      <c r="AF380" s="5"/>
      <c r="AG380" s="5"/>
      <c r="AH380" s="5"/>
      <c r="AI380" s="5"/>
    </row>
    <row r="381" spans="1:35" ht="15.5" x14ac:dyDescent="0.35">
      <c r="X381" s="1"/>
      <c r="AE381" s="5"/>
      <c r="AF381" s="5"/>
      <c r="AG381" s="5"/>
      <c r="AH381" s="5"/>
      <c r="AI381" s="5"/>
    </row>
    <row r="382" spans="1:35" ht="15.5" x14ac:dyDescent="0.35">
      <c r="X382" s="1"/>
      <c r="AE382" s="5"/>
      <c r="AF382" s="5"/>
      <c r="AG382" s="5"/>
      <c r="AH382" s="5"/>
      <c r="AI382" s="5"/>
    </row>
    <row r="383" spans="1:35" ht="15.5" x14ac:dyDescent="0.35">
      <c r="X383" s="1"/>
      <c r="AE383" s="5"/>
      <c r="AF383" s="5"/>
      <c r="AG383" s="5"/>
      <c r="AH383" s="5"/>
      <c r="AI383" s="5"/>
    </row>
    <row r="384" spans="1:35" x14ac:dyDescent="0.35">
      <c r="AE384" s="5"/>
      <c r="AF384" s="5"/>
      <c r="AG384" s="5"/>
      <c r="AH384" s="5"/>
      <c r="AI384" s="5"/>
    </row>
    <row r="385" spans="31:35" x14ac:dyDescent="0.35">
      <c r="AE385" s="5"/>
      <c r="AF385" s="5"/>
      <c r="AG385" s="5"/>
      <c r="AH385" s="5"/>
      <c r="AI385" s="5"/>
    </row>
    <row r="386" spans="31:35" x14ac:dyDescent="0.35">
      <c r="AE386" s="5"/>
      <c r="AF386" s="5"/>
      <c r="AG386" s="5"/>
      <c r="AH386" s="5"/>
      <c r="AI386" s="5"/>
    </row>
    <row r="387" spans="31:35" x14ac:dyDescent="0.35">
      <c r="AE387" s="5"/>
      <c r="AF387" s="5"/>
      <c r="AG387" s="5"/>
      <c r="AH387" s="5"/>
      <c r="AI387" s="5"/>
    </row>
    <row r="388" spans="31:35" x14ac:dyDescent="0.35">
      <c r="AE388" s="5"/>
      <c r="AF388" s="5"/>
      <c r="AG388" s="5"/>
      <c r="AH388" s="5"/>
      <c r="AI388" s="5"/>
    </row>
    <row r="389" spans="31:35" x14ac:dyDescent="0.35">
      <c r="AE389" s="5"/>
      <c r="AF389" s="5"/>
      <c r="AG389" s="5"/>
      <c r="AH389" s="5"/>
      <c r="AI389" s="5"/>
    </row>
    <row r="390" spans="31:35" x14ac:dyDescent="0.35">
      <c r="AE390" s="5"/>
      <c r="AF390" s="5"/>
      <c r="AG390" s="5"/>
      <c r="AH390" s="5"/>
      <c r="AI390" s="5"/>
    </row>
    <row r="391" spans="31:35" x14ac:dyDescent="0.35">
      <c r="AE391" s="5"/>
      <c r="AF391" s="5"/>
      <c r="AG391" s="5"/>
      <c r="AH391" s="5"/>
      <c r="AI391" s="5"/>
    </row>
    <row r="392" spans="31:35" x14ac:dyDescent="0.35">
      <c r="AE392" s="5"/>
      <c r="AF392" s="5"/>
      <c r="AG392" s="5"/>
      <c r="AH392" s="5"/>
      <c r="AI392" s="5"/>
    </row>
    <row r="393" spans="31:35" x14ac:dyDescent="0.35">
      <c r="AE393" s="5"/>
      <c r="AF393" s="5"/>
      <c r="AG393" s="5"/>
      <c r="AH393" s="5"/>
      <c r="AI393" s="5"/>
    </row>
    <row r="394" spans="31:35" x14ac:dyDescent="0.35">
      <c r="AE394" s="5"/>
      <c r="AF394" s="5"/>
      <c r="AG394" s="5"/>
      <c r="AH394" s="5"/>
      <c r="AI394" s="5"/>
    </row>
    <row r="395" spans="31:35" x14ac:dyDescent="0.35">
      <c r="AE395" s="5"/>
      <c r="AF395" s="5"/>
      <c r="AG395" s="5"/>
      <c r="AH395" s="5"/>
      <c r="AI395" s="5"/>
    </row>
    <row r="396" spans="31:35" x14ac:dyDescent="0.35">
      <c r="AE396" s="5"/>
      <c r="AF396" s="5"/>
      <c r="AG396" s="5"/>
      <c r="AH396" s="5"/>
      <c r="AI396" s="5"/>
    </row>
    <row r="397" spans="31:35" x14ac:dyDescent="0.35">
      <c r="AE397" s="5"/>
      <c r="AF397" s="5"/>
      <c r="AG397" s="5"/>
      <c r="AH397" s="5"/>
      <c r="AI397" s="5"/>
    </row>
    <row r="398" spans="31:35" x14ac:dyDescent="0.35">
      <c r="AE398" s="5"/>
      <c r="AF398" s="5"/>
      <c r="AG398" s="5"/>
      <c r="AH398" s="5"/>
      <c r="AI398" s="5"/>
    </row>
    <row r="399" spans="31:35" x14ac:dyDescent="0.35">
      <c r="AE399" s="5"/>
      <c r="AF399" s="5"/>
      <c r="AG399" s="5"/>
      <c r="AH399" s="5"/>
      <c r="AI399" s="5"/>
    </row>
    <row r="400" spans="31:35" x14ac:dyDescent="0.35">
      <c r="AE400" s="5"/>
      <c r="AF400" s="5"/>
      <c r="AG400" s="5"/>
      <c r="AH400" s="5"/>
      <c r="AI400" s="5"/>
    </row>
    <row r="401" spans="1:35" x14ac:dyDescent="0.35">
      <c r="AE401" s="5"/>
      <c r="AF401" s="5"/>
      <c r="AG401" s="5"/>
      <c r="AH401" s="5"/>
      <c r="AI401" s="5"/>
    </row>
    <row r="402" spans="1:35" x14ac:dyDescent="0.35">
      <c r="AE402" s="5"/>
      <c r="AF402" s="5"/>
      <c r="AG402" s="5"/>
      <c r="AH402" s="5"/>
      <c r="AI402" s="5"/>
    </row>
    <row r="403" spans="1:35" x14ac:dyDescent="0.35">
      <c r="A403" t="s">
        <v>937</v>
      </c>
      <c r="AE403" s="5"/>
      <c r="AF403" s="5"/>
      <c r="AG403" s="5"/>
      <c r="AH403" s="5"/>
      <c r="AI403" s="5"/>
    </row>
    <row r="404" spans="1:35" x14ac:dyDescent="0.35">
      <c r="AE404" s="5"/>
      <c r="AF404" s="5"/>
      <c r="AG404" s="5"/>
      <c r="AH404" s="5"/>
      <c r="AI404" s="5"/>
    </row>
    <row r="405" spans="1:35" x14ac:dyDescent="0.35">
      <c r="AE405" s="5"/>
      <c r="AF405" s="5"/>
      <c r="AG405" s="5"/>
      <c r="AH405" s="5"/>
      <c r="AI405" s="5"/>
    </row>
    <row r="406" spans="1:35" x14ac:dyDescent="0.35">
      <c r="A406" s="13">
        <v>42433</v>
      </c>
      <c r="B406" s="8">
        <v>3.7</v>
      </c>
      <c r="AE406" s="5"/>
      <c r="AF406" s="5"/>
      <c r="AG406" s="5"/>
      <c r="AH406" s="5"/>
      <c r="AI406" s="5"/>
    </row>
    <row r="407" spans="1:35" x14ac:dyDescent="0.35">
      <c r="A407" s="13">
        <v>42440</v>
      </c>
      <c r="B407" s="8">
        <v>1</v>
      </c>
      <c r="AE407" s="5"/>
      <c r="AF407" s="5"/>
      <c r="AG407" s="5"/>
      <c r="AH407" s="5"/>
      <c r="AI407" s="5"/>
    </row>
    <row r="408" spans="1:35" x14ac:dyDescent="0.35">
      <c r="A408" s="13">
        <v>42447</v>
      </c>
      <c r="B408" s="8">
        <v>1.48</v>
      </c>
      <c r="AE408" s="5"/>
      <c r="AF408" s="5"/>
      <c r="AG408" s="5"/>
      <c r="AH408" s="5"/>
      <c r="AI408" s="5"/>
    </row>
    <row r="409" spans="1:35" x14ac:dyDescent="0.35">
      <c r="A409" s="13">
        <v>42454</v>
      </c>
      <c r="B409" s="8">
        <v>9.25</v>
      </c>
      <c r="AE409" s="5"/>
      <c r="AF409" s="5"/>
      <c r="AG409" s="5"/>
      <c r="AH409" s="5"/>
      <c r="AI409" s="5"/>
    </row>
    <row r="410" spans="1:35" x14ac:dyDescent="0.35">
      <c r="A410" s="13">
        <v>42461</v>
      </c>
      <c r="B410" s="8">
        <v>23.257142857000002</v>
      </c>
      <c r="AE410" s="5"/>
      <c r="AF410" s="5"/>
      <c r="AG410" s="5"/>
      <c r="AH410" s="5"/>
      <c r="AI410" s="5"/>
    </row>
    <row r="411" spans="1:35" x14ac:dyDescent="0.35">
      <c r="A411" s="13">
        <v>42468</v>
      </c>
      <c r="B411" s="8">
        <v>20.350000000000001</v>
      </c>
      <c r="AE411" s="5"/>
      <c r="AF411" s="5"/>
      <c r="AG411" s="5"/>
      <c r="AH411" s="5"/>
      <c r="AI411" s="5"/>
    </row>
    <row r="412" spans="1:35" x14ac:dyDescent="0.35">
      <c r="A412" s="13">
        <v>42475</v>
      </c>
      <c r="B412" s="8">
        <v>18.088888889</v>
      </c>
      <c r="AE412" s="5"/>
      <c r="AF412" s="5"/>
      <c r="AG412" s="5"/>
      <c r="AH412" s="5"/>
      <c r="AI412" s="5"/>
    </row>
    <row r="413" spans="1:35" x14ac:dyDescent="0.35">
      <c r="A413" s="2">
        <v>42482</v>
      </c>
      <c r="B413" s="8">
        <v>42.755555555999997</v>
      </c>
      <c r="AE413" s="5"/>
      <c r="AF413" s="5"/>
      <c r="AG413" s="5"/>
      <c r="AH413" s="5"/>
      <c r="AI413" s="5"/>
    </row>
    <row r="414" spans="1:35" x14ac:dyDescent="0.35">
      <c r="A414" s="2">
        <v>42489</v>
      </c>
      <c r="B414" s="8">
        <v>21.142857143000001</v>
      </c>
      <c r="AE414" s="5"/>
      <c r="AF414" s="5"/>
      <c r="AG414" s="5"/>
      <c r="AH414" s="5"/>
      <c r="AI414" s="5"/>
    </row>
    <row r="415" spans="1:35" x14ac:dyDescent="0.35">
      <c r="A415" s="2">
        <v>42494</v>
      </c>
      <c r="B415" s="8">
        <v>44.4</v>
      </c>
      <c r="AE415" s="5"/>
      <c r="AF415" s="5"/>
      <c r="AG415" s="5"/>
      <c r="AH415" s="5"/>
      <c r="AI415" s="5"/>
    </row>
    <row r="416" spans="1:35" x14ac:dyDescent="0.35">
      <c r="A416" s="2">
        <v>42503</v>
      </c>
      <c r="B416" s="8">
        <v>17.760000000000002</v>
      </c>
      <c r="AE416" s="5"/>
      <c r="AF416" s="5"/>
      <c r="AG416" s="5"/>
      <c r="AH416" s="5"/>
      <c r="AI416" s="5"/>
    </row>
    <row r="417" spans="1:35" x14ac:dyDescent="0.35">
      <c r="A417" s="81"/>
      <c r="B417" s="8"/>
      <c r="AE417" s="5"/>
      <c r="AF417" s="5"/>
      <c r="AG417" s="5"/>
      <c r="AH417" s="5"/>
      <c r="AI417" s="5"/>
    </row>
    <row r="418" spans="1:35" x14ac:dyDescent="0.35">
      <c r="AE418" s="5"/>
      <c r="AF418" s="5"/>
      <c r="AG418" s="5"/>
      <c r="AH418" s="5"/>
      <c r="AI418" s="5"/>
    </row>
    <row r="419" spans="1:35" x14ac:dyDescent="0.35">
      <c r="A419" s="2">
        <v>42797</v>
      </c>
      <c r="B419" s="8">
        <v>2.96</v>
      </c>
      <c r="AE419" s="5"/>
      <c r="AF419" s="5"/>
      <c r="AG419" s="5"/>
      <c r="AH419" s="5"/>
      <c r="AI419" s="5"/>
    </row>
    <row r="420" spans="1:35" x14ac:dyDescent="0.35">
      <c r="A420" s="2">
        <v>42804</v>
      </c>
      <c r="B420" s="8">
        <v>7.4</v>
      </c>
      <c r="AE420" s="5"/>
      <c r="AF420" s="5"/>
      <c r="AG420" s="5"/>
      <c r="AH420" s="5"/>
      <c r="AI420" s="5"/>
    </row>
    <row r="421" spans="1:35" x14ac:dyDescent="0.35">
      <c r="A421" s="2">
        <v>42811</v>
      </c>
      <c r="B421" s="8">
        <v>9.4</v>
      </c>
      <c r="AE421" s="5"/>
      <c r="AF421" s="5"/>
      <c r="AG421" s="5"/>
      <c r="AH421" s="5"/>
      <c r="AI421" s="5"/>
    </row>
    <row r="422" spans="1:35" x14ac:dyDescent="0.35">
      <c r="A422" s="2">
        <v>42818</v>
      </c>
      <c r="B422" s="8">
        <v>3.63</v>
      </c>
      <c r="AE422" s="5"/>
      <c r="AF422" s="5"/>
      <c r="AG422" s="5"/>
      <c r="AH422" s="5"/>
      <c r="AI422" s="5"/>
    </row>
    <row r="423" spans="1:35" x14ac:dyDescent="0.35">
      <c r="A423" s="2">
        <v>42825</v>
      </c>
      <c r="B423" s="8">
        <v>12.35</v>
      </c>
      <c r="AE423" s="5"/>
      <c r="AF423" s="5"/>
      <c r="AG423" s="5"/>
      <c r="AH423" s="5"/>
      <c r="AI423" s="5"/>
    </row>
    <row r="424" spans="1:35" x14ac:dyDescent="0.35">
      <c r="A424" s="2">
        <v>42832</v>
      </c>
      <c r="B424" s="8">
        <v>16.3</v>
      </c>
      <c r="AE424" s="5"/>
      <c r="AF424" s="5"/>
      <c r="AG424" s="5"/>
      <c r="AH424" s="5"/>
      <c r="AI424" s="5"/>
    </row>
    <row r="425" spans="1:35" x14ac:dyDescent="0.35">
      <c r="A425" s="2">
        <v>42839</v>
      </c>
      <c r="B425" s="8">
        <v>32.25</v>
      </c>
      <c r="AE425" s="5"/>
      <c r="AF425" s="5"/>
      <c r="AG425" s="5"/>
      <c r="AH425" s="5"/>
      <c r="AI425" s="5"/>
    </row>
    <row r="426" spans="1:35" x14ac:dyDescent="0.35">
      <c r="A426" s="2">
        <v>42846</v>
      </c>
      <c r="B426" s="8">
        <v>29.75</v>
      </c>
      <c r="AE426" s="5"/>
      <c r="AF426" s="5"/>
      <c r="AG426" s="5"/>
      <c r="AH426" s="5"/>
      <c r="AI426" s="5"/>
    </row>
    <row r="427" spans="1:35" x14ac:dyDescent="0.35">
      <c r="A427" s="2">
        <v>42853</v>
      </c>
      <c r="B427" s="8">
        <v>33.299999999999997</v>
      </c>
      <c r="AE427" s="5"/>
      <c r="AF427" s="5"/>
      <c r="AG427" s="5"/>
      <c r="AH427" s="5"/>
      <c r="AI427" s="5"/>
    </row>
    <row r="428" spans="1:35" x14ac:dyDescent="0.35">
      <c r="A428" s="2">
        <v>42860</v>
      </c>
      <c r="B428" s="8">
        <v>14.95</v>
      </c>
      <c r="AE428" s="5"/>
      <c r="AF428" s="5"/>
      <c r="AG428" s="5"/>
      <c r="AH428" s="5"/>
      <c r="AI428" s="5"/>
    </row>
    <row r="429" spans="1:35" x14ac:dyDescent="0.35">
      <c r="A429" s="2">
        <v>42867</v>
      </c>
      <c r="B429" s="8">
        <v>19.149999999999999</v>
      </c>
      <c r="AE429" s="5"/>
      <c r="AF429" s="5"/>
      <c r="AG429" s="5"/>
      <c r="AH429" s="5"/>
      <c r="AI429" s="5"/>
    </row>
    <row r="430" spans="1:35" x14ac:dyDescent="0.35">
      <c r="A430" s="2">
        <v>42874</v>
      </c>
      <c r="B430" s="8">
        <v>34.950000000000003</v>
      </c>
      <c r="AE430" s="5"/>
      <c r="AF430" s="5"/>
      <c r="AG430" s="5"/>
      <c r="AH430" s="5"/>
      <c r="AI430" s="5"/>
    </row>
    <row r="431" spans="1:35" x14ac:dyDescent="0.35">
      <c r="A431" s="2">
        <v>42879</v>
      </c>
      <c r="B431" s="8">
        <v>15.95</v>
      </c>
      <c r="AE431" s="5"/>
      <c r="AF431" s="5"/>
      <c r="AG431" s="5"/>
      <c r="AH431" s="5"/>
      <c r="AI431" s="5"/>
    </row>
    <row r="432" spans="1:35" x14ac:dyDescent="0.35">
      <c r="A432" s="2"/>
      <c r="B432" s="8"/>
      <c r="AE432" s="5"/>
      <c r="AF432" s="5"/>
      <c r="AG432" s="5"/>
      <c r="AH432" s="5"/>
      <c r="AI432" s="5"/>
    </row>
    <row r="433" spans="1:35" x14ac:dyDescent="0.35">
      <c r="A433" s="2"/>
      <c r="B433" s="8"/>
      <c r="AE433" s="5"/>
      <c r="AF433" s="5"/>
      <c r="AG433" s="5"/>
      <c r="AH433" s="5"/>
      <c r="AI433" s="5"/>
    </row>
    <row r="434" spans="1:35" x14ac:dyDescent="0.35">
      <c r="A434" s="13">
        <v>43171</v>
      </c>
      <c r="B434" s="8">
        <v>22.65</v>
      </c>
      <c r="D434" s="2"/>
      <c r="AE434" s="5"/>
      <c r="AF434" s="5"/>
      <c r="AG434" s="5"/>
      <c r="AH434" s="5"/>
      <c r="AI434" s="5"/>
    </row>
    <row r="435" spans="1:35" x14ac:dyDescent="0.35">
      <c r="A435" s="13">
        <v>43178</v>
      </c>
      <c r="B435" s="8">
        <v>22.049999999999997</v>
      </c>
      <c r="D435" s="2"/>
      <c r="E435" s="8"/>
      <c r="G435" s="8"/>
      <c r="AE435" s="5"/>
      <c r="AF435" s="5"/>
      <c r="AG435" s="5"/>
      <c r="AH435" s="5"/>
      <c r="AI435" s="5"/>
    </row>
    <row r="436" spans="1:35" x14ac:dyDescent="0.35">
      <c r="A436" s="13">
        <v>43185</v>
      </c>
      <c r="B436" s="8">
        <v>18.5</v>
      </c>
      <c r="D436" s="2"/>
      <c r="E436" s="8"/>
      <c r="F436" s="8"/>
      <c r="AE436" s="5"/>
      <c r="AF436" s="5"/>
      <c r="AG436" s="5"/>
      <c r="AH436" s="5"/>
      <c r="AI436" s="5"/>
    </row>
    <row r="437" spans="1:35" x14ac:dyDescent="0.35">
      <c r="A437" s="13">
        <v>43193</v>
      </c>
      <c r="B437" s="8">
        <v>28</v>
      </c>
      <c r="D437" s="2"/>
      <c r="E437" s="8"/>
      <c r="AE437" s="5"/>
      <c r="AF437" s="5"/>
      <c r="AG437" s="5"/>
      <c r="AH437" s="5"/>
      <c r="AI437" s="5"/>
    </row>
    <row r="438" spans="1:35" x14ac:dyDescent="0.35">
      <c r="A438" s="13">
        <v>43199</v>
      </c>
      <c r="B438" s="8">
        <v>91.3</v>
      </c>
      <c r="D438" s="2"/>
      <c r="E438" s="8"/>
      <c r="AE438" s="5"/>
      <c r="AF438" s="5"/>
      <c r="AG438" s="5"/>
      <c r="AH438" s="5"/>
      <c r="AI438" s="5"/>
    </row>
    <row r="439" spans="1:35" x14ac:dyDescent="0.35">
      <c r="A439" s="13">
        <v>43206</v>
      </c>
      <c r="B439" s="8">
        <v>51.5</v>
      </c>
      <c r="D439" s="2"/>
      <c r="E439" s="8"/>
      <c r="F439" s="8"/>
      <c r="AE439" s="5"/>
      <c r="AF439" s="5"/>
      <c r="AG439" s="5"/>
      <c r="AH439" s="5"/>
      <c r="AI439" s="5"/>
    </row>
    <row r="440" spans="1:35" x14ac:dyDescent="0.35">
      <c r="A440" s="13">
        <v>43213</v>
      </c>
      <c r="B440" s="8">
        <v>11.5</v>
      </c>
      <c r="D440" s="2"/>
      <c r="E440" s="8"/>
      <c r="AE440" s="5"/>
      <c r="AF440" s="5"/>
      <c r="AG440" s="5"/>
      <c r="AH440" s="5"/>
      <c r="AI440" s="5"/>
    </row>
    <row r="441" spans="1:35" x14ac:dyDescent="0.35">
      <c r="A441" s="2">
        <v>43222</v>
      </c>
      <c r="B441" s="8">
        <v>37.6</v>
      </c>
      <c r="D441" s="2"/>
      <c r="E441" s="8"/>
      <c r="AE441" s="5"/>
      <c r="AF441" s="5"/>
      <c r="AG441" s="5"/>
      <c r="AH441" s="5"/>
      <c r="AI441" s="5"/>
    </row>
    <row r="442" spans="1:35" x14ac:dyDescent="0.35">
      <c r="A442" s="2">
        <v>43227</v>
      </c>
      <c r="B442" s="8">
        <v>37.799999999999997</v>
      </c>
      <c r="D442" s="2"/>
      <c r="E442" s="8"/>
      <c r="AE442" s="5"/>
      <c r="AF442" s="5"/>
      <c r="AG442" s="5"/>
      <c r="AH442" s="5"/>
      <c r="AI442" s="5"/>
    </row>
    <row r="443" spans="1:35" x14ac:dyDescent="0.35">
      <c r="A443" s="13">
        <v>43234</v>
      </c>
      <c r="B443" s="8">
        <v>5</v>
      </c>
      <c r="D443" s="2"/>
      <c r="E443" s="8"/>
      <c r="AE443" s="5"/>
      <c r="AF443" s="5"/>
      <c r="AG443" s="5"/>
      <c r="AH443" s="5"/>
      <c r="AI443" s="5"/>
    </row>
    <row r="444" spans="1:35" x14ac:dyDescent="0.35">
      <c r="A444" s="13">
        <v>43242</v>
      </c>
      <c r="B444" s="8">
        <v>158.5</v>
      </c>
      <c r="D444" s="2"/>
      <c r="E444" s="8"/>
      <c r="AE444" s="5"/>
      <c r="AF444" s="5"/>
      <c r="AG444" s="5"/>
      <c r="AH444" s="5"/>
      <c r="AI444" s="5"/>
    </row>
    <row r="445" spans="1:35" x14ac:dyDescent="0.35">
      <c r="A445" s="13">
        <v>43248</v>
      </c>
      <c r="B445" s="8">
        <v>63.4</v>
      </c>
      <c r="D445" s="2"/>
      <c r="E445" s="8"/>
      <c r="AE445" s="5"/>
      <c r="AF445" s="5"/>
      <c r="AG445" s="5"/>
      <c r="AH445" s="5"/>
      <c r="AI445" s="5"/>
    </row>
    <row r="446" spans="1:35" x14ac:dyDescent="0.35">
      <c r="A446" s="81"/>
      <c r="B446" s="8"/>
      <c r="D446" s="2"/>
      <c r="E446" s="8"/>
      <c r="AE446" s="5"/>
      <c r="AF446" s="5"/>
      <c r="AG446" s="5"/>
      <c r="AH446" s="5"/>
      <c r="AI446" s="5"/>
    </row>
    <row r="447" spans="1:35" x14ac:dyDescent="0.35">
      <c r="A447" s="81"/>
      <c r="B447" s="8"/>
      <c r="D447" s="2"/>
      <c r="E447" s="8"/>
      <c r="AE447" s="5"/>
      <c r="AF447" s="5"/>
      <c r="AG447" s="5"/>
      <c r="AH447" s="5"/>
      <c r="AI447" s="5"/>
    </row>
    <row r="448" spans="1:35" x14ac:dyDescent="0.35">
      <c r="A448" s="81"/>
      <c r="B448" s="8"/>
      <c r="D448" s="2"/>
      <c r="E448" s="8"/>
      <c r="AE448" s="5"/>
      <c r="AF448" s="5"/>
      <c r="AG448" s="5"/>
      <c r="AH448" s="5"/>
      <c r="AI448" s="5"/>
    </row>
    <row r="449" spans="1:35" x14ac:dyDescent="0.35">
      <c r="A449" s="81"/>
      <c r="B449" s="8"/>
      <c r="AE449" s="5"/>
      <c r="AF449" s="5"/>
      <c r="AG449" s="5"/>
      <c r="AH449" s="5"/>
      <c r="AI449" s="5"/>
    </row>
    <row r="450" spans="1:35" x14ac:dyDescent="0.35">
      <c r="A450" s="81"/>
      <c r="B450" s="8"/>
      <c r="AE450" s="5"/>
      <c r="AF450" s="5"/>
      <c r="AG450" s="5"/>
      <c r="AH450" s="5"/>
      <c r="AI450" s="5"/>
    </row>
    <row r="451" spans="1:35" x14ac:dyDescent="0.35">
      <c r="A451" s="81"/>
      <c r="B451" s="8"/>
      <c r="AE451" s="5"/>
      <c r="AF451" s="5"/>
      <c r="AG451" s="5"/>
      <c r="AH451" s="5"/>
      <c r="AI451" s="5"/>
    </row>
    <row r="452" spans="1:35" x14ac:dyDescent="0.35">
      <c r="A452" s="81"/>
      <c r="B452" s="8"/>
      <c r="AE452" s="5"/>
      <c r="AF452" s="5"/>
      <c r="AG452" s="5"/>
      <c r="AH452" s="5"/>
      <c r="AI452" s="5"/>
    </row>
    <row r="453" spans="1:35" x14ac:dyDescent="0.35">
      <c r="A453" s="81"/>
      <c r="B453" s="8"/>
      <c r="AE453" s="5"/>
      <c r="AF453" s="5"/>
      <c r="AG453" s="5"/>
      <c r="AH453" s="5"/>
      <c r="AI453" s="5"/>
    </row>
    <row r="454" spans="1:35" x14ac:dyDescent="0.35">
      <c r="A454" s="81"/>
      <c r="B454" s="8"/>
      <c r="AE454" s="5"/>
      <c r="AF454" s="5"/>
      <c r="AG454" s="5"/>
      <c r="AH454" s="5"/>
      <c r="AI454" s="5"/>
    </row>
    <row r="455" spans="1:35" x14ac:dyDescent="0.35">
      <c r="AE455" s="5"/>
      <c r="AF455" s="5"/>
      <c r="AG455" s="5"/>
      <c r="AH455" s="5"/>
      <c r="AI455" s="5"/>
    </row>
    <row r="456" spans="1:35" x14ac:dyDescent="0.35">
      <c r="AE456" s="5"/>
      <c r="AF456" s="5"/>
      <c r="AG456" s="5"/>
      <c r="AH456" s="5"/>
      <c r="AI456" s="5"/>
    </row>
    <row r="457" spans="1:35" x14ac:dyDescent="0.35">
      <c r="A457" t="s">
        <v>948</v>
      </c>
      <c r="AE457" s="5"/>
      <c r="AF457" s="5"/>
      <c r="AG457" s="5"/>
      <c r="AH457" s="5"/>
      <c r="AI457" s="5"/>
    </row>
    <row r="458" spans="1:35" x14ac:dyDescent="0.35">
      <c r="AE458" s="5"/>
      <c r="AF458" s="5"/>
      <c r="AG458" s="5"/>
      <c r="AH458" s="5"/>
      <c r="AI458" s="5"/>
    </row>
    <row r="459" spans="1:35" x14ac:dyDescent="0.35">
      <c r="A459" s="81">
        <v>42433</v>
      </c>
      <c r="B459">
        <v>4</v>
      </c>
      <c r="AE459" s="5"/>
      <c r="AF459" s="5"/>
      <c r="AG459" s="5"/>
      <c r="AH459" s="5"/>
      <c r="AI459" s="5"/>
    </row>
    <row r="460" spans="1:35" x14ac:dyDescent="0.35">
      <c r="A460" s="81">
        <v>42440</v>
      </c>
      <c r="B460">
        <v>7</v>
      </c>
      <c r="AE460" s="5"/>
      <c r="AF460" s="5"/>
      <c r="AG460" s="5"/>
      <c r="AH460" s="5"/>
      <c r="AI460" s="5"/>
    </row>
    <row r="461" spans="1:35" x14ac:dyDescent="0.35">
      <c r="A461" s="81">
        <v>42447</v>
      </c>
      <c r="B461">
        <v>4</v>
      </c>
      <c r="AE461" s="5"/>
      <c r="AF461" s="5"/>
      <c r="AG461" s="5"/>
      <c r="AH461" s="5"/>
      <c r="AI461" s="5"/>
    </row>
    <row r="462" spans="1:35" x14ac:dyDescent="0.35">
      <c r="A462" s="81">
        <v>42454</v>
      </c>
      <c r="B462">
        <v>5</v>
      </c>
      <c r="AE462" s="5"/>
      <c r="AF462" s="5"/>
      <c r="AG462" s="5"/>
      <c r="AH462" s="5"/>
      <c r="AI462" s="5"/>
    </row>
    <row r="463" spans="1:35" x14ac:dyDescent="0.35">
      <c r="A463" s="81">
        <v>42461</v>
      </c>
      <c r="B463">
        <v>6</v>
      </c>
      <c r="AE463" s="5"/>
      <c r="AF463" s="5"/>
      <c r="AG463" s="5"/>
      <c r="AH463" s="5"/>
      <c r="AI463" s="5"/>
    </row>
    <row r="464" spans="1:35" x14ac:dyDescent="0.35">
      <c r="A464" s="81">
        <v>42468</v>
      </c>
      <c r="B464">
        <v>3</v>
      </c>
      <c r="AE464" s="5"/>
      <c r="AF464" s="5"/>
      <c r="AG464" s="5"/>
      <c r="AH464" s="5"/>
      <c r="AI464" s="5"/>
    </row>
    <row r="465" spans="1:35" x14ac:dyDescent="0.35">
      <c r="A465" s="81">
        <v>42475</v>
      </c>
      <c r="B465">
        <v>3</v>
      </c>
      <c r="AE465" s="5"/>
      <c r="AF465" s="5"/>
      <c r="AG465" s="5"/>
      <c r="AH465" s="5"/>
      <c r="AI465" s="5"/>
    </row>
    <row r="466" spans="1:35" x14ac:dyDescent="0.35">
      <c r="A466" s="81">
        <v>42482</v>
      </c>
      <c r="B466">
        <v>2</v>
      </c>
      <c r="AE466" s="5"/>
      <c r="AF466" s="5"/>
      <c r="AG466" s="5"/>
      <c r="AH466" s="5"/>
      <c r="AI466" s="5"/>
    </row>
    <row r="467" spans="1:35" x14ac:dyDescent="0.35">
      <c r="A467" s="81">
        <v>42489</v>
      </c>
      <c r="B467">
        <v>2</v>
      </c>
      <c r="AE467" s="5"/>
      <c r="AF467" s="5"/>
      <c r="AG467" s="5"/>
      <c r="AH467" s="5"/>
      <c r="AI467" s="5"/>
    </row>
    <row r="468" spans="1:35" x14ac:dyDescent="0.35">
      <c r="A468" s="81">
        <v>42494</v>
      </c>
      <c r="B468">
        <v>1</v>
      </c>
      <c r="AE468" s="5"/>
      <c r="AF468" s="5"/>
      <c r="AG468" s="5"/>
      <c r="AH468" s="5"/>
      <c r="AI468" s="5"/>
    </row>
    <row r="469" spans="1:35" x14ac:dyDescent="0.35">
      <c r="A469" s="81">
        <v>42503</v>
      </c>
      <c r="B469">
        <v>0</v>
      </c>
      <c r="C469" s="7">
        <f>AVERAGE(B459:B469)</f>
        <v>3.3636363636363638</v>
      </c>
      <c r="AE469" s="5"/>
      <c r="AF469" s="5"/>
      <c r="AG469" s="5"/>
      <c r="AH469" s="5"/>
      <c r="AI469" s="5"/>
    </row>
    <row r="470" spans="1:35" x14ac:dyDescent="0.35">
      <c r="AE470" s="5"/>
      <c r="AF470" s="5"/>
      <c r="AG470" s="5"/>
      <c r="AH470" s="5"/>
      <c r="AI470" s="5"/>
    </row>
    <row r="471" spans="1:35" x14ac:dyDescent="0.35">
      <c r="AE471" s="5"/>
      <c r="AF471" s="5"/>
      <c r="AG471" s="5"/>
      <c r="AH471" s="5"/>
      <c r="AI471" s="5"/>
    </row>
    <row r="472" spans="1:35" x14ac:dyDescent="0.35">
      <c r="A472" s="81">
        <v>42797</v>
      </c>
      <c r="B472">
        <v>6</v>
      </c>
      <c r="AE472" s="5"/>
      <c r="AF472" s="5"/>
      <c r="AG472" s="5"/>
      <c r="AH472" s="5"/>
      <c r="AI472" s="5"/>
    </row>
    <row r="473" spans="1:35" x14ac:dyDescent="0.35">
      <c r="A473" s="81">
        <v>42804</v>
      </c>
      <c r="B473">
        <v>7</v>
      </c>
      <c r="AE473" s="5"/>
      <c r="AF473" s="5"/>
      <c r="AG473" s="5"/>
      <c r="AH473" s="5"/>
      <c r="AI473" s="5"/>
    </row>
    <row r="474" spans="1:35" x14ac:dyDescent="0.35">
      <c r="A474" s="81">
        <v>42811</v>
      </c>
      <c r="B474">
        <v>7</v>
      </c>
      <c r="AE474" s="5"/>
      <c r="AF474" s="5"/>
      <c r="AG474" s="5"/>
      <c r="AH474" s="5"/>
      <c r="AI474" s="5"/>
    </row>
    <row r="475" spans="1:35" x14ac:dyDescent="0.35">
      <c r="A475" s="81">
        <v>42818</v>
      </c>
      <c r="B475">
        <v>6</v>
      </c>
      <c r="AE475" s="5"/>
      <c r="AF475" s="5"/>
      <c r="AG475" s="5"/>
      <c r="AH475" s="5"/>
      <c r="AI475" s="5"/>
    </row>
    <row r="476" spans="1:35" x14ac:dyDescent="0.35">
      <c r="A476" s="81">
        <v>42825</v>
      </c>
      <c r="B476">
        <v>0</v>
      </c>
      <c r="AE476" s="5"/>
      <c r="AF476" s="5"/>
      <c r="AG476" s="5"/>
      <c r="AH476" s="5"/>
      <c r="AI476" s="5"/>
    </row>
    <row r="477" spans="1:35" x14ac:dyDescent="0.35">
      <c r="A477" s="81">
        <v>42832</v>
      </c>
      <c r="B477">
        <v>0</v>
      </c>
      <c r="AE477" s="5"/>
      <c r="AF477" s="5"/>
      <c r="AG477" s="5"/>
      <c r="AH477" s="5"/>
      <c r="AI477" s="5"/>
    </row>
    <row r="478" spans="1:35" x14ac:dyDescent="0.35">
      <c r="A478" s="81">
        <v>42839</v>
      </c>
      <c r="B478">
        <v>1</v>
      </c>
      <c r="AE478" s="5"/>
      <c r="AF478" s="5"/>
      <c r="AG478" s="5"/>
      <c r="AH478" s="5"/>
      <c r="AI478" s="5"/>
    </row>
    <row r="479" spans="1:35" x14ac:dyDescent="0.35">
      <c r="A479" s="81">
        <v>42846</v>
      </c>
      <c r="B479">
        <v>0</v>
      </c>
      <c r="AE479" s="5"/>
      <c r="AF479" s="5"/>
      <c r="AG479" s="5"/>
      <c r="AH479" s="5"/>
      <c r="AI479" s="5"/>
    </row>
    <row r="480" spans="1:35" x14ac:dyDescent="0.35">
      <c r="A480" s="81">
        <v>42853</v>
      </c>
      <c r="B480">
        <v>1</v>
      </c>
      <c r="AE480" s="5"/>
      <c r="AF480" s="5"/>
      <c r="AG480" s="5"/>
      <c r="AH480" s="5"/>
      <c r="AI480" s="5"/>
    </row>
    <row r="481" spans="1:35" x14ac:dyDescent="0.35">
      <c r="A481" s="81">
        <v>42860</v>
      </c>
      <c r="B481">
        <v>0</v>
      </c>
      <c r="AE481" s="5"/>
      <c r="AF481" s="5"/>
      <c r="AG481" s="5"/>
      <c r="AH481" s="5"/>
      <c r="AI481" s="5"/>
    </row>
    <row r="482" spans="1:35" x14ac:dyDescent="0.35">
      <c r="A482" s="81">
        <v>42867</v>
      </c>
      <c r="B482">
        <v>0</v>
      </c>
      <c r="AE482" s="5"/>
      <c r="AF482" s="5"/>
      <c r="AG482" s="5"/>
      <c r="AH482" s="5"/>
      <c r="AI482" s="5"/>
    </row>
    <row r="483" spans="1:35" x14ac:dyDescent="0.35">
      <c r="A483" s="81">
        <v>42874</v>
      </c>
      <c r="B483">
        <v>0</v>
      </c>
      <c r="AE483" s="5"/>
      <c r="AF483" s="5"/>
      <c r="AG483" s="5"/>
      <c r="AH483" s="5"/>
      <c r="AI483" s="5"/>
    </row>
    <row r="484" spans="1:35" x14ac:dyDescent="0.35">
      <c r="A484" s="81">
        <v>42879</v>
      </c>
      <c r="B484">
        <v>0</v>
      </c>
      <c r="C484" s="7">
        <f>AVERAGE(B472:B484)</f>
        <v>2.1538461538461537</v>
      </c>
      <c r="AE484" s="5"/>
      <c r="AF484" s="5"/>
      <c r="AG484" s="5"/>
      <c r="AH484" s="5"/>
      <c r="AI484" s="5"/>
    </row>
    <row r="485" spans="1:35" x14ac:dyDescent="0.35">
      <c r="A485" s="81"/>
      <c r="AE485" s="5"/>
      <c r="AF485" s="5"/>
      <c r="AG485" s="5"/>
      <c r="AH485" s="5"/>
      <c r="AI485" s="5"/>
    </row>
    <row r="486" spans="1:35" x14ac:dyDescent="0.35">
      <c r="AE486" s="5"/>
      <c r="AF486" s="5"/>
      <c r="AG486" s="5"/>
      <c r="AH486" s="5"/>
      <c r="AI486" s="5"/>
    </row>
    <row r="487" spans="1:35" x14ac:dyDescent="0.35">
      <c r="A487" s="13">
        <v>43171</v>
      </c>
      <c r="B487">
        <v>6</v>
      </c>
      <c r="AE487" s="5"/>
      <c r="AF487" s="5"/>
      <c r="AG487" s="5"/>
      <c r="AH487" s="5"/>
      <c r="AI487" s="5"/>
    </row>
    <row r="488" spans="1:35" x14ac:dyDescent="0.35">
      <c r="A488" s="13">
        <v>43178</v>
      </c>
      <c r="B488">
        <v>7</v>
      </c>
      <c r="AE488" s="5"/>
      <c r="AF488" s="5"/>
      <c r="AG488" s="5"/>
      <c r="AH488" s="5"/>
      <c r="AI488" s="5"/>
    </row>
    <row r="489" spans="1:35" x14ac:dyDescent="0.35">
      <c r="A489" s="13">
        <v>43185</v>
      </c>
      <c r="B489">
        <v>4</v>
      </c>
      <c r="AE489" s="5"/>
      <c r="AF489" s="5"/>
      <c r="AG489" s="5"/>
      <c r="AH489" s="5"/>
      <c r="AI489" s="5"/>
    </row>
    <row r="490" spans="1:35" x14ac:dyDescent="0.35">
      <c r="A490" s="13">
        <v>43193</v>
      </c>
      <c r="B490">
        <v>7</v>
      </c>
      <c r="AE490" s="5"/>
      <c r="AF490" s="5"/>
      <c r="AG490" s="5"/>
      <c r="AH490" s="5"/>
      <c r="AI490" s="5"/>
    </row>
    <row r="491" spans="1:35" x14ac:dyDescent="0.35">
      <c r="A491" s="13">
        <v>43199</v>
      </c>
      <c r="B491">
        <v>6</v>
      </c>
      <c r="AE491" s="5"/>
      <c r="AF491" s="5"/>
      <c r="AG491" s="5"/>
      <c r="AH491" s="5"/>
      <c r="AI491" s="5"/>
    </row>
    <row r="492" spans="1:35" x14ac:dyDescent="0.35">
      <c r="A492" s="13">
        <v>43206</v>
      </c>
      <c r="B492">
        <v>4</v>
      </c>
      <c r="AE492" s="5"/>
      <c r="AF492" s="5"/>
      <c r="AG492" s="5"/>
      <c r="AH492" s="5"/>
      <c r="AI492" s="5"/>
    </row>
    <row r="493" spans="1:35" x14ac:dyDescent="0.35">
      <c r="A493" s="13">
        <v>43213</v>
      </c>
      <c r="B493">
        <v>3</v>
      </c>
      <c r="AE493" s="5"/>
      <c r="AF493" s="5"/>
      <c r="AG493" s="5"/>
      <c r="AH493" s="5"/>
      <c r="AI493" s="5"/>
    </row>
    <row r="494" spans="1:35" x14ac:dyDescent="0.35">
      <c r="A494" s="2">
        <v>43222</v>
      </c>
      <c r="B494">
        <v>4</v>
      </c>
      <c r="AE494" s="5"/>
      <c r="AF494" s="5"/>
      <c r="AG494" s="5"/>
      <c r="AH494" s="5"/>
      <c r="AI494" s="5"/>
    </row>
    <row r="495" spans="1:35" x14ac:dyDescent="0.35">
      <c r="A495" s="2">
        <v>43227</v>
      </c>
      <c r="B495">
        <v>5</v>
      </c>
      <c r="AE495" s="5"/>
      <c r="AF495" s="5"/>
      <c r="AG495" s="5"/>
      <c r="AH495" s="5"/>
      <c r="AI495" s="5"/>
    </row>
    <row r="496" spans="1:35" x14ac:dyDescent="0.35">
      <c r="A496" s="13">
        <v>43234</v>
      </c>
      <c r="B496">
        <v>2</v>
      </c>
      <c r="AE496" s="5"/>
      <c r="AF496" s="5"/>
      <c r="AG496" s="5"/>
      <c r="AH496" s="5"/>
      <c r="AI496" s="5"/>
    </row>
    <row r="497" spans="1:35" x14ac:dyDescent="0.35">
      <c r="A497" s="13">
        <v>43242</v>
      </c>
      <c r="B497">
        <v>0</v>
      </c>
      <c r="AE497" s="5"/>
      <c r="AF497" s="5"/>
      <c r="AG497" s="5"/>
      <c r="AH497" s="5"/>
      <c r="AI497" s="5"/>
    </row>
    <row r="498" spans="1:35" x14ac:dyDescent="0.35">
      <c r="A498" s="13">
        <v>43248</v>
      </c>
      <c r="B498">
        <v>1</v>
      </c>
      <c r="C498" s="7">
        <f>AVERAGE(B487:B498)</f>
        <v>4.083333333333333</v>
      </c>
      <c r="AE498" s="5"/>
      <c r="AF498" s="5"/>
      <c r="AG498" s="5"/>
      <c r="AH498" s="5"/>
      <c r="AI498" s="5"/>
    </row>
    <row r="499" spans="1:35" x14ac:dyDescent="0.35">
      <c r="AE499" s="5"/>
      <c r="AF499" s="5"/>
      <c r="AG499" s="5"/>
      <c r="AH499" s="5"/>
      <c r="AI499" s="5"/>
    </row>
    <row r="500" spans="1:35" x14ac:dyDescent="0.35">
      <c r="AE500" s="5"/>
      <c r="AF500" s="5"/>
      <c r="AG500" s="5"/>
      <c r="AH500" s="5"/>
      <c r="AI500" s="5"/>
    </row>
    <row r="501" spans="1:35" x14ac:dyDescent="0.35">
      <c r="AE501" s="5"/>
      <c r="AF501" s="5"/>
      <c r="AG501" s="5"/>
      <c r="AH501" s="5"/>
      <c r="AI501" s="5"/>
    </row>
    <row r="502" spans="1:35" x14ac:dyDescent="0.35">
      <c r="AE502" s="5"/>
      <c r="AF502" s="5"/>
      <c r="AG502" s="5"/>
      <c r="AH502" s="5"/>
      <c r="AI502" s="5"/>
    </row>
    <row r="503" spans="1:35" x14ac:dyDescent="0.35">
      <c r="AE503" s="5"/>
      <c r="AF503" s="5"/>
      <c r="AG503" s="5"/>
      <c r="AH503" s="5"/>
      <c r="AI503" s="5"/>
    </row>
  </sheetData>
  <sortState ref="AE2:AM143">
    <sortCondition ref="AF2:AF143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54"/>
  <sheetViews>
    <sheetView workbookViewId="0">
      <pane xSplit="2" ySplit="2" topLeftCell="C1122" activePane="bottomRight" state="frozen"/>
      <selection pane="topRight" activeCell="D1" sqref="D1"/>
      <selection pane="bottomLeft" activeCell="A3" sqref="A3"/>
      <selection pane="bottomRight" activeCell="D1155" sqref="D1155"/>
    </sheetView>
  </sheetViews>
  <sheetFormatPr defaultRowHeight="14.5" x14ac:dyDescent="0.35"/>
  <cols>
    <col min="1" max="1" width="16.81640625" customWidth="1"/>
    <col min="2" max="2" width="18.453125" style="60" customWidth="1"/>
    <col min="3" max="4" width="18.26953125" customWidth="1"/>
    <col min="5" max="6" width="14.81640625" customWidth="1"/>
    <col min="7" max="8" width="17" customWidth="1"/>
    <col min="11" max="11" width="16.54296875" customWidth="1"/>
  </cols>
  <sheetData>
    <row r="1" spans="1:24" x14ac:dyDescent="0.35">
      <c r="A1" t="s">
        <v>0</v>
      </c>
      <c r="B1" s="60" t="s">
        <v>1</v>
      </c>
      <c r="C1" t="s">
        <v>22</v>
      </c>
      <c r="D1" t="s">
        <v>94</v>
      </c>
      <c r="E1" t="s">
        <v>23</v>
      </c>
    </row>
    <row r="2" spans="1:24" x14ac:dyDescent="0.35">
      <c r="E2" t="s">
        <v>73</v>
      </c>
      <c r="F2" t="s">
        <v>190</v>
      </c>
      <c r="G2" t="s">
        <v>110</v>
      </c>
      <c r="H2" t="s">
        <v>109</v>
      </c>
      <c r="I2" t="s">
        <v>74</v>
      </c>
      <c r="J2" t="s">
        <v>75</v>
      </c>
      <c r="K2" t="s">
        <v>81</v>
      </c>
      <c r="L2" t="s">
        <v>80</v>
      </c>
      <c r="M2" t="s">
        <v>85</v>
      </c>
      <c r="N2" t="s">
        <v>86</v>
      </c>
      <c r="O2" t="s">
        <v>88</v>
      </c>
      <c r="P2" t="s">
        <v>422</v>
      </c>
      <c r="Q2" t="s">
        <v>127</v>
      </c>
      <c r="R2" t="s">
        <v>266</v>
      </c>
      <c r="S2" t="s">
        <v>499</v>
      </c>
    </row>
    <row r="3" spans="1:24" ht="15.5" x14ac:dyDescent="0.35">
      <c r="A3" s="2">
        <v>42433</v>
      </c>
      <c r="B3" s="61" t="s">
        <v>29</v>
      </c>
      <c r="C3">
        <v>5</v>
      </c>
    </row>
    <row r="4" spans="1:24" ht="15.5" x14ac:dyDescent="0.35">
      <c r="A4" s="2">
        <v>42433</v>
      </c>
      <c r="B4" s="61" t="s">
        <v>610</v>
      </c>
      <c r="C4" t="s">
        <v>79</v>
      </c>
    </row>
    <row r="5" spans="1:24" ht="15.5" x14ac:dyDescent="0.35">
      <c r="A5" s="2">
        <v>42433</v>
      </c>
      <c r="B5" s="61" t="s">
        <v>611</v>
      </c>
      <c r="C5" t="s">
        <v>79</v>
      </c>
      <c r="W5" s="45" t="s">
        <v>606</v>
      </c>
    </row>
    <row r="6" spans="1:24" ht="15.5" x14ac:dyDescent="0.35">
      <c r="A6" s="2">
        <v>42433</v>
      </c>
      <c r="B6" s="61" t="s">
        <v>612</v>
      </c>
      <c r="C6" t="s">
        <v>79</v>
      </c>
      <c r="X6" s="45" t="s">
        <v>607</v>
      </c>
    </row>
    <row r="7" spans="1:24" ht="15.5" x14ac:dyDescent="0.35">
      <c r="A7" s="2">
        <v>42433</v>
      </c>
      <c r="B7" s="61" t="s">
        <v>613</v>
      </c>
      <c r="C7">
        <v>0</v>
      </c>
      <c r="I7">
        <v>1</v>
      </c>
    </row>
    <row r="8" spans="1:24" ht="15.5" x14ac:dyDescent="0.35">
      <c r="A8" s="2">
        <v>42433</v>
      </c>
      <c r="B8" s="61" t="s">
        <v>38</v>
      </c>
      <c r="C8">
        <v>0</v>
      </c>
    </row>
    <row r="9" spans="1:24" ht="15.5" x14ac:dyDescent="0.35">
      <c r="A9" s="2">
        <v>42433</v>
      </c>
      <c r="B9" s="61" t="s">
        <v>614</v>
      </c>
      <c r="C9" t="s">
        <v>79</v>
      </c>
    </row>
    <row r="10" spans="1:24" ht="15.5" x14ac:dyDescent="0.35">
      <c r="A10" s="2">
        <v>42433</v>
      </c>
      <c r="B10" s="61" t="s">
        <v>615</v>
      </c>
      <c r="C10" t="s">
        <v>79</v>
      </c>
    </row>
    <row r="11" spans="1:24" ht="15.5" x14ac:dyDescent="0.35">
      <c r="A11" s="2">
        <v>42433</v>
      </c>
      <c r="B11" s="61" t="s">
        <v>616</v>
      </c>
      <c r="C11" t="s">
        <v>79</v>
      </c>
    </row>
    <row r="12" spans="1:24" ht="15.5" x14ac:dyDescent="0.35">
      <c r="A12" s="2">
        <v>42433</v>
      </c>
      <c r="B12" s="61" t="s">
        <v>617</v>
      </c>
      <c r="C12">
        <v>0</v>
      </c>
    </row>
    <row r="13" spans="1:24" ht="15.5" x14ac:dyDescent="0.35">
      <c r="A13" s="2">
        <v>42433</v>
      </c>
      <c r="B13" s="61" t="s">
        <v>618</v>
      </c>
      <c r="C13" t="s">
        <v>79</v>
      </c>
    </row>
    <row r="14" spans="1:24" ht="15.5" x14ac:dyDescent="0.35">
      <c r="A14" s="2">
        <v>42433</v>
      </c>
      <c r="B14" s="61" t="s">
        <v>619</v>
      </c>
      <c r="C14" t="s">
        <v>79</v>
      </c>
    </row>
    <row r="15" spans="1:24" ht="15.5" x14ac:dyDescent="0.35">
      <c r="A15" s="2">
        <v>42433</v>
      </c>
      <c r="B15" s="61" t="s">
        <v>620</v>
      </c>
      <c r="C15" t="s">
        <v>79</v>
      </c>
    </row>
    <row r="16" spans="1:24" ht="15.5" x14ac:dyDescent="0.35">
      <c r="A16" s="2">
        <v>42433</v>
      </c>
      <c r="B16" s="61" t="s">
        <v>621</v>
      </c>
      <c r="C16">
        <v>0</v>
      </c>
      <c r="E16">
        <v>8</v>
      </c>
      <c r="I16">
        <v>1</v>
      </c>
      <c r="L16">
        <v>1</v>
      </c>
    </row>
    <row r="17" spans="1:11" ht="15.5" x14ac:dyDescent="0.35">
      <c r="A17" s="2">
        <v>42433</v>
      </c>
      <c r="B17" s="61" t="s">
        <v>622</v>
      </c>
      <c r="C17" t="s">
        <v>79</v>
      </c>
    </row>
    <row r="18" spans="1:11" ht="15.5" x14ac:dyDescent="0.35">
      <c r="A18" s="2">
        <v>42433</v>
      </c>
      <c r="B18" s="61" t="s">
        <v>623</v>
      </c>
      <c r="C18" t="s">
        <v>79</v>
      </c>
    </row>
    <row r="19" spans="1:11" ht="15.5" x14ac:dyDescent="0.35">
      <c r="A19" s="2">
        <v>42433</v>
      </c>
      <c r="B19" s="61" t="s">
        <v>624</v>
      </c>
      <c r="C19" t="s">
        <v>79</v>
      </c>
    </row>
    <row r="20" spans="1:11" ht="15.5" x14ac:dyDescent="0.35">
      <c r="A20" s="2">
        <v>42433</v>
      </c>
      <c r="B20" s="61" t="s">
        <v>625</v>
      </c>
      <c r="C20">
        <v>0</v>
      </c>
    </row>
    <row r="21" spans="1:11" ht="15.5" x14ac:dyDescent="0.35">
      <c r="A21" s="2">
        <v>42433</v>
      </c>
      <c r="B21" s="61" t="s">
        <v>626</v>
      </c>
      <c r="C21" t="s">
        <v>79</v>
      </c>
    </row>
    <row r="22" spans="1:11" ht="15.5" x14ac:dyDescent="0.35">
      <c r="A22" s="2">
        <v>42433</v>
      </c>
      <c r="B22" s="61" t="s">
        <v>627</v>
      </c>
      <c r="C22" t="s">
        <v>79</v>
      </c>
    </row>
    <row r="23" spans="1:11" ht="15.5" x14ac:dyDescent="0.35">
      <c r="A23" s="2">
        <v>42433</v>
      </c>
      <c r="B23" s="61" t="s">
        <v>628</v>
      </c>
      <c r="C23" t="s">
        <v>79</v>
      </c>
    </row>
    <row r="24" spans="1:11" ht="15.5" x14ac:dyDescent="0.35">
      <c r="A24" s="2">
        <v>42433</v>
      </c>
      <c r="B24" s="61" t="s">
        <v>629</v>
      </c>
      <c r="C24">
        <v>0</v>
      </c>
      <c r="K24">
        <v>1</v>
      </c>
    </row>
    <row r="25" spans="1:11" ht="15.5" x14ac:dyDescent="0.35">
      <c r="A25" s="2">
        <v>42433</v>
      </c>
      <c r="B25" s="61" t="s">
        <v>630</v>
      </c>
      <c r="C25" t="s">
        <v>79</v>
      </c>
    </row>
    <row r="26" spans="1:11" ht="15.5" x14ac:dyDescent="0.35">
      <c r="A26" s="2">
        <v>42433</v>
      </c>
      <c r="B26" s="61" t="s">
        <v>631</v>
      </c>
      <c r="C26" t="s">
        <v>79</v>
      </c>
    </row>
    <row r="27" spans="1:11" ht="15.5" x14ac:dyDescent="0.35">
      <c r="A27" s="2">
        <v>42433</v>
      </c>
      <c r="B27" s="61" t="s">
        <v>632</v>
      </c>
      <c r="C27" t="s">
        <v>79</v>
      </c>
    </row>
    <row r="28" spans="1:11" ht="15.5" x14ac:dyDescent="0.35">
      <c r="A28" s="2">
        <v>42433</v>
      </c>
      <c r="B28" s="61" t="s">
        <v>633</v>
      </c>
      <c r="C28">
        <v>0</v>
      </c>
    </row>
    <row r="29" spans="1:11" ht="15.5" x14ac:dyDescent="0.35">
      <c r="A29" s="2">
        <v>42433</v>
      </c>
      <c r="B29" s="61" t="s">
        <v>20</v>
      </c>
      <c r="C29" t="s">
        <v>79</v>
      </c>
    </row>
    <row r="30" spans="1:11" ht="15.5" x14ac:dyDescent="0.35">
      <c r="A30" s="2">
        <v>42433</v>
      </c>
      <c r="B30" s="61" t="s">
        <v>634</v>
      </c>
      <c r="C30" t="s">
        <v>79</v>
      </c>
    </row>
    <row r="31" spans="1:11" ht="15.5" x14ac:dyDescent="0.35">
      <c r="A31" s="2">
        <v>42433</v>
      </c>
      <c r="B31" s="61" t="s">
        <v>635</v>
      </c>
      <c r="C31" t="s">
        <v>79</v>
      </c>
    </row>
    <row r="32" spans="1:11" ht="15.5" x14ac:dyDescent="0.35">
      <c r="A32" s="2">
        <v>42433</v>
      </c>
      <c r="B32" s="61" t="s">
        <v>636</v>
      </c>
      <c r="C32" t="s">
        <v>79</v>
      </c>
    </row>
    <row r="33" spans="1:13" ht="15.5" x14ac:dyDescent="0.35">
      <c r="A33" s="2">
        <v>42433</v>
      </c>
      <c r="B33" s="61" t="s">
        <v>637</v>
      </c>
      <c r="C33" t="s">
        <v>79</v>
      </c>
    </row>
    <row r="34" spans="1:13" ht="15.5" x14ac:dyDescent="0.35">
      <c r="A34" s="2">
        <v>42433</v>
      </c>
      <c r="B34" s="61" t="s">
        <v>638</v>
      </c>
      <c r="C34" t="s">
        <v>79</v>
      </c>
    </row>
    <row r="35" spans="1:13" s="4" customFormat="1" ht="15.5" x14ac:dyDescent="0.35">
      <c r="A35" s="3">
        <v>42433</v>
      </c>
      <c r="B35" s="62" t="s">
        <v>639</v>
      </c>
      <c r="C35" s="4" t="s">
        <v>79</v>
      </c>
    </row>
    <row r="36" spans="1:13" ht="15.5" x14ac:dyDescent="0.35">
      <c r="A36" s="2">
        <v>42440</v>
      </c>
      <c r="B36" s="61" t="s">
        <v>29</v>
      </c>
      <c r="C36">
        <v>4</v>
      </c>
    </row>
    <row r="37" spans="1:13" ht="15.5" x14ac:dyDescent="0.35">
      <c r="A37" s="2">
        <v>42440</v>
      </c>
      <c r="B37" s="61" t="s">
        <v>610</v>
      </c>
      <c r="C37">
        <v>0</v>
      </c>
    </row>
    <row r="38" spans="1:13" ht="15.5" x14ac:dyDescent="0.35">
      <c r="A38" s="2">
        <v>42440</v>
      </c>
      <c r="B38" s="61" t="s">
        <v>611</v>
      </c>
      <c r="C38">
        <v>0</v>
      </c>
    </row>
    <row r="39" spans="1:13" ht="15.5" x14ac:dyDescent="0.35">
      <c r="A39" s="2">
        <v>42440</v>
      </c>
      <c r="B39" s="61" t="s">
        <v>612</v>
      </c>
      <c r="C39">
        <v>0</v>
      </c>
    </row>
    <row r="40" spans="1:13" ht="15.5" x14ac:dyDescent="0.35">
      <c r="A40" s="2">
        <v>42440</v>
      </c>
      <c r="B40" s="61" t="s">
        <v>613</v>
      </c>
      <c r="C40">
        <v>0</v>
      </c>
      <c r="G40">
        <v>1</v>
      </c>
      <c r="I40">
        <v>1</v>
      </c>
      <c r="M40">
        <v>1</v>
      </c>
    </row>
    <row r="41" spans="1:13" ht="15.5" x14ac:dyDescent="0.35">
      <c r="A41" s="2">
        <v>42440</v>
      </c>
      <c r="B41" s="61" t="s">
        <v>38</v>
      </c>
      <c r="C41">
        <v>52</v>
      </c>
    </row>
    <row r="42" spans="1:13" ht="15.5" x14ac:dyDescent="0.35">
      <c r="A42" s="2">
        <v>42440</v>
      </c>
      <c r="B42" s="61" t="s">
        <v>614</v>
      </c>
      <c r="C42">
        <v>0</v>
      </c>
    </row>
    <row r="43" spans="1:13" ht="15.5" x14ac:dyDescent="0.35">
      <c r="A43" s="2">
        <v>42440</v>
      </c>
      <c r="B43" s="61" t="s">
        <v>615</v>
      </c>
      <c r="C43">
        <v>0</v>
      </c>
    </row>
    <row r="44" spans="1:13" ht="15.5" x14ac:dyDescent="0.35">
      <c r="A44" s="2">
        <v>42440</v>
      </c>
      <c r="B44" s="61" t="s">
        <v>616</v>
      </c>
      <c r="C44">
        <v>0</v>
      </c>
    </row>
    <row r="45" spans="1:13" ht="15.5" x14ac:dyDescent="0.35">
      <c r="A45" s="2">
        <v>42440</v>
      </c>
      <c r="B45" s="61" t="s">
        <v>617</v>
      </c>
      <c r="C45">
        <v>0</v>
      </c>
      <c r="E45">
        <v>5</v>
      </c>
      <c r="I45">
        <v>1</v>
      </c>
    </row>
    <row r="46" spans="1:13" ht="15.5" x14ac:dyDescent="0.35">
      <c r="A46" s="2">
        <v>42440</v>
      </c>
      <c r="B46" s="61" t="s">
        <v>618</v>
      </c>
      <c r="C46">
        <v>0</v>
      </c>
    </row>
    <row r="47" spans="1:13" ht="15.5" x14ac:dyDescent="0.35">
      <c r="A47" s="2">
        <v>42440</v>
      </c>
      <c r="B47" s="61" t="s">
        <v>619</v>
      </c>
      <c r="C47">
        <v>0</v>
      </c>
    </row>
    <row r="48" spans="1:13" ht="15.5" x14ac:dyDescent="0.35">
      <c r="A48" s="2">
        <v>42440</v>
      </c>
      <c r="B48" s="61" t="s">
        <v>620</v>
      </c>
      <c r="C48">
        <v>0</v>
      </c>
    </row>
    <row r="49" spans="1:9" ht="15.5" x14ac:dyDescent="0.35">
      <c r="A49" s="2">
        <v>42440</v>
      </c>
      <c r="B49" s="61" t="s">
        <v>621</v>
      </c>
      <c r="C49">
        <v>0</v>
      </c>
      <c r="E49">
        <v>17</v>
      </c>
      <c r="I49">
        <v>1</v>
      </c>
    </row>
    <row r="50" spans="1:9" ht="15.5" x14ac:dyDescent="0.35">
      <c r="A50" s="2">
        <v>42440</v>
      </c>
      <c r="B50" s="61" t="s">
        <v>622</v>
      </c>
      <c r="C50">
        <v>0</v>
      </c>
    </row>
    <row r="51" spans="1:9" ht="15.5" x14ac:dyDescent="0.35">
      <c r="A51" s="2">
        <v>42440</v>
      </c>
      <c r="B51" s="61" t="s">
        <v>623</v>
      </c>
      <c r="C51">
        <v>0</v>
      </c>
    </row>
    <row r="52" spans="1:9" ht="15.5" x14ac:dyDescent="0.35">
      <c r="A52" s="2">
        <v>42440</v>
      </c>
      <c r="B52" s="61" t="s">
        <v>624</v>
      </c>
      <c r="C52">
        <v>0</v>
      </c>
    </row>
    <row r="53" spans="1:9" ht="15.5" x14ac:dyDescent="0.35">
      <c r="A53" s="2">
        <v>42440</v>
      </c>
      <c r="B53" s="61" t="s">
        <v>625</v>
      </c>
      <c r="C53">
        <v>0</v>
      </c>
      <c r="G53">
        <v>1</v>
      </c>
    </row>
    <row r="54" spans="1:9" ht="15.5" x14ac:dyDescent="0.35">
      <c r="A54" s="2">
        <v>42440</v>
      </c>
      <c r="B54" s="61" t="s">
        <v>626</v>
      </c>
      <c r="C54">
        <v>0</v>
      </c>
    </row>
    <row r="55" spans="1:9" ht="15.5" x14ac:dyDescent="0.35">
      <c r="A55" s="2">
        <v>42440</v>
      </c>
      <c r="B55" s="61" t="s">
        <v>627</v>
      </c>
      <c r="C55">
        <v>0</v>
      </c>
    </row>
    <row r="56" spans="1:9" ht="15.5" x14ac:dyDescent="0.35">
      <c r="A56" s="2">
        <v>42440</v>
      </c>
      <c r="B56" s="61" t="s">
        <v>628</v>
      </c>
      <c r="C56">
        <v>0</v>
      </c>
    </row>
    <row r="57" spans="1:9" ht="15.5" x14ac:dyDescent="0.35">
      <c r="A57" s="2">
        <v>42440</v>
      </c>
      <c r="B57" s="61" t="s">
        <v>629</v>
      </c>
      <c r="C57">
        <v>0</v>
      </c>
    </row>
    <row r="58" spans="1:9" ht="15.5" x14ac:dyDescent="0.35">
      <c r="A58" s="2">
        <v>42440</v>
      </c>
      <c r="B58" s="61" t="s">
        <v>630</v>
      </c>
      <c r="C58">
        <v>0</v>
      </c>
    </row>
    <row r="59" spans="1:9" ht="15.5" x14ac:dyDescent="0.35">
      <c r="A59" s="2">
        <v>42440</v>
      </c>
      <c r="B59" s="61" t="s">
        <v>631</v>
      </c>
      <c r="C59">
        <v>0</v>
      </c>
    </row>
    <row r="60" spans="1:9" ht="15.5" x14ac:dyDescent="0.35">
      <c r="A60" s="2">
        <v>42440</v>
      </c>
      <c r="B60" s="61" t="s">
        <v>632</v>
      </c>
      <c r="C60">
        <v>0</v>
      </c>
    </row>
    <row r="61" spans="1:9" ht="15.5" x14ac:dyDescent="0.35">
      <c r="A61" s="2">
        <v>42440</v>
      </c>
      <c r="B61" s="61" t="s">
        <v>633</v>
      </c>
      <c r="C61">
        <v>0</v>
      </c>
    </row>
    <row r="62" spans="1:9" ht="15.5" x14ac:dyDescent="0.35">
      <c r="A62" s="2">
        <v>42441</v>
      </c>
      <c r="B62" s="61" t="s">
        <v>20</v>
      </c>
      <c r="C62">
        <v>30</v>
      </c>
    </row>
    <row r="63" spans="1:9" ht="15.5" x14ac:dyDescent="0.35">
      <c r="A63" s="2">
        <v>42440</v>
      </c>
      <c r="B63" s="61" t="s">
        <v>634</v>
      </c>
      <c r="C63" t="s">
        <v>79</v>
      </c>
    </row>
    <row r="64" spans="1:9" ht="15.5" x14ac:dyDescent="0.35">
      <c r="A64" s="2">
        <v>42440</v>
      </c>
      <c r="B64" s="61" t="s">
        <v>635</v>
      </c>
      <c r="C64" t="s">
        <v>79</v>
      </c>
    </row>
    <row r="65" spans="1:15" ht="15.5" x14ac:dyDescent="0.35">
      <c r="A65" s="2">
        <v>42440</v>
      </c>
      <c r="B65" s="61" t="s">
        <v>636</v>
      </c>
      <c r="C65" t="s">
        <v>79</v>
      </c>
    </row>
    <row r="66" spans="1:15" ht="15.5" x14ac:dyDescent="0.35">
      <c r="A66" s="2">
        <v>42440</v>
      </c>
      <c r="B66" s="61" t="s">
        <v>637</v>
      </c>
      <c r="C66" t="s">
        <v>79</v>
      </c>
    </row>
    <row r="67" spans="1:15" ht="15.5" x14ac:dyDescent="0.35">
      <c r="A67" s="2">
        <v>42440</v>
      </c>
      <c r="B67" s="61" t="s">
        <v>638</v>
      </c>
      <c r="C67" t="s">
        <v>79</v>
      </c>
    </row>
    <row r="68" spans="1:15" s="4" customFormat="1" ht="15.5" x14ac:dyDescent="0.35">
      <c r="A68" s="3">
        <v>42440</v>
      </c>
      <c r="B68" s="62" t="s">
        <v>639</v>
      </c>
      <c r="C68" s="4" t="s">
        <v>79</v>
      </c>
    </row>
    <row r="69" spans="1:15" ht="15.5" x14ac:dyDescent="0.35">
      <c r="A69" s="2">
        <v>42447</v>
      </c>
      <c r="B69" s="61" t="s">
        <v>29</v>
      </c>
      <c r="C69">
        <v>63</v>
      </c>
    </row>
    <row r="70" spans="1:15" ht="15.5" x14ac:dyDescent="0.35">
      <c r="A70" s="2">
        <v>42447</v>
      </c>
      <c r="B70" s="61" t="s">
        <v>610</v>
      </c>
      <c r="C70">
        <v>5</v>
      </c>
      <c r="N70">
        <v>1</v>
      </c>
    </row>
    <row r="71" spans="1:15" ht="15.5" x14ac:dyDescent="0.35">
      <c r="A71" s="2">
        <v>42447</v>
      </c>
      <c r="B71" s="61" t="s">
        <v>611</v>
      </c>
      <c r="C71">
        <v>3</v>
      </c>
    </row>
    <row r="72" spans="1:15" ht="15.5" x14ac:dyDescent="0.35">
      <c r="A72" s="2">
        <v>42447</v>
      </c>
      <c r="B72" s="61" t="s">
        <v>612</v>
      </c>
      <c r="C72">
        <v>3</v>
      </c>
      <c r="G72">
        <v>1</v>
      </c>
    </row>
    <row r="73" spans="1:15" ht="15.5" x14ac:dyDescent="0.35">
      <c r="A73" s="2">
        <v>42447</v>
      </c>
      <c r="B73" s="61" t="s">
        <v>613</v>
      </c>
      <c r="C73">
        <v>0</v>
      </c>
      <c r="E73" t="s">
        <v>87</v>
      </c>
    </row>
    <row r="74" spans="1:15" ht="15.5" x14ac:dyDescent="0.35">
      <c r="A74" s="2">
        <v>42447</v>
      </c>
      <c r="B74" s="61" t="s">
        <v>38</v>
      </c>
      <c r="C74">
        <v>1261</v>
      </c>
    </row>
    <row r="75" spans="1:15" ht="15.5" x14ac:dyDescent="0.35">
      <c r="A75" s="2">
        <v>42447</v>
      </c>
      <c r="B75" s="61" t="s">
        <v>614</v>
      </c>
      <c r="C75">
        <v>0</v>
      </c>
    </row>
    <row r="76" spans="1:15" ht="15.5" x14ac:dyDescent="0.35">
      <c r="A76" s="2">
        <v>42447</v>
      </c>
      <c r="B76" s="61" t="s">
        <v>615</v>
      </c>
      <c r="C76">
        <v>0</v>
      </c>
    </row>
    <row r="77" spans="1:15" ht="15.5" x14ac:dyDescent="0.35">
      <c r="A77" s="2">
        <v>42447</v>
      </c>
      <c r="B77" s="61" t="s">
        <v>616</v>
      </c>
      <c r="C77">
        <v>2</v>
      </c>
    </row>
    <row r="78" spans="1:15" ht="15.5" x14ac:dyDescent="0.35">
      <c r="A78" s="2">
        <v>42447</v>
      </c>
      <c r="B78" s="61" t="s">
        <v>617</v>
      </c>
      <c r="C78">
        <v>0</v>
      </c>
      <c r="I78">
        <v>1</v>
      </c>
      <c r="O78">
        <v>2</v>
      </c>
    </row>
    <row r="79" spans="1:15" ht="15.5" x14ac:dyDescent="0.35">
      <c r="A79" s="2">
        <v>42447</v>
      </c>
      <c r="B79" s="61" t="s">
        <v>618</v>
      </c>
      <c r="C79">
        <v>0</v>
      </c>
    </row>
    <row r="80" spans="1:15" ht="15.5" x14ac:dyDescent="0.35">
      <c r="A80" s="2">
        <v>42447</v>
      </c>
      <c r="B80" s="61" t="s">
        <v>619</v>
      </c>
      <c r="C80">
        <v>0</v>
      </c>
    </row>
    <row r="81" spans="1:15" ht="15.5" x14ac:dyDescent="0.35">
      <c r="A81" s="2">
        <v>42447</v>
      </c>
      <c r="B81" s="61" t="s">
        <v>620</v>
      </c>
      <c r="C81">
        <v>0</v>
      </c>
    </row>
    <row r="82" spans="1:15" ht="15.5" x14ac:dyDescent="0.35">
      <c r="A82" s="2">
        <v>42447</v>
      </c>
      <c r="B82" s="61" t="s">
        <v>621</v>
      </c>
      <c r="C82">
        <v>0</v>
      </c>
      <c r="J82">
        <v>1</v>
      </c>
      <c r="K82">
        <v>2</v>
      </c>
    </row>
    <row r="83" spans="1:15" ht="15.5" x14ac:dyDescent="0.35">
      <c r="A83" s="2">
        <v>42447</v>
      </c>
      <c r="B83" s="61" t="s">
        <v>622</v>
      </c>
      <c r="C83">
        <v>0</v>
      </c>
    </row>
    <row r="84" spans="1:15" ht="15.5" x14ac:dyDescent="0.35">
      <c r="A84" s="2">
        <v>42447</v>
      </c>
      <c r="B84" s="61" t="s">
        <v>623</v>
      </c>
      <c r="C84">
        <v>0</v>
      </c>
    </row>
    <row r="85" spans="1:15" ht="15.5" x14ac:dyDescent="0.35">
      <c r="A85" s="2">
        <v>42447</v>
      </c>
      <c r="B85" s="61" t="s">
        <v>624</v>
      </c>
      <c r="C85">
        <v>0</v>
      </c>
    </row>
    <row r="86" spans="1:15" ht="15.5" x14ac:dyDescent="0.35">
      <c r="A86" s="2">
        <v>42447</v>
      </c>
      <c r="B86" s="61" t="s">
        <v>625</v>
      </c>
      <c r="C86">
        <v>0</v>
      </c>
      <c r="L86">
        <v>1</v>
      </c>
    </row>
    <row r="87" spans="1:15" ht="15.5" x14ac:dyDescent="0.35">
      <c r="A87" s="2">
        <v>42447</v>
      </c>
      <c r="B87" s="61" t="s">
        <v>626</v>
      </c>
      <c r="C87">
        <v>0</v>
      </c>
    </row>
    <row r="88" spans="1:15" ht="15.5" x14ac:dyDescent="0.35">
      <c r="A88" s="2">
        <v>42447</v>
      </c>
      <c r="B88" s="61" t="s">
        <v>627</v>
      </c>
      <c r="C88">
        <v>0</v>
      </c>
    </row>
    <row r="89" spans="1:15" ht="15.5" x14ac:dyDescent="0.35">
      <c r="A89" s="2">
        <v>42447</v>
      </c>
      <c r="B89" s="61" t="s">
        <v>628</v>
      </c>
      <c r="C89">
        <v>0</v>
      </c>
    </row>
    <row r="90" spans="1:15" ht="15.5" x14ac:dyDescent="0.35">
      <c r="A90" s="2">
        <v>42447</v>
      </c>
      <c r="B90" s="61" t="s">
        <v>629</v>
      </c>
      <c r="C90">
        <v>0</v>
      </c>
      <c r="E90" t="s">
        <v>87</v>
      </c>
      <c r="K90">
        <v>1</v>
      </c>
    </row>
    <row r="91" spans="1:15" ht="15.5" x14ac:dyDescent="0.35">
      <c r="A91" s="2">
        <v>42447</v>
      </c>
      <c r="B91" s="61" t="s">
        <v>630</v>
      </c>
      <c r="C91">
        <v>0</v>
      </c>
    </row>
    <row r="92" spans="1:15" ht="15.5" x14ac:dyDescent="0.35">
      <c r="A92" s="2">
        <v>42447</v>
      </c>
      <c r="B92" s="61" t="s">
        <v>631</v>
      </c>
      <c r="C92">
        <v>0</v>
      </c>
    </row>
    <row r="93" spans="1:15" ht="15.5" x14ac:dyDescent="0.35">
      <c r="A93" s="2">
        <v>42447</v>
      </c>
      <c r="B93" s="61" t="s">
        <v>632</v>
      </c>
      <c r="C93">
        <v>0</v>
      </c>
    </row>
    <row r="94" spans="1:15" ht="15.5" x14ac:dyDescent="0.35">
      <c r="A94" s="2">
        <v>42447</v>
      </c>
      <c r="B94" s="61" t="s">
        <v>633</v>
      </c>
      <c r="C94">
        <v>0</v>
      </c>
      <c r="K94">
        <v>1</v>
      </c>
      <c r="O94">
        <v>1</v>
      </c>
    </row>
    <row r="95" spans="1:15" ht="15.5" x14ac:dyDescent="0.35">
      <c r="A95" s="2">
        <v>42447</v>
      </c>
      <c r="B95" s="61" t="s">
        <v>20</v>
      </c>
      <c r="C95">
        <v>17</v>
      </c>
    </row>
    <row r="96" spans="1:15" ht="15.5" x14ac:dyDescent="0.35">
      <c r="A96" s="2">
        <v>42447</v>
      </c>
      <c r="B96" s="61" t="s">
        <v>634</v>
      </c>
      <c r="C96">
        <v>0</v>
      </c>
    </row>
    <row r="97" spans="1:7" ht="15.5" x14ac:dyDescent="0.35">
      <c r="A97" s="2">
        <v>42447</v>
      </c>
      <c r="B97" s="61" t="s">
        <v>635</v>
      </c>
      <c r="C97">
        <v>0</v>
      </c>
    </row>
    <row r="98" spans="1:7" ht="15.5" x14ac:dyDescent="0.35">
      <c r="A98" s="2">
        <v>42447</v>
      </c>
      <c r="B98" s="61" t="s">
        <v>636</v>
      </c>
      <c r="C98">
        <v>0</v>
      </c>
    </row>
    <row r="99" spans="1:7" ht="15.5" x14ac:dyDescent="0.35">
      <c r="A99" s="2">
        <v>42447</v>
      </c>
      <c r="B99" s="61" t="s">
        <v>637</v>
      </c>
      <c r="C99">
        <v>0</v>
      </c>
    </row>
    <row r="100" spans="1:7" ht="15.5" x14ac:dyDescent="0.35">
      <c r="A100" s="2">
        <v>42447</v>
      </c>
      <c r="B100" s="61" t="s">
        <v>638</v>
      </c>
      <c r="C100">
        <v>0</v>
      </c>
    </row>
    <row r="101" spans="1:7" s="4" customFormat="1" ht="15.5" x14ac:dyDescent="0.35">
      <c r="A101" s="3">
        <v>42447</v>
      </c>
      <c r="B101" s="62" t="s">
        <v>639</v>
      </c>
      <c r="C101" s="4">
        <v>0</v>
      </c>
    </row>
    <row r="102" spans="1:7" ht="15.5" x14ac:dyDescent="0.35">
      <c r="A102" s="2">
        <v>42454</v>
      </c>
      <c r="B102" s="61" t="s">
        <v>29</v>
      </c>
      <c r="C102" s="10">
        <v>565</v>
      </c>
      <c r="D102" s="10">
        <v>8</v>
      </c>
    </row>
    <row r="103" spans="1:7" ht="15.5" x14ac:dyDescent="0.35">
      <c r="A103" s="2">
        <v>42454</v>
      </c>
      <c r="B103" s="61" t="s">
        <v>610</v>
      </c>
      <c r="C103">
        <v>35</v>
      </c>
    </row>
    <row r="104" spans="1:7" ht="15.5" x14ac:dyDescent="0.35">
      <c r="A104" s="2">
        <v>42454</v>
      </c>
      <c r="B104" s="61" t="s">
        <v>611</v>
      </c>
      <c r="C104">
        <v>25</v>
      </c>
    </row>
    <row r="105" spans="1:7" ht="15.5" x14ac:dyDescent="0.35">
      <c r="A105" s="2">
        <v>42454</v>
      </c>
      <c r="B105" s="61" t="s">
        <v>612</v>
      </c>
      <c r="C105">
        <v>25</v>
      </c>
    </row>
    <row r="106" spans="1:7" ht="15.5" x14ac:dyDescent="0.35">
      <c r="A106" s="2">
        <v>42454</v>
      </c>
      <c r="B106" s="61" t="s">
        <v>613</v>
      </c>
      <c r="C106">
        <v>0</v>
      </c>
      <c r="E106">
        <v>4</v>
      </c>
    </row>
    <row r="107" spans="1:7" ht="15.5" x14ac:dyDescent="0.35">
      <c r="A107" s="2">
        <v>42454</v>
      </c>
      <c r="B107" s="61" t="s">
        <v>38</v>
      </c>
      <c r="C107">
        <v>2549</v>
      </c>
    </row>
    <row r="108" spans="1:7" ht="15.5" x14ac:dyDescent="0.35">
      <c r="A108" s="2">
        <v>42454</v>
      </c>
      <c r="B108" s="61" t="s">
        <v>614</v>
      </c>
      <c r="C108">
        <v>2</v>
      </c>
    </row>
    <row r="109" spans="1:7" ht="15.5" x14ac:dyDescent="0.35">
      <c r="A109" s="2">
        <v>42454</v>
      </c>
      <c r="B109" s="61" t="s">
        <v>615</v>
      </c>
      <c r="C109">
        <v>2</v>
      </c>
    </row>
    <row r="110" spans="1:7" ht="15.5" x14ac:dyDescent="0.35">
      <c r="A110" s="2">
        <v>42454</v>
      </c>
      <c r="B110" s="61" t="s">
        <v>616</v>
      </c>
      <c r="C110">
        <v>1</v>
      </c>
    </row>
    <row r="111" spans="1:7" ht="15.5" x14ac:dyDescent="0.35">
      <c r="A111" s="2">
        <v>42454</v>
      </c>
      <c r="B111" s="61" t="s">
        <v>617</v>
      </c>
      <c r="C111">
        <v>0</v>
      </c>
      <c r="E111">
        <v>3</v>
      </c>
      <c r="G111">
        <v>1</v>
      </c>
    </row>
    <row r="112" spans="1:7" ht="15.5" x14ac:dyDescent="0.35">
      <c r="A112" s="2">
        <v>42454</v>
      </c>
      <c r="B112" s="61" t="s">
        <v>618</v>
      </c>
      <c r="C112">
        <v>0</v>
      </c>
    </row>
    <row r="113" spans="1:11" ht="15.5" x14ac:dyDescent="0.35">
      <c r="A113" s="2">
        <v>42454</v>
      </c>
      <c r="B113" s="61" t="s">
        <v>619</v>
      </c>
      <c r="C113">
        <v>0</v>
      </c>
    </row>
    <row r="114" spans="1:11" ht="15.5" x14ac:dyDescent="0.35">
      <c r="A114" s="2">
        <v>42454</v>
      </c>
      <c r="B114" s="61" t="s">
        <v>620</v>
      </c>
      <c r="C114">
        <v>0</v>
      </c>
    </row>
    <row r="115" spans="1:11" ht="15.5" x14ac:dyDescent="0.35">
      <c r="A115" s="2">
        <v>42454</v>
      </c>
      <c r="B115" s="61" t="s">
        <v>621</v>
      </c>
      <c r="C115">
        <v>0</v>
      </c>
      <c r="K115">
        <v>3</v>
      </c>
    </row>
    <row r="116" spans="1:11" ht="15.5" x14ac:dyDescent="0.35">
      <c r="A116" s="2">
        <v>42454</v>
      </c>
      <c r="B116" s="61" t="s">
        <v>622</v>
      </c>
      <c r="C116">
        <v>0</v>
      </c>
    </row>
    <row r="117" spans="1:11" ht="15.5" x14ac:dyDescent="0.35">
      <c r="A117" s="2">
        <v>42454</v>
      </c>
      <c r="B117" s="61" t="s">
        <v>623</v>
      </c>
      <c r="C117">
        <v>0</v>
      </c>
    </row>
    <row r="118" spans="1:11" ht="15.5" x14ac:dyDescent="0.35">
      <c r="A118" s="2">
        <v>42454</v>
      </c>
      <c r="B118" s="61" t="s">
        <v>624</v>
      </c>
      <c r="C118">
        <v>0</v>
      </c>
    </row>
    <row r="119" spans="1:11" ht="15.5" x14ac:dyDescent="0.35">
      <c r="A119" s="2">
        <v>42454</v>
      </c>
      <c r="B119" s="61" t="s">
        <v>625</v>
      </c>
      <c r="C119">
        <v>0</v>
      </c>
      <c r="I119">
        <v>1</v>
      </c>
      <c r="J119">
        <v>1</v>
      </c>
    </row>
    <row r="120" spans="1:11" ht="15.5" x14ac:dyDescent="0.35">
      <c r="A120" s="2">
        <v>42454</v>
      </c>
      <c r="B120" s="61" t="s">
        <v>626</v>
      </c>
      <c r="C120">
        <v>0</v>
      </c>
    </row>
    <row r="121" spans="1:11" ht="15.5" x14ac:dyDescent="0.35">
      <c r="A121" s="2">
        <v>42454</v>
      </c>
      <c r="B121" s="61" t="s">
        <v>627</v>
      </c>
      <c r="C121">
        <v>0</v>
      </c>
    </row>
    <row r="122" spans="1:11" ht="15.5" x14ac:dyDescent="0.35">
      <c r="A122" s="2">
        <v>42454</v>
      </c>
      <c r="B122" s="61" t="s">
        <v>628</v>
      </c>
      <c r="C122">
        <v>0</v>
      </c>
    </row>
    <row r="123" spans="1:11" ht="15.5" x14ac:dyDescent="0.35">
      <c r="A123" s="2">
        <v>42454</v>
      </c>
      <c r="B123" s="61" t="s">
        <v>629</v>
      </c>
      <c r="C123">
        <v>0</v>
      </c>
      <c r="E123">
        <v>2</v>
      </c>
    </row>
    <row r="124" spans="1:11" ht="15.5" x14ac:dyDescent="0.35">
      <c r="A124" s="2">
        <v>42454</v>
      </c>
      <c r="B124" s="61" t="s">
        <v>630</v>
      </c>
      <c r="C124">
        <v>0</v>
      </c>
    </row>
    <row r="125" spans="1:11" ht="15.5" x14ac:dyDescent="0.35">
      <c r="A125" s="2">
        <v>42454</v>
      </c>
      <c r="B125" s="61" t="s">
        <v>631</v>
      </c>
      <c r="C125">
        <v>0</v>
      </c>
    </row>
    <row r="126" spans="1:11" ht="15.5" x14ac:dyDescent="0.35">
      <c r="A126" s="2">
        <v>42454</v>
      </c>
      <c r="B126" s="61" t="s">
        <v>632</v>
      </c>
      <c r="C126">
        <v>0</v>
      </c>
    </row>
    <row r="127" spans="1:11" ht="15.5" x14ac:dyDescent="0.35">
      <c r="A127" s="2">
        <v>42454</v>
      </c>
      <c r="B127" s="61" t="s">
        <v>633</v>
      </c>
      <c r="C127">
        <v>0</v>
      </c>
      <c r="E127">
        <v>2</v>
      </c>
    </row>
    <row r="128" spans="1:11" ht="15.5" x14ac:dyDescent="0.35">
      <c r="A128" s="2">
        <v>42454</v>
      </c>
      <c r="B128" s="61" t="s">
        <v>20</v>
      </c>
      <c r="C128">
        <v>52</v>
      </c>
    </row>
    <row r="129" spans="1:16" ht="15.5" x14ac:dyDescent="0.35">
      <c r="A129" s="2">
        <v>42454</v>
      </c>
      <c r="B129" s="61" t="s">
        <v>634</v>
      </c>
      <c r="C129">
        <v>1</v>
      </c>
    </row>
    <row r="130" spans="1:16" ht="15.5" x14ac:dyDescent="0.35">
      <c r="A130" s="2">
        <v>42454</v>
      </c>
      <c r="B130" s="61" t="s">
        <v>635</v>
      </c>
      <c r="C130">
        <v>1</v>
      </c>
    </row>
    <row r="131" spans="1:16" ht="15.5" x14ac:dyDescent="0.35">
      <c r="A131" s="2">
        <v>42454</v>
      </c>
      <c r="B131" s="61" t="s">
        <v>636</v>
      </c>
      <c r="C131">
        <v>0</v>
      </c>
    </row>
    <row r="132" spans="1:16" ht="15.5" x14ac:dyDescent="0.35">
      <c r="A132" s="2">
        <v>42454</v>
      </c>
      <c r="B132" s="61" t="s">
        <v>637</v>
      </c>
      <c r="C132">
        <v>0</v>
      </c>
    </row>
    <row r="133" spans="1:16" ht="15.5" x14ac:dyDescent="0.35">
      <c r="A133" s="2">
        <v>42454</v>
      </c>
      <c r="B133" s="61" t="s">
        <v>638</v>
      </c>
      <c r="C133">
        <v>0</v>
      </c>
    </row>
    <row r="134" spans="1:16" s="4" customFormat="1" ht="15.5" x14ac:dyDescent="0.35">
      <c r="A134" s="3">
        <v>42454</v>
      </c>
      <c r="B134" s="62" t="s">
        <v>639</v>
      </c>
      <c r="C134" s="4">
        <v>0</v>
      </c>
    </row>
    <row r="135" spans="1:16" ht="15.5" x14ac:dyDescent="0.35">
      <c r="A135" s="2">
        <v>42461</v>
      </c>
      <c r="B135" s="61" t="s">
        <v>29</v>
      </c>
      <c r="C135">
        <v>5697</v>
      </c>
      <c r="D135">
        <v>40</v>
      </c>
    </row>
    <row r="136" spans="1:16" ht="15.5" x14ac:dyDescent="0.35">
      <c r="A136" s="2">
        <v>42461</v>
      </c>
      <c r="B136" s="61" t="s">
        <v>610</v>
      </c>
      <c r="C136">
        <v>1</v>
      </c>
      <c r="D136">
        <v>1</v>
      </c>
    </row>
    <row r="137" spans="1:16" ht="15.5" x14ac:dyDescent="0.35">
      <c r="A137" s="2">
        <v>42461</v>
      </c>
      <c r="B137" s="61" t="s">
        <v>611</v>
      </c>
      <c r="C137">
        <v>1</v>
      </c>
    </row>
    <row r="138" spans="1:16" ht="15.5" x14ac:dyDescent="0.35">
      <c r="A138" s="2">
        <v>42461</v>
      </c>
      <c r="B138" s="61" t="s">
        <v>612</v>
      </c>
      <c r="C138">
        <v>2</v>
      </c>
    </row>
    <row r="139" spans="1:16" ht="15.5" x14ac:dyDescent="0.35">
      <c r="A139" s="2">
        <v>42461</v>
      </c>
      <c r="B139" s="61" t="s">
        <v>613</v>
      </c>
      <c r="C139">
        <v>0</v>
      </c>
    </row>
    <row r="140" spans="1:16" ht="15.5" x14ac:dyDescent="0.35">
      <c r="A140" s="2">
        <v>42461</v>
      </c>
      <c r="B140" s="61" t="s">
        <v>38</v>
      </c>
      <c r="C140">
        <v>5632</v>
      </c>
      <c r="D140">
        <v>37</v>
      </c>
      <c r="P140">
        <v>1</v>
      </c>
    </row>
    <row r="141" spans="1:16" ht="15.5" x14ac:dyDescent="0.35">
      <c r="A141" s="2">
        <v>42461</v>
      </c>
      <c r="B141" s="61" t="s">
        <v>614</v>
      </c>
      <c r="C141">
        <v>1</v>
      </c>
    </row>
    <row r="142" spans="1:16" ht="15.5" x14ac:dyDescent="0.35">
      <c r="A142" s="2">
        <v>42461</v>
      </c>
      <c r="B142" s="61" t="s">
        <v>615</v>
      </c>
      <c r="C142">
        <v>1</v>
      </c>
    </row>
    <row r="143" spans="1:16" ht="15.5" x14ac:dyDescent="0.35">
      <c r="A143" s="2">
        <v>42461</v>
      </c>
      <c r="B143" s="61" t="s">
        <v>616</v>
      </c>
      <c r="C143">
        <v>1</v>
      </c>
      <c r="D143">
        <v>1</v>
      </c>
    </row>
    <row r="144" spans="1:16" ht="15.5" x14ac:dyDescent="0.35">
      <c r="A144" s="2">
        <v>42461</v>
      </c>
      <c r="B144" s="61" t="s">
        <v>617</v>
      </c>
      <c r="C144">
        <v>0</v>
      </c>
    </row>
    <row r="145" spans="1:11" ht="15.5" x14ac:dyDescent="0.35">
      <c r="A145" s="2">
        <v>42461</v>
      </c>
      <c r="B145" s="61" t="s">
        <v>618</v>
      </c>
      <c r="C145">
        <v>0</v>
      </c>
    </row>
    <row r="146" spans="1:11" ht="15.5" x14ac:dyDescent="0.35">
      <c r="A146" s="2">
        <v>42461</v>
      </c>
      <c r="B146" s="61" t="s">
        <v>619</v>
      </c>
      <c r="C146">
        <v>0</v>
      </c>
    </row>
    <row r="147" spans="1:11" ht="15.5" x14ac:dyDescent="0.35">
      <c r="A147" s="2">
        <v>42461</v>
      </c>
      <c r="B147" s="61" t="s">
        <v>620</v>
      </c>
      <c r="C147">
        <v>0</v>
      </c>
    </row>
    <row r="148" spans="1:11" ht="15.5" x14ac:dyDescent="0.35">
      <c r="A148" s="2">
        <v>42461</v>
      </c>
      <c r="B148" s="61" t="s">
        <v>621</v>
      </c>
      <c r="C148">
        <v>0</v>
      </c>
      <c r="E148">
        <v>67</v>
      </c>
      <c r="G148">
        <v>1</v>
      </c>
    </row>
    <row r="149" spans="1:11" ht="15.5" x14ac:dyDescent="0.35">
      <c r="A149" s="2">
        <v>42461</v>
      </c>
      <c r="B149" s="61" t="s">
        <v>622</v>
      </c>
      <c r="C149">
        <v>0</v>
      </c>
    </row>
    <row r="150" spans="1:11" ht="15.5" x14ac:dyDescent="0.35">
      <c r="A150" s="2">
        <v>42461</v>
      </c>
      <c r="B150" s="61" t="s">
        <v>623</v>
      </c>
      <c r="C150">
        <v>0</v>
      </c>
      <c r="D150">
        <v>1</v>
      </c>
    </row>
    <row r="151" spans="1:11" ht="15.5" x14ac:dyDescent="0.35">
      <c r="A151" s="2">
        <v>42461</v>
      </c>
      <c r="B151" s="61" t="s">
        <v>624</v>
      </c>
      <c r="C151">
        <v>0</v>
      </c>
    </row>
    <row r="152" spans="1:11" ht="15.5" x14ac:dyDescent="0.35">
      <c r="A152" s="2">
        <v>42461</v>
      </c>
      <c r="B152" s="61" t="s">
        <v>625</v>
      </c>
      <c r="C152">
        <v>0</v>
      </c>
      <c r="E152">
        <v>47</v>
      </c>
      <c r="K152">
        <v>2</v>
      </c>
    </row>
    <row r="153" spans="1:11" ht="15.5" x14ac:dyDescent="0.35">
      <c r="A153" s="2">
        <v>42461</v>
      </c>
      <c r="B153" s="61" t="s">
        <v>626</v>
      </c>
      <c r="C153">
        <v>0</v>
      </c>
    </row>
    <row r="154" spans="1:11" ht="15.5" x14ac:dyDescent="0.35">
      <c r="A154" s="2">
        <v>42461</v>
      </c>
      <c r="B154" s="61" t="s">
        <v>627</v>
      </c>
      <c r="C154">
        <v>0</v>
      </c>
    </row>
    <row r="155" spans="1:11" ht="15.5" x14ac:dyDescent="0.35">
      <c r="A155" s="2">
        <v>42461</v>
      </c>
      <c r="B155" s="61" t="s">
        <v>628</v>
      </c>
      <c r="C155">
        <v>0</v>
      </c>
    </row>
    <row r="156" spans="1:11" ht="15.5" x14ac:dyDescent="0.35">
      <c r="A156" s="2">
        <v>42461</v>
      </c>
      <c r="B156" s="61" t="s">
        <v>629</v>
      </c>
      <c r="C156">
        <v>0</v>
      </c>
      <c r="E156">
        <v>38</v>
      </c>
    </row>
    <row r="157" spans="1:11" ht="15.5" x14ac:dyDescent="0.35">
      <c r="A157" s="2">
        <v>42461</v>
      </c>
      <c r="B157" s="61" t="s">
        <v>630</v>
      </c>
      <c r="C157">
        <v>0</v>
      </c>
    </row>
    <row r="158" spans="1:11" ht="15.5" x14ac:dyDescent="0.35">
      <c r="A158" s="2">
        <v>42461</v>
      </c>
      <c r="B158" s="61" t="s">
        <v>631</v>
      </c>
      <c r="C158">
        <v>0</v>
      </c>
    </row>
    <row r="159" spans="1:11" ht="15.5" x14ac:dyDescent="0.35">
      <c r="A159" s="2">
        <v>42461</v>
      </c>
      <c r="B159" s="61" t="s">
        <v>632</v>
      </c>
      <c r="C159">
        <v>0</v>
      </c>
    </row>
    <row r="160" spans="1:11" ht="15.5" x14ac:dyDescent="0.35">
      <c r="A160" s="2">
        <v>42461</v>
      </c>
      <c r="B160" s="61" t="s">
        <v>633</v>
      </c>
      <c r="C160">
        <v>0</v>
      </c>
      <c r="E160">
        <v>14</v>
      </c>
    </row>
    <row r="161" spans="1:17" ht="15.5" x14ac:dyDescent="0.35">
      <c r="A161" s="2">
        <v>42461</v>
      </c>
      <c r="B161" s="61" t="s">
        <v>20</v>
      </c>
      <c r="C161">
        <v>16</v>
      </c>
    </row>
    <row r="162" spans="1:17" ht="15.5" x14ac:dyDescent="0.35">
      <c r="A162" s="2">
        <v>42461</v>
      </c>
      <c r="B162" s="61" t="s">
        <v>634</v>
      </c>
      <c r="C162">
        <v>0</v>
      </c>
    </row>
    <row r="163" spans="1:17" ht="15.5" x14ac:dyDescent="0.35">
      <c r="A163" s="2">
        <v>42461</v>
      </c>
      <c r="B163" s="61" t="s">
        <v>635</v>
      </c>
      <c r="C163">
        <v>0</v>
      </c>
    </row>
    <row r="164" spans="1:17" ht="15.5" x14ac:dyDescent="0.35">
      <c r="A164" s="2">
        <v>42461</v>
      </c>
      <c r="B164" s="61" t="s">
        <v>636</v>
      </c>
      <c r="C164">
        <v>0</v>
      </c>
    </row>
    <row r="165" spans="1:17" ht="15.5" x14ac:dyDescent="0.35">
      <c r="A165" s="2">
        <v>42461</v>
      </c>
      <c r="B165" s="61" t="s">
        <v>637</v>
      </c>
      <c r="C165">
        <v>1</v>
      </c>
      <c r="D165">
        <v>1</v>
      </c>
    </row>
    <row r="166" spans="1:17" ht="15.5" x14ac:dyDescent="0.35">
      <c r="A166" s="2">
        <v>42461</v>
      </c>
      <c r="B166" s="61" t="s">
        <v>638</v>
      </c>
      <c r="C166">
        <v>1</v>
      </c>
    </row>
    <row r="167" spans="1:17" s="4" customFormat="1" ht="15.5" x14ac:dyDescent="0.35">
      <c r="A167" s="3">
        <v>42461</v>
      </c>
      <c r="B167" s="62" t="s">
        <v>639</v>
      </c>
      <c r="C167" s="4">
        <v>1</v>
      </c>
    </row>
    <row r="168" spans="1:17" ht="15.5" x14ac:dyDescent="0.35">
      <c r="A168" s="2">
        <v>42468</v>
      </c>
      <c r="B168" s="61" t="s">
        <v>29</v>
      </c>
      <c r="C168">
        <v>2119</v>
      </c>
      <c r="D168">
        <v>38</v>
      </c>
      <c r="J168">
        <v>1</v>
      </c>
    </row>
    <row r="169" spans="1:17" ht="15.5" x14ac:dyDescent="0.35">
      <c r="A169" s="2">
        <v>42468</v>
      </c>
      <c r="B169" s="61" t="s">
        <v>610</v>
      </c>
      <c r="C169">
        <v>1</v>
      </c>
    </row>
    <row r="170" spans="1:17" ht="15.5" x14ac:dyDescent="0.35">
      <c r="A170" s="2">
        <v>42468</v>
      </c>
      <c r="B170" s="61" t="s">
        <v>611</v>
      </c>
      <c r="C170">
        <v>0</v>
      </c>
    </row>
    <row r="171" spans="1:17" ht="15.5" x14ac:dyDescent="0.35">
      <c r="A171" s="2">
        <v>42468</v>
      </c>
      <c r="B171" s="61" t="s">
        <v>612</v>
      </c>
      <c r="C171">
        <v>1</v>
      </c>
      <c r="D171">
        <v>4</v>
      </c>
      <c r="G171">
        <v>1</v>
      </c>
    </row>
    <row r="172" spans="1:17" ht="15.5" x14ac:dyDescent="0.35">
      <c r="A172" s="2">
        <v>42468</v>
      </c>
      <c r="B172" s="61" t="s">
        <v>613</v>
      </c>
      <c r="C172">
        <v>0</v>
      </c>
      <c r="E172">
        <v>4</v>
      </c>
      <c r="Q172">
        <v>3</v>
      </c>
    </row>
    <row r="173" spans="1:17" ht="15.5" x14ac:dyDescent="0.35">
      <c r="A173" s="2">
        <v>42468</v>
      </c>
      <c r="B173" s="61" t="s">
        <v>38</v>
      </c>
      <c r="C173">
        <v>997</v>
      </c>
      <c r="D173">
        <v>46</v>
      </c>
    </row>
    <row r="174" spans="1:17" ht="15.5" x14ac:dyDescent="0.35">
      <c r="A174" s="2">
        <v>42468</v>
      </c>
      <c r="B174" s="61" t="s">
        <v>614</v>
      </c>
      <c r="C174">
        <v>0</v>
      </c>
      <c r="D174">
        <v>1</v>
      </c>
      <c r="O174">
        <v>1</v>
      </c>
    </row>
    <row r="175" spans="1:17" ht="15.5" x14ac:dyDescent="0.35">
      <c r="A175" s="2">
        <v>42468</v>
      </c>
      <c r="B175" s="61" t="s">
        <v>615</v>
      </c>
      <c r="C175">
        <v>0</v>
      </c>
      <c r="D175">
        <v>1</v>
      </c>
      <c r="G175">
        <v>1</v>
      </c>
    </row>
    <row r="176" spans="1:17" ht="15.5" x14ac:dyDescent="0.35">
      <c r="A176" s="2">
        <v>42468</v>
      </c>
      <c r="B176" s="61" t="s">
        <v>616</v>
      </c>
      <c r="C176">
        <v>1</v>
      </c>
      <c r="D176">
        <v>3</v>
      </c>
    </row>
    <row r="177" spans="1:11" ht="15.5" x14ac:dyDescent="0.35">
      <c r="A177" s="2">
        <v>42468</v>
      </c>
      <c r="B177" s="61" t="s">
        <v>617</v>
      </c>
      <c r="C177">
        <v>0</v>
      </c>
    </row>
    <row r="178" spans="1:11" ht="15.5" x14ac:dyDescent="0.35">
      <c r="A178" s="2">
        <v>42468</v>
      </c>
      <c r="B178" s="61" t="s">
        <v>618</v>
      </c>
      <c r="C178">
        <v>0</v>
      </c>
    </row>
    <row r="179" spans="1:11" ht="15.5" x14ac:dyDescent="0.35">
      <c r="A179" s="2">
        <v>42468</v>
      </c>
      <c r="B179" s="61" t="s">
        <v>619</v>
      </c>
      <c r="C179">
        <v>0</v>
      </c>
    </row>
    <row r="180" spans="1:11" ht="15.5" x14ac:dyDescent="0.35">
      <c r="A180" s="2">
        <v>42468</v>
      </c>
      <c r="B180" s="61" t="s">
        <v>620</v>
      </c>
      <c r="C180">
        <v>0</v>
      </c>
    </row>
    <row r="181" spans="1:11" ht="15.5" x14ac:dyDescent="0.35">
      <c r="A181" s="2">
        <v>42468</v>
      </c>
      <c r="B181" s="61" t="s">
        <v>621</v>
      </c>
      <c r="C181">
        <v>0</v>
      </c>
    </row>
    <row r="182" spans="1:11" ht="15.5" x14ac:dyDescent="0.35">
      <c r="A182" s="2">
        <v>42468</v>
      </c>
      <c r="B182" s="61" t="s">
        <v>622</v>
      </c>
      <c r="C182">
        <v>0</v>
      </c>
      <c r="D182">
        <v>1</v>
      </c>
    </row>
    <row r="183" spans="1:11" ht="15.5" x14ac:dyDescent="0.35">
      <c r="A183" s="2">
        <v>42468</v>
      </c>
      <c r="B183" s="61" t="s">
        <v>623</v>
      </c>
      <c r="C183">
        <v>0</v>
      </c>
    </row>
    <row r="184" spans="1:11" ht="15.5" x14ac:dyDescent="0.35">
      <c r="A184" s="2">
        <v>42468</v>
      </c>
      <c r="B184" s="61" t="s">
        <v>624</v>
      </c>
      <c r="C184">
        <v>0</v>
      </c>
      <c r="D184">
        <v>2</v>
      </c>
    </row>
    <row r="185" spans="1:11" ht="15.5" x14ac:dyDescent="0.35">
      <c r="A185" s="2">
        <v>42468</v>
      </c>
      <c r="B185" s="61" t="s">
        <v>625</v>
      </c>
      <c r="C185">
        <v>0</v>
      </c>
      <c r="E185">
        <v>17</v>
      </c>
      <c r="K185">
        <v>3</v>
      </c>
    </row>
    <row r="186" spans="1:11" ht="15.5" x14ac:dyDescent="0.35">
      <c r="A186" s="2">
        <v>42468</v>
      </c>
      <c r="B186" s="61" t="s">
        <v>626</v>
      </c>
      <c r="C186">
        <v>0</v>
      </c>
    </row>
    <row r="187" spans="1:11" ht="15.5" x14ac:dyDescent="0.35">
      <c r="A187" s="2">
        <v>42468</v>
      </c>
      <c r="B187" s="61" t="s">
        <v>627</v>
      </c>
      <c r="C187">
        <v>0</v>
      </c>
    </row>
    <row r="188" spans="1:11" ht="15.5" x14ac:dyDescent="0.35">
      <c r="A188" s="2">
        <v>42468</v>
      </c>
      <c r="B188" s="61" t="s">
        <v>628</v>
      </c>
      <c r="C188">
        <v>0</v>
      </c>
      <c r="D188">
        <v>1</v>
      </c>
    </row>
    <row r="189" spans="1:11" ht="15.5" x14ac:dyDescent="0.35">
      <c r="A189" s="2">
        <v>42468</v>
      </c>
      <c r="B189" s="61" t="s">
        <v>629</v>
      </c>
      <c r="C189">
        <v>0</v>
      </c>
    </row>
    <row r="190" spans="1:11" ht="15.5" x14ac:dyDescent="0.35">
      <c r="A190" s="2">
        <v>42468</v>
      </c>
      <c r="B190" s="61" t="s">
        <v>630</v>
      </c>
      <c r="C190">
        <v>0</v>
      </c>
      <c r="D190">
        <v>1</v>
      </c>
    </row>
    <row r="191" spans="1:11" ht="15.5" x14ac:dyDescent="0.35">
      <c r="A191" s="2">
        <v>42468</v>
      </c>
      <c r="B191" s="61" t="s">
        <v>631</v>
      </c>
      <c r="C191">
        <v>0</v>
      </c>
    </row>
    <row r="192" spans="1:11" ht="15.5" x14ac:dyDescent="0.35">
      <c r="A192" s="2">
        <v>42468</v>
      </c>
      <c r="B192" s="61" t="s">
        <v>632</v>
      </c>
      <c r="C192">
        <v>0</v>
      </c>
    </row>
    <row r="193" spans="1:17" ht="15.5" x14ac:dyDescent="0.35">
      <c r="A193" s="2">
        <v>42468</v>
      </c>
      <c r="B193" s="61" t="s">
        <v>633</v>
      </c>
      <c r="C193">
        <v>0</v>
      </c>
      <c r="E193">
        <v>20</v>
      </c>
      <c r="I193">
        <v>1</v>
      </c>
      <c r="Q193">
        <v>1</v>
      </c>
    </row>
    <row r="194" spans="1:17" ht="15.5" x14ac:dyDescent="0.35">
      <c r="A194" s="2">
        <v>42468</v>
      </c>
      <c r="B194" s="61" t="s">
        <v>20</v>
      </c>
      <c r="C194">
        <v>2</v>
      </c>
    </row>
    <row r="195" spans="1:17" ht="15.5" x14ac:dyDescent="0.35">
      <c r="A195" s="2">
        <v>42468</v>
      </c>
      <c r="B195" s="61" t="s">
        <v>634</v>
      </c>
      <c r="C195">
        <v>1</v>
      </c>
    </row>
    <row r="196" spans="1:17" ht="15.5" x14ac:dyDescent="0.35">
      <c r="A196" s="2">
        <v>42468</v>
      </c>
      <c r="B196" s="61" t="s">
        <v>635</v>
      </c>
      <c r="C196">
        <v>0</v>
      </c>
    </row>
    <row r="197" spans="1:17" ht="15.5" x14ac:dyDescent="0.35">
      <c r="A197" s="2">
        <v>42468</v>
      </c>
      <c r="B197" s="61" t="s">
        <v>636</v>
      </c>
      <c r="C197">
        <v>0</v>
      </c>
    </row>
    <row r="198" spans="1:17" ht="15.5" x14ac:dyDescent="0.35">
      <c r="A198" s="2">
        <v>42468</v>
      </c>
      <c r="B198" s="61" t="s">
        <v>637</v>
      </c>
      <c r="C198">
        <v>1</v>
      </c>
      <c r="P198">
        <v>4</v>
      </c>
    </row>
    <row r="199" spans="1:17" ht="15.5" x14ac:dyDescent="0.35">
      <c r="A199" s="2">
        <v>42468</v>
      </c>
      <c r="B199" s="61" t="s">
        <v>638</v>
      </c>
      <c r="C199">
        <v>0</v>
      </c>
    </row>
    <row r="200" spans="1:17" s="5" customFormat="1" ht="15.5" x14ac:dyDescent="0.35">
      <c r="A200" s="13">
        <v>42468</v>
      </c>
      <c r="B200" s="61" t="s">
        <v>639</v>
      </c>
      <c r="C200" s="5">
        <v>0</v>
      </c>
    </row>
    <row r="201" spans="1:17" s="5" customFormat="1" ht="15.5" x14ac:dyDescent="0.35">
      <c r="A201" s="2">
        <v>42468</v>
      </c>
      <c r="B201" s="61" t="s">
        <v>121</v>
      </c>
      <c r="E201" s="5">
        <v>4</v>
      </c>
      <c r="Q201" s="5">
        <v>3</v>
      </c>
    </row>
    <row r="202" spans="1:17" s="5" customFormat="1" ht="15.5" x14ac:dyDescent="0.35">
      <c r="A202" s="2">
        <v>42468</v>
      </c>
      <c r="B202" s="61" t="s">
        <v>122</v>
      </c>
    </row>
    <row r="203" spans="1:17" s="5" customFormat="1" ht="15.5" x14ac:dyDescent="0.35">
      <c r="A203" s="2">
        <v>42468</v>
      </c>
      <c r="B203" s="61" t="s">
        <v>123</v>
      </c>
      <c r="E203" s="5">
        <v>17</v>
      </c>
      <c r="K203" s="5">
        <v>3</v>
      </c>
    </row>
    <row r="204" spans="1:17" s="5" customFormat="1" ht="15.5" x14ac:dyDescent="0.35">
      <c r="A204" s="2">
        <v>42468</v>
      </c>
      <c r="B204" s="61" t="s">
        <v>124</v>
      </c>
    </row>
    <row r="205" spans="1:17" s="5" customFormat="1" ht="15.5" x14ac:dyDescent="0.35">
      <c r="A205" s="13">
        <v>42468</v>
      </c>
      <c r="B205" s="61" t="s">
        <v>125</v>
      </c>
    </row>
    <row r="206" spans="1:17" s="4" customFormat="1" ht="15.5" x14ac:dyDescent="0.35">
      <c r="A206" s="3">
        <v>42468</v>
      </c>
      <c r="B206" s="62" t="s">
        <v>126</v>
      </c>
      <c r="E206" s="4">
        <v>20</v>
      </c>
      <c r="I206" s="4">
        <v>1</v>
      </c>
      <c r="Q206" s="4">
        <v>1</v>
      </c>
    </row>
    <row r="207" spans="1:17" s="5" customFormat="1" ht="15.5" x14ac:dyDescent="0.35">
      <c r="A207" s="13">
        <v>42475</v>
      </c>
      <c r="B207" s="61" t="s">
        <v>29</v>
      </c>
      <c r="C207" s="10">
        <v>1752</v>
      </c>
      <c r="D207" s="5">
        <v>42</v>
      </c>
      <c r="H207" s="5">
        <v>4</v>
      </c>
    </row>
    <row r="208" spans="1:17" ht="15.5" x14ac:dyDescent="0.35">
      <c r="A208" s="2">
        <v>42475</v>
      </c>
      <c r="B208" s="61" t="s">
        <v>610</v>
      </c>
      <c r="C208">
        <v>4</v>
      </c>
      <c r="D208">
        <v>3</v>
      </c>
    </row>
    <row r="209" spans="1:7" ht="15.5" x14ac:dyDescent="0.35">
      <c r="A209" s="2">
        <v>42475</v>
      </c>
      <c r="B209" s="61" t="s">
        <v>611</v>
      </c>
      <c r="C209">
        <v>1</v>
      </c>
      <c r="D209">
        <v>1</v>
      </c>
    </row>
    <row r="210" spans="1:7" ht="15.5" x14ac:dyDescent="0.35">
      <c r="A210" s="2">
        <v>42475</v>
      </c>
      <c r="B210" s="61" t="s">
        <v>612</v>
      </c>
      <c r="C210">
        <v>1</v>
      </c>
      <c r="D210">
        <v>1</v>
      </c>
    </row>
    <row r="211" spans="1:7" ht="15.5" x14ac:dyDescent="0.35">
      <c r="A211" s="2">
        <v>42475</v>
      </c>
      <c r="B211" s="61" t="s">
        <v>613</v>
      </c>
      <c r="C211">
        <v>0</v>
      </c>
    </row>
    <row r="212" spans="1:7" ht="15.5" x14ac:dyDescent="0.35">
      <c r="A212" s="2">
        <v>42475</v>
      </c>
      <c r="B212" s="61" t="s">
        <v>38</v>
      </c>
      <c r="C212">
        <v>470</v>
      </c>
      <c r="D212">
        <v>27</v>
      </c>
    </row>
    <row r="213" spans="1:7" ht="15.5" x14ac:dyDescent="0.35">
      <c r="A213" s="2">
        <v>42475</v>
      </c>
      <c r="B213" s="61" t="s">
        <v>614</v>
      </c>
      <c r="C213">
        <v>1</v>
      </c>
      <c r="D213">
        <v>2</v>
      </c>
    </row>
    <row r="214" spans="1:7" ht="15.5" x14ac:dyDescent="0.35">
      <c r="A214" s="2">
        <v>42475</v>
      </c>
      <c r="B214" s="61" t="s">
        <v>615</v>
      </c>
      <c r="C214">
        <v>4</v>
      </c>
    </row>
    <row r="215" spans="1:7" ht="15.5" x14ac:dyDescent="0.35">
      <c r="A215" s="2">
        <v>42475</v>
      </c>
      <c r="B215" s="61" t="s">
        <v>616</v>
      </c>
      <c r="C215">
        <v>0</v>
      </c>
    </row>
    <row r="216" spans="1:7" ht="15.5" x14ac:dyDescent="0.35">
      <c r="A216" s="2">
        <v>42475</v>
      </c>
      <c r="B216" s="61" t="s">
        <v>617</v>
      </c>
      <c r="C216">
        <v>0</v>
      </c>
    </row>
    <row r="217" spans="1:7" ht="15.5" x14ac:dyDescent="0.35">
      <c r="A217" s="2">
        <v>42475</v>
      </c>
      <c r="B217" s="61" t="s">
        <v>618</v>
      </c>
      <c r="C217">
        <v>2</v>
      </c>
      <c r="D217">
        <v>1</v>
      </c>
    </row>
    <row r="218" spans="1:7" ht="15.5" x14ac:dyDescent="0.35">
      <c r="A218" s="2">
        <v>42475</v>
      </c>
      <c r="B218" s="61" t="s">
        <v>619</v>
      </c>
      <c r="C218">
        <v>0</v>
      </c>
      <c r="G218">
        <v>1</v>
      </c>
    </row>
    <row r="219" spans="1:7" ht="15.5" x14ac:dyDescent="0.35">
      <c r="A219" s="2">
        <v>42475</v>
      </c>
      <c r="B219" s="61" t="s">
        <v>620</v>
      </c>
      <c r="C219">
        <v>0</v>
      </c>
      <c r="D219">
        <v>1</v>
      </c>
    </row>
    <row r="220" spans="1:7" ht="15.5" x14ac:dyDescent="0.35">
      <c r="A220" s="2">
        <v>42475</v>
      </c>
      <c r="B220" s="61" t="s">
        <v>621</v>
      </c>
      <c r="C220">
        <v>0</v>
      </c>
      <c r="G220">
        <v>1</v>
      </c>
    </row>
    <row r="221" spans="1:7" ht="15.5" x14ac:dyDescent="0.35">
      <c r="A221" s="2">
        <v>42475</v>
      </c>
      <c r="B221" s="61" t="s">
        <v>622</v>
      </c>
      <c r="C221">
        <v>1</v>
      </c>
    </row>
    <row r="222" spans="1:7" ht="15.5" x14ac:dyDescent="0.35">
      <c r="A222" s="2">
        <v>42475</v>
      </c>
      <c r="B222" s="61" t="s">
        <v>623</v>
      </c>
      <c r="C222">
        <v>0</v>
      </c>
      <c r="D222">
        <v>2</v>
      </c>
    </row>
    <row r="223" spans="1:7" ht="15.5" x14ac:dyDescent="0.35">
      <c r="A223" s="2">
        <v>42475</v>
      </c>
      <c r="B223" s="61" t="s">
        <v>624</v>
      </c>
      <c r="C223">
        <v>0</v>
      </c>
      <c r="D223">
        <v>2</v>
      </c>
    </row>
    <row r="224" spans="1:7" ht="15.5" x14ac:dyDescent="0.35">
      <c r="A224" s="2">
        <v>42475</v>
      </c>
      <c r="B224" s="61" t="s">
        <v>625</v>
      </c>
      <c r="C224">
        <v>0</v>
      </c>
    </row>
    <row r="225" spans="1:17" ht="15.5" x14ac:dyDescent="0.35">
      <c r="A225" s="2">
        <v>42475</v>
      </c>
      <c r="B225" s="61" t="s">
        <v>626</v>
      </c>
      <c r="C225">
        <v>1</v>
      </c>
    </row>
    <row r="226" spans="1:17" ht="15.5" x14ac:dyDescent="0.35">
      <c r="A226" s="2">
        <v>42475</v>
      </c>
      <c r="B226" s="61" t="s">
        <v>627</v>
      </c>
      <c r="C226">
        <v>2</v>
      </c>
    </row>
    <row r="227" spans="1:17" ht="15.5" x14ac:dyDescent="0.35">
      <c r="A227" s="2">
        <v>42475</v>
      </c>
      <c r="B227" s="61" t="s">
        <v>628</v>
      </c>
      <c r="C227">
        <v>2</v>
      </c>
    </row>
    <row r="228" spans="1:17" ht="15.5" x14ac:dyDescent="0.35">
      <c r="A228" s="2">
        <v>42475</v>
      </c>
      <c r="B228" s="61" t="s">
        <v>629</v>
      </c>
      <c r="C228">
        <v>0</v>
      </c>
      <c r="K228">
        <v>1</v>
      </c>
      <c r="Q228">
        <v>1</v>
      </c>
    </row>
    <row r="229" spans="1:17" ht="15.5" x14ac:dyDescent="0.35">
      <c r="A229" s="2">
        <v>42475</v>
      </c>
      <c r="B229" s="61" t="s">
        <v>630</v>
      </c>
      <c r="C229">
        <v>0</v>
      </c>
    </row>
    <row r="230" spans="1:17" ht="15.5" x14ac:dyDescent="0.35">
      <c r="A230" s="2">
        <v>42475</v>
      </c>
      <c r="B230" s="61" t="s">
        <v>631</v>
      </c>
      <c r="C230">
        <v>2</v>
      </c>
    </row>
    <row r="231" spans="1:17" ht="15.5" x14ac:dyDescent="0.35">
      <c r="A231" s="2">
        <v>42475</v>
      </c>
      <c r="B231" s="61" t="s">
        <v>632</v>
      </c>
      <c r="C231">
        <v>2</v>
      </c>
      <c r="D231">
        <v>1</v>
      </c>
    </row>
    <row r="232" spans="1:17" ht="15.5" x14ac:dyDescent="0.35">
      <c r="A232" s="2">
        <v>42475</v>
      </c>
      <c r="B232" s="61" t="s">
        <v>633</v>
      </c>
      <c r="C232">
        <v>0</v>
      </c>
      <c r="Q232">
        <v>1</v>
      </c>
    </row>
    <row r="233" spans="1:17" ht="15.5" x14ac:dyDescent="0.35">
      <c r="A233" s="2">
        <v>42475</v>
      </c>
      <c r="B233" s="61" t="s">
        <v>20</v>
      </c>
      <c r="C233">
        <v>13</v>
      </c>
    </row>
    <row r="234" spans="1:17" ht="15.5" x14ac:dyDescent="0.35">
      <c r="A234" s="2">
        <v>42475</v>
      </c>
      <c r="B234" s="61" t="s">
        <v>634</v>
      </c>
      <c r="C234">
        <v>1</v>
      </c>
    </row>
    <row r="235" spans="1:17" ht="15.5" x14ac:dyDescent="0.35">
      <c r="A235" s="2">
        <v>42475</v>
      </c>
      <c r="B235" s="61" t="s">
        <v>635</v>
      </c>
      <c r="C235">
        <v>1</v>
      </c>
    </row>
    <row r="236" spans="1:17" ht="15.5" x14ac:dyDescent="0.35">
      <c r="A236" s="2">
        <v>42475</v>
      </c>
      <c r="B236" s="61" t="s">
        <v>636</v>
      </c>
      <c r="C236">
        <v>0</v>
      </c>
    </row>
    <row r="237" spans="1:17" ht="15.5" x14ac:dyDescent="0.35">
      <c r="A237" s="2">
        <v>42475</v>
      </c>
      <c r="B237" s="61" t="s">
        <v>637</v>
      </c>
      <c r="C237">
        <v>0</v>
      </c>
    </row>
    <row r="238" spans="1:17" ht="15.5" x14ac:dyDescent="0.35">
      <c r="A238" s="2">
        <v>42475</v>
      </c>
      <c r="B238" s="61" t="s">
        <v>638</v>
      </c>
      <c r="C238">
        <v>0</v>
      </c>
    </row>
    <row r="239" spans="1:17" s="4" customFormat="1" ht="15.5" x14ac:dyDescent="0.35">
      <c r="A239" s="3">
        <v>42475</v>
      </c>
      <c r="B239" s="62" t="s">
        <v>639</v>
      </c>
      <c r="C239" s="4">
        <v>0</v>
      </c>
    </row>
    <row r="240" spans="1:17" ht="15.5" x14ac:dyDescent="0.35">
      <c r="A240" s="13">
        <v>42482</v>
      </c>
      <c r="B240" s="61" t="s">
        <v>29</v>
      </c>
      <c r="C240" s="10">
        <v>813</v>
      </c>
      <c r="D240">
        <v>51</v>
      </c>
    </row>
    <row r="241" spans="1:17" ht="15.5" x14ac:dyDescent="0.35">
      <c r="A241" s="13">
        <v>42482</v>
      </c>
      <c r="B241" s="61" t="s">
        <v>610</v>
      </c>
      <c r="C241" s="10">
        <v>2</v>
      </c>
      <c r="D241">
        <v>3</v>
      </c>
    </row>
    <row r="242" spans="1:17" ht="15.5" x14ac:dyDescent="0.35">
      <c r="A242" s="13">
        <v>42482</v>
      </c>
      <c r="B242" s="61" t="s">
        <v>611</v>
      </c>
      <c r="C242" s="10">
        <v>4</v>
      </c>
      <c r="D242">
        <v>2</v>
      </c>
    </row>
    <row r="243" spans="1:17" ht="15.5" x14ac:dyDescent="0.35">
      <c r="A243" s="13">
        <v>42482</v>
      </c>
      <c r="B243" s="61" t="s">
        <v>612</v>
      </c>
      <c r="C243" s="10">
        <v>2</v>
      </c>
      <c r="D243">
        <v>3</v>
      </c>
    </row>
    <row r="244" spans="1:17" ht="15.5" x14ac:dyDescent="0.35">
      <c r="A244" s="13">
        <v>42482</v>
      </c>
      <c r="B244" s="61" t="s">
        <v>613</v>
      </c>
      <c r="C244" s="10">
        <v>0</v>
      </c>
      <c r="E244">
        <v>10</v>
      </c>
      <c r="I244">
        <v>3</v>
      </c>
      <c r="K244">
        <v>1</v>
      </c>
    </row>
    <row r="245" spans="1:17" ht="15.5" x14ac:dyDescent="0.35">
      <c r="A245" s="13">
        <v>42482</v>
      </c>
      <c r="B245" s="61" t="s">
        <v>38</v>
      </c>
      <c r="C245">
        <v>321</v>
      </c>
      <c r="D245">
        <v>29</v>
      </c>
    </row>
    <row r="246" spans="1:17" ht="15.5" x14ac:dyDescent="0.35">
      <c r="A246" s="13">
        <v>42482</v>
      </c>
      <c r="B246" s="61" t="s">
        <v>614</v>
      </c>
      <c r="C246">
        <v>0</v>
      </c>
      <c r="D246">
        <v>1</v>
      </c>
    </row>
    <row r="247" spans="1:17" ht="15.5" x14ac:dyDescent="0.35">
      <c r="A247" s="13">
        <v>42482</v>
      </c>
      <c r="B247" s="61" t="s">
        <v>615</v>
      </c>
      <c r="C247">
        <v>2</v>
      </c>
      <c r="D247">
        <v>1</v>
      </c>
    </row>
    <row r="248" spans="1:17" ht="15.5" x14ac:dyDescent="0.35">
      <c r="A248" s="13">
        <v>42482</v>
      </c>
      <c r="B248" s="61" t="s">
        <v>616</v>
      </c>
      <c r="C248">
        <v>2</v>
      </c>
      <c r="D248">
        <v>3</v>
      </c>
    </row>
    <row r="249" spans="1:17" ht="15.5" x14ac:dyDescent="0.35">
      <c r="A249" s="13">
        <v>42482</v>
      </c>
      <c r="B249" s="61" t="s">
        <v>617</v>
      </c>
      <c r="C249">
        <v>0</v>
      </c>
      <c r="E249">
        <v>15</v>
      </c>
      <c r="I249">
        <v>1</v>
      </c>
      <c r="Q249">
        <v>1</v>
      </c>
    </row>
    <row r="250" spans="1:17" ht="15.5" x14ac:dyDescent="0.35">
      <c r="A250" s="13">
        <v>42482</v>
      </c>
      <c r="B250" s="61" t="s">
        <v>618</v>
      </c>
      <c r="C250">
        <v>0</v>
      </c>
    </row>
    <row r="251" spans="1:17" ht="15.5" x14ac:dyDescent="0.35">
      <c r="A251" s="13">
        <v>42482</v>
      </c>
      <c r="B251" s="61" t="s">
        <v>619</v>
      </c>
      <c r="C251">
        <v>0</v>
      </c>
      <c r="D251">
        <v>1</v>
      </c>
    </row>
    <row r="252" spans="1:17" ht="15.5" x14ac:dyDescent="0.35">
      <c r="A252" s="13">
        <v>42482</v>
      </c>
      <c r="B252" s="61" t="s">
        <v>620</v>
      </c>
      <c r="C252">
        <v>0</v>
      </c>
    </row>
    <row r="253" spans="1:17" ht="15.5" x14ac:dyDescent="0.35">
      <c r="A253" s="13">
        <v>42482</v>
      </c>
      <c r="B253" s="61" t="s">
        <v>621</v>
      </c>
      <c r="C253">
        <v>0</v>
      </c>
      <c r="E253">
        <v>1</v>
      </c>
      <c r="K253">
        <v>5</v>
      </c>
      <c r="Q253">
        <v>1</v>
      </c>
    </row>
    <row r="254" spans="1:17" ht="15.5" x14ac:dyDescent="0.35">
      <c r="A254" s="13">
        <v>42482</v>
      </c>
      <c r="B254" s="61" t="s">
        <v>622</v>
      </c>
      <c r="C254">
        <v>0</v>
      </c>
    </row>
    <row r="255" spans="1:17" ht="15.5" x14ac:dyDescent="0.35">
      <c r="A255" s="13">
        <v>42482</v>
      </c>
      <c r="B255" s="61" t="s">
        <v>623</v>
      </c>
      <c r="C255">
        <v>1</v>
      </c>
    </row>
    <row r="256" spans="1:17" ht="15.5" x14ac:dyDescent="0.35">
      <c r="A256" s="13">
        <v>42482</v>
      </c>
      <c r="B256" s="61" t="s">
        <v>624</v>
      </c>
      <c r="C256">
        <v>0</v>
      </c>
      <c r="D256">
        <v>3</v>
      </c>
    </row>
    <row r="257" spans="1:16" ht="15.5" x14ac:dyDescent="0.35">
      <c r="A257" s="13">
        <v>42482</v>
      </c>
      <c r="B257" s="61" t="s">
        <v>625</v>
      </c>
      <c r="C257">
        <v>0</v>
      </c>
      <c r="E257">
        <v>1</v>
      </c>
      <c r="K257">
        <v>10</v>
      </c>
    </row>
    <row r="258" spans="1:16" ht="15.5" x14ac:dyDescent="0.35">
      <c r="A258" s="13">
        <v>42482</v>
      </c>
      <c r="B258" s="61" t="s">
        <v>626</v>
      </c>
      <c r="C258">
        <v>0</v>
      </c>
    </row>
    <row r="259" spans="1:16" ht="15.5" x14ac:dyDescent="0.35">
      <c r="A259" s="13">
        <v>42482</v>
      </c>
      <c r="B259" s="61" t="s">
        <v>627</v>
      </c>
      <c r="C259">
        <v>0</v>
      </c>
    </row>
    <row r="260" spans="1:16" ht="15.5" x14ac:dyDescent="0.35">
      <c r="A260" s="13">
        <v>42482</v>
      </c>
      <c r="B260" s="61" t="s">
        <v>628</v>
      </c>
      <c r="C260">
        <v>0</v>
      </c>
      <c r="D260">
        <v>1</v>
      </c>
    </row>
    <row r="261" spans="1:16" ht="15.5" x14ac:dyDescent="0.35">
      <c r="A261" s="13">
        <v>42482</v>
      </c>
      <c r="B261" s="61" t="s">
        <v>629</v>
      </c>
      <c r="C261">
        <v>0</v>
      </c>
      <c r="E261">
        <v>1</v>
      </c>
      <c r="K261">
        <v>6</v>
      </c>
    </row>
    <row r="262" spans="1:16" ht="15.5" x14ac:dyDescent="0.35">
      <c r="A262" s="13">
        <v>42482</v>
      </c>
      <c r="B262" s="61" t="s">
        <v>630</v>
      </c>
      <c r="C262">
        <v>0</v>
      </c>
    </row>
    <row r="263" spans="1:16" ht="15.5" x14ac:dyDescent="0.35">
      <c r="A263" s="13">
        <v>42482</v>
      </c>
      <c r="B263" s="61" t="s">
        <v>631</v>
      </c>
      <c r="C263">
        <v>0</v>
      </c>
    </row>
    <row r="264" spans="1:16" ht="15.5" x14ac:dyDescent="0.35">
      <c r="A264" s="13">
        <v>42482</v>
      </c>
      <c r="B264" s="61" t="s">
        <v>632</v>
      </c>
      <c r="C264">
        <v>0</v>
      </c>
      <c r="D264">
        <v>4</v>
      </c>
    </row>
    <row r="265" spans="1:16" ht="15.5" x14ac:dyDescent="0.35">
      <c r="A265" s="13">
        <v>42482</v>
      </c>
      <c r="B265" s="61" t="s">
        <v>633</v>
      </c>
      <c r="C265">
        <v>0</v>
      </c>
      <c r="E265">
        <v>1</v>
      </c>
      <c r="I265">
        <v>1</v>
      </c>
      <c r="K265">
        <v>4</v>
      </c>
    </row>
    <row r="266" spans="1:16" ht="15.5" x14ac:dyDescent="0.35">
      <c r="A266" s="13">
        <v>42482</v>
      </c>
      <c r="B266" s="61" t="s">
        <v>20</v>
      </c>
      <c r="C266">
        <v>2</v>
      </c>
    </row>
    <row r="267" spans="1:16" ht="15.5" x14ac:dyDescent="0.35">
      <c r="A267" s="13">
        <v>42482</v>
      </c>
      <c r="B267" s="61" t="s">
        <v>634</v>
      </c>
      <c r="C267">
        <v>0</v>
      </c>
    </row>
    <row r="268" spans="1:16" ht="15.5" x14ac:dyDescent="0.35">
      <c r="A268" s="13">
        <v>42482</v>
      </c>
      <c r="B268" s="61" t="s">
        <v>635</v>
      </c>
      <c r="C268">
        <v>0</v>
      </c>
    </row>
    <row r="269" spans="1:16" ht="15.5" x14ac:dyDescent="0.35">
      <c r="A269" s="13">
        <v>42482</v>
      </c>
      <c r="B269" s="61" t="s">
        <v>636</v>
      </c>
      <c r="C269">
        <v>0</v>
      </c>
    </row>
    <row r="270" spans="1:16" ht="15.5" x14ac:dyDescent="0.35">
      <c r="A270" s="13">
        <v>42482</v>
      </c>
      <c r="B270" s="61" t="s">
        <v>637</v>
      </c>
      <c r="C270">
        <v>0</v>
      </c>
      <c r="D270">
        <v>1</v>
      </c>
      <c r="P270">
        <v>1</v>
      </c>
    </row>
    <row r="271" spans="1:16" ht="15.5" x14ac:dyDescent="0.35">
      <c r="A271" s="13">
        <v>42482</v>
      </c>
      <c r="B271" s="61" t="s">
        <v>638</v>
      </c>
      <c r="C271">
        <v>3</v>
      </c>
    </row>
    <row r="272" spans="1:16" s="5" customFormat="1" ht="15.5" x14ac:dyDescent="0.35">
      <c r="A272" s="13">
        <v>42482</v>
      </c>
      <c r="B272" s="61" t="s">
        <v>639</v>
      </c>
      <c r="C272" s="5">
        <v>3</v>
      </c>
    </row>
    <row r="273" spans="1:17" ht="15.5" x14ac:dyDescent="0.35">
      <c r="A273" s="13">
        <v>42482</v>
      </c>
      <c r="B273" s="61" t="s">
        <v>121</v>
      </c>
      <c r="C273" s="10">
        <v>0</v>
      </c>
      <c r="E273">
        <v>10</v>
      </c>
      <c r="I273">
        <v>3</v>
      </c>
      <c r="K273">
        <v>1</v>
      </c>
    </row>
    <row r="274" spans="1:17" ht="15.5" x14ac:dyDescent="0.35">
      <c r="A274" s="13">
        <v>42482</v>
      </c>
      <c r="B274" s="61" t="s">
        <v>122</v>
      </c>
      <c r="C274" s="10">
        <v>0</v>
      </c>
      <c r="E274">
        <v>15</v>
      </c>
      <c r="I274">
        <v>1</v>
      </c>
      <c r="Q274">
        <v>1</v>
      </c>
    </row>
    <row r="275" spans="1:17" ht="15.5" x14ac:dyDescent="0.35">
      <c r="A275" s="13">
        <v>42482</v>
      </c>
      <c r="B275" s="61" t="s">
        <v>123</v>
      </c>
      <c r="C275" s="10">
        <v>0</v>
      </c>
      <c r="E275">
        <v>15</v>
      </c>
      <c r="K275">
        <v>5</v>
      </c>
      <c r="Q275">
        <v>1</v>
      </c>
    </row>
    <row r="276" spans="1:17" ht="15.5" x14ac:dyDescent="0.35">
      <c r="A276" s="13">
        <v>42482</v>
      </c>
      <c r="B276" s="61" t="s">
        <v>124</v>
      </c>
      <c r="C276" s="10">
        <v>0</v>
      </c>
      <c r="E276">
        <v>20</v>
      </c>
      <c r="K276">
        <v>10</v>
      </c>
    </row>
    <row r="277" spans="1:17" ht="15.5" x14ac:dyDescent="0.35">
      <c r="A277" s="13">
        <v>42482</v>
      </c>
      <c r="B277" s="61" t="s">
        <v>125</v>
      </c>
      <c r="C277" s="10">
        <v>0</v>
      </c>
      <c r="E277">
        <v>15</v>
      </c>
      <c r="K277">
        <v>6</v>
      </c>
    </row>
    <row r="278" spans="1:17" s="4" customFormat="1" ht="15.5" x14ac:dyDescent="0.35">
      <c r="A278" s="3">
        <v>42482</v>
      </c>
      <c r="B278" s="62" t="s">
        <v>126</v>
      </c>
      <c r="C278" s="11">
        <v>0</v>
      </c>
      <c r="E278" s="4">
        <v>20</v>
      </c>
      <c r="I278" s="4">
        <v>1</v>
      </c>
      <c r="K278" s="4">
        <v>4</v>
      </c>
    </row>
    <row r="279" spans="1:17" ht="15.5" x14ac:dyDescent="0.35">
      <c r="A279" s="13">
        <v>42489</v>
      </c>
      <c r="B279" s="61" t="s">
        <v>29</v>
      </c>
      <c r="C279" s="10">
        <v>221</v>
      </c>
      <c r="D279">
        <v>12</v>
      </c>
      <c r="P279">
        <v>1</v>
      </c>
    </row>
    <row r="280" spans="1:17" ht="15.5" x14ac:dyDescent="0.35">
      <c r="A280" s="13">
        <v>42489</v>
      </c>
      <c r="B280" s="61" t="s">
        <v>610</v>
      </c>
      <c r="C280" s="10"/>
      <c r="D280">
        <v>1</v>
      </c>
    </row>
    <row r="281" spans="1:17" ht="15.5" x14ac:dyDescent="0.35">
      <c r="A281" s="13">
        <v>42489</v>
      </c>
      <c r="B281" s="61" t="s">
        <v>611</v>
      </c>
    </row>
    <row r="282" spans="1:17" ht="15.5" x14ac:dyDescent="0.35">
      <c r="A282" s="13">
        <v>42489</v>
      </c>
      <c r="B282" s="61" t="s">
        <v>612</v>
      </c>
      <c r="C282">
        <v>4</v>
      </c>
    </row>
    <row r="283" spans="1:17" ht="15.5" x14ac:dyDescent="0.35">
      <c r="A283" s="13">
        <v>42489</v>
      </c>
      <c r="B283" s="61" t="s">
        <v>38</v>
      </c>
      <c r="C283">
        <v>75</v>
      </c>
      <c r="D283">
        <v>7</v>
      </c>
    </row>
    <row r="284" spans="1:17" ht="15.5" x14ac:dyDescent="0.35">
      <c r="A284" s="13">
        <v>42489</v>
      </c>
      <c r="B284" s="61" t="s">
        <v>614</v>
      </c>
      <c r="D284">
        <v>3</v>
      </c>
    </row>
    <row r="285" spans="1:17" ht="15.5" x14ac:dyDescent="0.35">
      <c r="A285" s="13">
        <v>42489</v>
      </c>
      <c r="B285" s="61" t="s">
        <v>615</v>
      </c>
    </row>
    <row r="286" spans="1:17" ht="15.5" x14ac:dyDescent="0.35">
      <c r="A286" s="13">
        <v>42489</v>
      </c>
      <c r="B286" s="61" t="s">
        <v>616</v>
      </c>
      <c r="C286">
        <v>3</v>
      </c>
      <c r="D286">
        <v>2</v>
      </c>
    </row>
    <row r="287" spans="1:17" ht="15.5" x14ac:dyDescent="0.35">
      <c r="A287" s="13">
        <v>42489</v>
      </c>
      <c r="B287" s="61" t="s">
        <v>618</v>
      </c>
      <c r="C287">
        <v>3</v>
      </c>
    </row>
    <row r="288" spans="1:17" ht="15.5" x14ac:dyDescent="0.35">
      <c r="A288" s="13">
        <v>42489</v>
      </c>
      <c r="B288" s="61" t="s">
        <v>619</v>
      </c>
      <c r="G288">
        <v>1</v>
      </c>
    </row>
    <row r="289" spans="1:4" ht="15.5" x14ac:dyDescent="0.35">
      <c r="A289" s="13">
        <v>42489</v>
      </c>
      <c r="B289" s="61" t="s">
        <v>620</v>
      </c>
      <c r="D289">
        <v>1</v>
      </c>
    </row>
    <row r="290" spans="1:4" ht="15.5" x14ac:dyDescent="0.35">
      <c r="A290" s="13">
        <v>42489</v>
      </c>
      <c r="B290" s="61" t="s">
        <v>622</v>
      </c>
    </row>
    <row r="291" spans="1:4" ht="15.5" x14ac:dyDescent="0.35">
      <c r="A291" s="13">
        <v>42489</v>
      </c>
      <c r="B291" s="61" t="s">
        <v>623</v>
      </c>
    </row>
    <row r="292" spans="1:4" ht="15.5" x14ac:dyDescent="0.35">
      <c r="A292" s="13">
        <v>42489</v>
      </c>
      <c r="B292" s="61" t="s">
        <v>624</v>
      </c>
    </row>
    <row r="293" spans="1:4" ht="15.5" x14ac:dyDescent="0.35">
      <c r="A293" s="13">
        <v>42489</v>
      </c>
      <c r="B293" s="61" t="s">
        <v>626</v>
      </c>
      <c r="D293">
        <v>1</v>
      </c>
    </row>
    <row r="294" spans="1:4" ht="15.5" x14ac:dyDescent="0.35">
      <c r="A294" s="13">
        <v>42489</v>
      </c>
      <c r="B294" s="61" t="s">
        <v>627</v>
      </c>
    </row>
    <row r="295" spans="1:4" ht="15.5" x14ac:dyDescent="0.35">
      <c r="A295" s="13">
        <v>42489</v>
      </c>
      <c r="B295" s="61" t="s">
        <v>628</v>
      </c>
    </row>
    <row r="296" spans="1:4" ht="15.5" x14ac:dyDescent="0.35">
      <c r="A296" s="13">
        <v>42489</v>
      </c>
      <c r="B296" s="61" t="s">
        <v>630</v>
      </c>
      <c r="D296">
        <v>1</v>
      </c>
    </row>
    <row r="297" spans="1:4" ht="15.5" x14ac:dyDescent="0.35">
      <c r="A297" s="13">
        <v>42489</v>
      </c>
      <c r="B297" s="61" t="s">
        <v>631</v>
      </c>
    </row>
    <row r="298" spans="1:4" ht="15.5" x14ac:dyDescent="0.35">
      <c r="A298" s="13">
        <v>42489</v>
      </c>
      <c r="B298" s="61" t="s">
        <v>632</v>
      </c>
    </row>
    <row r="299" spans="1:4" ht="15.5" x14ac:dyDescent="0.35">
      <c r="A299" s="13">
        <v>42489</v>
      </c>
      <c r="B299" s="61" t="s">
        <v>20</v>
      </c>
      <c r="C299">
        <v>0</v>
      </c>
    </row>
    <row r="300" spans="1:4" ht="15.5" x14ac:dyDescent="0.35">
      <c r="A300" s="13">
        <v>42489</v>
      </c>
      <c r="B300" s="61" t="s">
        <v>634</v>
      </c>
    </row>
    <row r="301" spans="1:4" ht="15.5" x14ac:dyDescent="0.35">
      <c r="A301" s="13">
        <v>42489</v>
      </c>
      <c r="B301" s="61" t="s">
        <v>635</v>
      </c>
    </row>
    <row r="302" spans="1:4" ht="15.5" x14ac:dyDescent="0.35">
      <c r="A302" s="13">
        <v>42489</v>
      </c>
      <c r="B302" s="61" t="s">
        <v>636</v>
      </c>
    </row>
    <row r="303" spans="1:4" ht="15.5" x14ac:dyDescent="0.35">
      <c r="A303" s="13">
        <v>42489</v>
      </c>
      <c r="B303" s="61" t="s">
        <v>637</v>
      </c>
      <c r="C303">
        <v>1</v>
      </c>
    </row>
    <row r="304" spans="1:4" ht="15.5" x14ac:dyDescent="0.35">
      <c r="A304" s="13">
        <v>42489</v>
      </c>
      <c r="B304" s="61" t="s">
        <v>638</v>
      </c>
      <c r="C304">
        <v>1</v>
      </c>
    </row>
    <row r="305" spans="1:16" s="4" customFormat="1" ht="15.5" x14ac:dyDescent="0.35">
      <c r="A305" s="3">
        <v>42489</v>
      </c>
      <c r="B305" s="62" t="s">
        <v>639</v>
      </c>
      <c r="P305" s="4">
        <v>1</v>
      </c>
    </row>
    <row r="306" spans="1:16" ht="15.5" x14ac:dyDescent="0.35">
      <c r="A306" s="13">
        <v>42494</v>
      </c>
      <c r="B306" s="61" t="s">
        <v>29</v>
      </c>
      <c r="C306">
        <v>81</v>
      </c>
      <c r="D306">
        <v>35</v>
      </c>
    </row>
    <row r="307" spans="1:16" ht="15.5" x14ac:dyDescent="0.35">
      <c r="A307" s="13">
        <v>42494</v>
      </c>
      <c r="B307" s="61" t="s">
        <v>610</v>
      </c>
      <c r="C307">
        <v>2</v>
      </c>
      <c r="D307">
        <v>1</v>
      </c>
    </row>
    <row r="308" spans="1:16" ht="15.5" x14ac:dyDescent="0.35">
      <c r="A308" s="13">
        <v>42494</v>
      </c>
      <c r="B308" s="61" t="s">
        <v>611</v>
      </c>
      <c r="C308">
        <v>0</v>
      </c>
      <c r="D308">
        <v>1</v>
      </c>
    </row>
    <row r="309" spans="1:16" ht="15.5" x14ac:dyDescent="0.35">
      <c r="A309" s="13">
        <v>42494</v>
      </c>
      <c r="B309" s="61" t="s">
        <v>612</v>
      </c>
      <c r="C309">
        <v>0</v>
      </c>
      <c r="D309">
        <v>1</v>
      </c>
    </row>
    <row r="310" spans="1:16" ht="15.5" x14ac:dyDescent="0.35">
      <c r="A310" s="13">
        <v>42494</v>
      </c>
      <c r="B310" s="61" t="s">
        <v>38</v>
      </c>
      <c r="C310">
        <v>64</v>
      </c>
      <c r="D310">
        <v>22</v>
      </c>
    </row>
    <row r="311" spans="1:16" ht="15.5" x14ac:dyDescent="0.35">
      <c r="A311" s="13">
        <v>42494</v>
      </c>
      <c r="B311" s="61" t="s">
        <v>614</v>
      </c>
      <c r="C311">
        <v>4</v>
      </c>
      <c r="D311">
        <v>1</v>
      </c>
    </row>
    <row r="312" spans="1:16" ht="15.5" x14ac:dyDescent="0.35">
      <c r="A312" s="13">
        <v>42494</v>
      </c>
      <c r="B312" s="61" t="s">
        <v>615</v>
      </c>
      <c r="C312">
        <v>0</v>
      </c>
      <c r="D312">
        <v>2</v>
      </c>
    </row>
    <row r="313" spans="1:16" ht="15.5" x14ac:dyDescent="0.35">
      <c r="A313" s="13">
        <v>42494</v>
      </c>
      <c r="B313" s="61" t="s">
        <v>616</v>
      </c>
      <c r="C313">
        <v>0</v>
      </c>
      <c r="D313">
        <v>1</v>
      </c>
    </row>
    <row r="314" spans="1:16" ht="15.5" x14ac:dyDescent="0.35">
      <c r="A314" s="13">
        <v>42494</v>
      </c>
      <c r="B314" s="61" t="s">
        <v>618</v>
      </c>
      <c r="C314">
        <v>0</v>
      </c>
      <c r="D314">
        <v>0</v>
      </c>
    </row>
    <row r="315" spans="1:16" ht="15.5" x14ac:dyDescent="0.35">
      <c r="A315" s="13">
        <v>42494</v>
      </c>
      <c r="B315" s="61" t="s">
        <v>619</v>
      </c>
      <c r="C315">
        <v>0</v>
      </c>
      <c r="D315">
        <v>0</v>
      </c>
    </row>
    <row r="316" spans="1:16" ht="15.5" x14ac:dyDescent="0.35">
      <c r="A316" s="13">
        <v>42494</v>
      </c>
      <c r="B316" s="61" t="s">
        <v>620</v>
      </c>
      <c r="C316">
        <v>0</v>
      </c>
      <c r="D316">
        <v>0</v>
      </c>
    </row>
    <row r="317" spans="1:16" ht="15.5" x14ac:dyDescent="0.35">
      <c r="A317" s="13">
        <v>42494</v>
      </c>
      <c r="B317" s="61" t="s">
        <v>622</v>
      </c>
      <c r="C317">
        <v>0</v>
      </c>
      <c r="D317">
        <v>1</v>
      </c>
    </row>
    <row r="318" spans="1:16" ht="15.5" x14ac:dyDescent="0.35">
      <c r="A318" s="13">
        <v>42494</v>
      </c>
      <c r="B318" s="61" t="s">
        <v>623</v>
      </c>
      <c r="C318">
        <v>1</v>
      </c>
      <c r="D318">
        <v>0</v>
      </c>
    </row>
    <row r="319" spans="1:16" ht="15.5" x14ac:dyDescent="0.35">
      <c r="A319" s="13">
        <v>42494</v>
      </c>
      <c r="B319" s="61" t="s">
        <v>624</v>
      </c>
      <c r="C319">
        <v>0</v>
      </c>
      <c r="D319">
        <v>0</v>
      </c>
    </row>
    <row r="320" spans="1:16" ht="15.5" x14ac:dyDescent="0.35">
      <c r="A320" s="13">
        <v>42494</v>
      </c>
      <c r="B320" s="61" t="s">
        <v>626</v>
      </c>
      <c r="C320">
        <v>0</v>
      </c>
      <c r="D320">
        <v>1</v>
      </c>
    </row>
    <row r="321" spans="1:16" ht="15.5" x14ac:dyDescent="0.35">
      <c r="A321" s="13">
        <v>42494</v>
      </c>
      <c r="B321" s="61" t="s">
        <v>627</v>
      </c>
      <c r="C321">
        <v>0</v>
      </c>
      <c r="D321">
        <v>0</v>
      </c>
    </row>
    <row r="322" spans="1:16" ht="15.5" x14ac:dyDescent="0.35">
      <c r="A322" s="13">
        <v>42494</v>
      </c>
      <c r="B322" s="61" t="s">
        <v>628</v>
      </c>
      <c r="C322">
        <v>0</v>
      </c>
      <c r="D322">
        <v>0</v>
      </c>
    </row>
    <row r="323" spans="1:16" ht="15.5" x14ac:dyDescent="0.35">
      <c r="A323" s="13">
        <v>42494</v>
      </c>
      <c r="B323" s="61" t="s">
        <v>630</v>
      </c>
      <c r="C323">
        <v>1</v>
      </c>
      <c r="D323">
        <v>1</v>
      </c>
    </row>
    <row r="324" spans="1:16" ht="15.5" x14ac:dyDescent="0.35">
      <c r="A324" s="13">
        <v>42494</v>
      </c>
      <c r="B324" s="61" t="s">
        <v>631</v>
      </c>
      <c r="C324">
        <v>0</v>
      </c>
      <c r="D324">
        <v>0</v>
      </c>
    </row>
    <row r="325" spans="1:16" ht="15.5" x14ac:dyDescent="0.35">
      <c r="A325" s="13">
        <v>42494</v>
      </c>
      <c r="B325" s="61" t="s">
        <v>632</v>
      </c>
      <c r="C325">
        <v>0</v>
      </c>
      <c r="D325">
        <v>0</v>
      </c>
    </row>
    <row r="326" spans="1:16" ht="15.5" x14ac:dyDescent="0.35">
      <c r="A326" s="13">
        <v>42494</v>
      </c>
      <c r="B326" s="61" t="s">
        <v>634</v>
      </c>
      <c r="C326">
        <v>0</v>
      </c>
      <c r="D326">
        <v>1</v>
      </c>
    </row>
    <row r="327" spans="1:16" ht="15.5" x14ac:dyDescent="0.35">
      <c r="A327" s="13">
        <v>42494</v>
      </c>
      <c r="B327" s="61" t="s">
        <v>635</v>
      </c>
      <c r="C327">
        <v>0</v>
      </c>
    </row>
    <row r="328" spans="1:16" ht="15.5" x14ac:dyDescent="0.35">
      <c r="A328" s="13">
        <v>42494</v>
      </c>
      <c r="B328" s="61" t="s">
        <v>636</v>
      </c>
      <c r="C328">
        <v>0</v>
      </c>
    </row>
    <row r="329" spans="1:16" ht="15.5" x14ac:dyDescent="0.35">
      <c r="A329" s="13">
        <v>42494</v>
      </c>
      <c r="B329" s="61" t="s">
        <v>637</v>
      </c>
      <c r="C329">
        <v>0</v>
      </c>
      <c r="P329">
        <v>36</v>
      </c>
    </row>
    <row r="330" spans="1:16" ht="15.5" x14ac:dyDescent="0.35">
      <c r="A330" s="13">
        <v>42494</v>
      </c>
      <c r="B330" s="61" t="s">
        <v>638</v>
      </c>
      <c r="C330">
        <v>0</v>
      </c>
    </row>
    <row r="331" spans="1:16" s="4" customFormat="1" ht="15.5" x14ac:dyDescent="0.35">
      <c r="A331" s="3">
        <v>42494</v>
      </c>
      <c r="B331" s="62" t="s">
        <v>639</v>
      </c>
      <c r="C331" s="4">
        <v>0</v>
      </c>
    </row>
    <row r="332" spans="1:16" ht="15.5" x14ac:dyDescent="0.35">
      <c r="A332" s="13">
        <v>42503</v>
      </c>
      <c r="B332" s="61" t="s">
        <v>29</v>
      </c>
      <c r="C332">
        <v>332</v>
      </c>
      <c r="D332">
        <v>43</v>
      </c>
      <c r="H332">
        <v>4</v>
      </c>
    </row>
    <row r="333" spans="1:16" ht="15.5" x14ac:dyDescent="0.35">
      <c r="A333" s="13">
        <v>42503</v>
      </c>
      <c r="B333" s="61" t="s">
        <v>610</v>
      </c>
      <c r="C333">
        <v>4</v>
      </c>
      <c r="D333">
        <v>2</v>
      </c>
    </row>
    <row r="334" spans="1:16" ht="15.5" x14ac:dyDescent="0.35">
      <c r="A334" s="13">
        <v>42503</v>
      </c>
      <c r="B334" s="61" t="s">
        <v>611</v>
      </c>
      <c r="C334" s="127">
        <v>7</v>
      </c>
      <c r="D334" s="127">
        <v>8</v>
      </c>
    </row>
    <row r="335" spans="1:16" ht="15.5" x14ac:dyDescent="0.35">
      <c r="A335" s="13">
        <v>42503</v>
      </c>
      <c r="B335" s="61" t="s">
        <v>612</v>
      </c>
      <c r="C335" s="127"/>
      <c r="D335" s="127"/>
    </row>
    <row r="336" spans="1:16" ht="15.5" x14ac:dyDescent="0.35">
      <c r="A336" s="13">
        <v>42503</v>
      </c>
      <c r="B336" s="61" t="s">
        <v>38</v>
      </c>
      <c r="C336">
        <v>224</v>
      </c>
      <c r="D336">
        <v>46</v>
      </c>
      <c r="H336">
        <v>1</v>
      </c>
      <c r="P336">
        <v>1</v>
      </c>
    </row>
    <row r="337" spans="1:10" ht="15.5" x14ac:dyDescent="0.35">
      <c r="A337" s="13">
        <v>42503</v>
      </c>
      <c r="B337" s="61" t="s">
        <v>614</v>
      </c>
      <c r="C337" s="127">
        <v>10</v>
      </c>
      <c r="D337" s="127">
        <v>3</v>
      </c>
    </row>
    <row r="338" spans="1:10" ht="15.5" x14ac:dyDescent="0.35">
      <c r="A338" s="13">
        <v>42503</v>
      </c>
      <c r="B338" s="61" t="s">
        <v>615</v>
      </c>
      <c r="C338" s="127"/>
      <c r="D338" s="127"/>
    </row>
    <row r="339" spans="1:10" ht="15.5" x14ac:dyDescent="0.35">
      <c r="A339" s="13">
        <v>42503</v>
      </c>
      <c r="B339" s="61" t="s">
        <v>616</v>
      </c>
      <c r="C339" s="127"/>
      <c r="D339" s="127"/>
    </row>
    <row r="340" spans="1:10" ht="15.5" x14ac:dyDescent="0.35">
      <c r="A340" s="13">
        <v>42503</v>
      </c>
      <c r="B340" s="61" t="s">
        <v>618</v>
      </c>
      <c r="C340">
        <v>3</v>
      </c>
      <c r="D340">
        <v>1</v>
      </c>
    </row>
    <row r="341" spans="1:10" ht="15.5" x14ac:dyDescent="0.35">
      <c r="A341" s="13">
        <v>42503</v>
      </c>
      <c r="B341" s="61" t="s">
        <v>619</v>
      </c>
      <c r="C341">
        <v>4</v>
      </c>
      <c r="D341">
        <v>3</v>
      </c>
    </row>
    <row r="342" spans="1:10" ht="15.5" x14ac:dyDescent="0.35">
      <c r="A342" s="13">
        <v>42503</v>
      </c>
      <c r="B342" s="61" t="s">
        <v>620</v>
      </c>
      <c r="C342">
        <v>7</v>
      </c>
      <c r="D342">
        <v>4</v>
      </c>
    </row>
    <row r="343" spans="1:10" ht="15.5" x14ac:dyDescent="0.35">
      <c r="A343" s="13">
        <v>42503</v>
      </c>
      <c r="B343" s="61" t="s">
        <v>622</v>
      </c>
      <c r="C343">
        <v>9</v>
      </c>
      <c r="D343">
        <v>3</v>
      </c>
      <c r="G343">
        <v>1</v>
      </c>
    </row>
    <row r="344" spans="1:10" ht="15.5" x14ac:dyDescent="0.35">
      <c r="A344" s="13">
        <v>42503</v>
      </c>
      <c r="B344" s="61" t="s">
        <v>623</v>
      </c>
      <c r="C344">
        <v>6</v>
      </c>
      <c r="D344">
        <v>1</v>
      </c>
    </row>
    <row r="345" spans="1:10" ht="15.5" x14ac:dyDescent="0.35">
      <c r="A345" s="13">
        <v>42503</v>
      </c>
      <c r="B345" s="61" t="s">
        <v>624</v>
      </c>
      <c r="C345">
        <v>2</v>
      </c>
      <c r="D345">
        <v>3</v>
      </c>
    </row>
    <row r="346" spans="1:10" ht="15.5" x14ac:dyDescent="0.35">
      <c r="A346" s="13">
        <v>42503</v>
      </c>
      <c r="B346" s="61" t="s">
        <v>626</v>
      </c>
      <c r="C346">
        <v>5</v>
      </c>
      <c r="D346">
        <v>2</v>
      </c>
    </row>
    <row r="347" spans="1:10" ht="15.5" x14ac:dyDescent="0.35">
      <c r="A347" s="13">
        <v>42503</v>
      </c>
      <c r="B347" s="61" t="s">
        <v>627</v>
      </c>
      <c r="C347">
        <v>10</v>
      </c>
      <c r="D347">
        <v>2</v>
      </c>
    </row>
    <row r="348" spans="1:10" ht="15.5" x14ac:dyDescent="0.35">
      <c r="A348" s="13">
        <v>42503</v>
      </c>
      <c r="B348" s="61" t="s">
        <v>628</v>
      </c>
      <c r="C348">
        <v>3</v>
      </c>
      <c r="D348">
        <v>0</v>
      </c>
    </row>
    <row r="349" spans="1:10" ht="15.5" x14ac:dyDescent="0.35">
      <c r="A349" s="13">
        <v>42503</v>
      </c>
      <c r="B349" s="61" t="s">
        <v>630</v>
      </c>
      <c r="C349">
        <v>12</v>
      </c>
      <c r="J349">
        <v>1</v>
      </c>
    </row>
    <row r="350" spans="1:10" ht="15.5" x14ac:dyDescent="0.35">
      <c r="A350" s="13">
        <v>42503</v>
      </c>
      <c r="B350" s="61" t="s">
        <v>631</v>
      </c>
      <c r="C350">
        <v>8</v>
      </c>
      <c r="D350">
        <v>1</v>
      </c>
    </row>
    <row r="351" spans="1:10" ht="15.5" x14ac:dyDescent="0.35">
      <c r="A351" s="13">
        <v>42503</v>
      </c>
      <c r="B351" s="61" t="s">
        <v>632</v>
      </c>
      <c r="C351">
        <v>14</v>
      </c>
      <c r="D351">
        <v>2</v>
      </c>
    </row>
    <row r="352" spans="1:10" ht="15.5" x14ac:dyDescent="0.35">
      <c r="A352" s="13">
        <v>42503</v>
      </c>
      <c r="B352" s="61" t="s">
        <v>634</v>
      </c>
    </row>
    <row r="353" spans="1:16" ht="15.5" x14ac:dyDescent="0.35">
      <c r="A353" s="13">
        <v>42503</v>
      </c>
      <c r="B353" s="61" t="s">
        <v>635</v>
      </c>
    </row>
    <row r="354" spans="1:16" ht="15.5" x14ac:dyDescent="0.35">
      <c r="A354" s="13">
        <v>42503</v>
      </c>
      <c r="B354" s="61" t="s">
        <v>636</v>
      </c>
    </row>
    <row r="355" spans="1:16" ht="15.5" x14ac:dyDescent="0.35">
      <c r="A355" s="13">
        <v>42503</v>
      </c>
      <c r="B355" s="61" t="s">
        <v>637</v>
      </c>
    </row>
    <row r="356" spans="1:16" ht="15.5" x14ac:dyDescent="0.35">
      <c r="A356" s="13">
        <v>42503</v>
      </c>
      <c r="B356" s="61" t="s">
        <v>638</v>
      </c>
    </row>
    <row r="357" spans="1:16" s="4" customFormat="1" ht="15.5" x14ac:dyDescent="0.35">
      <c r="A357" s="3">
        <v>42503</v>
      </c>
      <c r="B357" s="62" t="s">
        <v>639</v>
      </c>
    </row>
    <row r="358" spans="1:16" ht="15.5" x14ac:dyDescent="0.35">
      <c r="A358" s="13">
        <v>42510</v>
      </c>
      <c r="B358" s="61" t="s">
        <v>29</v>
      </c>
      <c r="C358">
        <v>78</v>
      </c>
      <c r="D358">
        <v>12</v>
      </c>
      <c r="P358">
        <v>1</v>
      </c>
    </row>
    <row r="359" spans="1:16" ht="15.5" x14ac:dyDescent="0.35">
      <c r="A359" s="13">
        <v>42510</v>
      </c>
      <c r="B359" s="61" t="s">
        <v>610</v>
      </c>
      <c r="C359">
        <v>8</v>
      </c>
      <c r="D359">
        <v>4</v>
      </c>
    </row>
    <row r="360" spans="1:16" ht="15.5" x14ac:dyDescent="0.35">
      <c r="A360" s="13">
        <v>42510</v>
      </c>
      <c r="B360" s="61" t="s">
        <v>611</v>
      </c>
      <c r="C360">
        <v>6</v>
      </c>
      <c r="D360">
        <v>3</v>
      </c>
    </row>
    <row r="361" spans="1:16" ht="15.5" x14ac:dyDescent="0.35">
      <c r="A361" s="13">
        <v>42510</v>
      </c>
      <c r="B361" s="61" t="s">
        <v>612</v>
      </c>
      <c r="C361">
        <v>8</v>
      </c>
      <c r="D361">
        <v>2</v>
      </c>
    </row>
    <row r="362" spans="1:16" ht="15.5" x14ac:dyDescent="0.35">
      <c r="A362" s="13">
        <v>42510</v>
      </c>
      <c r="B362" s="61" t="s">
        <v>38</v>
      </c>
      <c r="C362">
        <v>109</v>
      </c>
      <c r="D362">
        <v>6</v>
      </c>
    </row>
    <row r="363" spans="1:16" ht="15.5" x14ac:dyDescent="0.35">
      <c r="A363" s="13">
        <v>42510</v>
      </c>
      <c r="B363" s="61" t="s">
        <v>614</v>
      </c>
      <c r="C363">
        <v>8</v>
      </c>
      <c r="D363">
        <v>3</v>
      </c>
      <c r="P363">
        <v>1</v>
      </c>
    </row>
    <row r="364" spans="1:16" ht="15.5" x14ac:dyDescent="0.35">
      <c r="A364" s="13">
        <v>42510</v>
      </c>
      <c r="B364" s="61" t="s">
        <v>615</v>
      </c>
      <c r="C364">
        <v>15</v>
      </c>
      <c r="D364">
        <v>2</v>
      </c>
    </row>
    <row r="365" spans="1:16" ht="15.5" x14ac:dyDescent="0.35">
      <c r="A365" s="13">
        <v>42510</v>
      </c>
      <c r="B365" s="61" t="s">
        <v>616</v>
      </c>
      <c r="C365">
        <v>11</v>
      </c>
      <c r="D365">
        <v>2</v>
      </c>
    </row>
    <row r="366" spans="1:16" ht="15.5" x14ac:dyDescent="0.35">
      <c r="A366" s="13">
        <v>42510</v>
      </c>
      <c r="B366" s="61" t="s">
        <v>618</v>
      </c>
      <c r="C366">
        <v>0</v>
      </c>
      <c r="D366">
        <v>0</v>
      </c>
    </row>
    <row r="367" spans="1:16" ht="15.5" x14ac:dyDescent="0.35">
      <c r="A367" s="13">
        <v>42510</v>
      </c>
      <c r="B367" s="61" t="s">
        <v>619</v>
      </c>
      <c r="C367">
        <v>2</v>
      </c>
      <c r="D367">
        <v>0</v>
      </c>
    </row>
    <row r="368" spans="1:16" ht="15.5" x14ac:dyDescent="0.35">
      <c r="A368" s="13">
        <v>42510</v>
      </c>
      <c r="B368" s="61" t="s">
        <v>620</v>
      </c>
      <c r="C368">
        <v>9</v>
      </c>
      <c r="D368">
        <v>2</v>
      </c>
    </row>
    <row r="369" spans="1:16" ht="15.5" x14ac:dyDescent="0.35">
      <c r="A369" s="13">
        <v>42510</v>
      </c>
      <c r="B369" s="61" t="s">
        <v>622</v>
      </c>
      <c r="C369">
        <v>2</v>
      </c>
      <c r="D369">
        <v>1</v>
      </c>
    </row>
    <row r="370" spans="1:16" ht="15.5" x14ac:dyDescent="0.35">
      <c r="A370" s="13">
        <v>42510</v>
      </c>
      <c r="B370" s="61" t="s">
        <v>623</v>
      </c>
      <c r="C370">
        <v>4</v>
      </c>
      <c r="D370">
        <v>1</v>
      </c>
    </row>
    <row r="371" spans="1:16" ht="15.5" x14ac:dyDescent="0.35">
      <c r="A371" s="13">
        <v>42510</v>
      </c>
      <c r="B371" s="61" t="s">
        <v>624</v>
      </c>
      <c r="C371">
        <v>3</v>
      </c>
      <c r="D371">
        <v>1</v>
      </c>
    </row>
    <row r="372" spans="1:16" ht="15.5" x14ac:dyDescent="0.35">
      <c r="A372" s="13">
        <v>42510</v>
      </c>
      <c r="B372" s="61" t="s">
        <v>626</v>
      </c>
      <c r="C372">
        <v>9</v>
      </c>
      <c r="D372">
        <v>0</v>
      </c>
    </row>
    <row r="373" spans="1:16" ht="15.5" x14ac:dyDescent="0.35">
      <c r="A373" s="13">
        <v>42510</v>
      </c>
      <c r="B373" s="61" t="s">
        <v>627</v>
      </c>
      <c r="C373">
        <v>18</v>
      </c>
      <c r="D373">
        <v>2</v>
      </c>
    </row>
    <row r="374" spans="1:16" ht="15.5" x14ac:dyDescent="0.35">
      <c r="A374" s="13">
        <v>42510</v>
      </c>
      <c r="B374" s="61" t="s">
        <v>628</v>
      </c>
      <c r="C374">
        <v>7</v>
      </c>
      <c r="D374">
        <v>1</v>
      </c>
    </row>
    <row r="375" spans="1:16" ht="15.5" x14ac:dyDescent="0.35">
      <c r="A375" s="13">
        <v>42510</v>
      </c>
      <c r="B375" s="61" t="s">
        <v>630</v>
      </c>
      <c r="C375">
        <v>7</v>
      </c>
      <c r="D375">
        <v>1</v>
      </c>
    </row>
    <row r="376" spans="1:16" ht="15.5" x14ac:dyDescent="0.35">
      <c r="A376" s="13">
        <v>42510</v>
      </c>
      <c r="B376" s="61" t="s">
        <v>631</v>
      </c>
      <c r="C376">
        <v>11</v>
      </c>
      <c r="D376">
        <v>0</v>
      </c>
    </row>
    <row r="377" spans="1:16" ht="15.5" x14ac:dyDescent="0.35">
      <c r="A377" s="13">
        <v>42510</v>
      </c>
      <c r="B377" s="61" t="s">
        <v>632</v>
      </c>
      <c r="C377">
        <v>5</v>
      </c>
      <c r="D377">
        <v>0</v>
      </c>
    </row>
    <row r="378" spans="1:16" ht="15.5" x14ac:dyDescent="0.35">
      <c r="A378" s="13">
        <v>42510</v>
      </c>
      <c r="B378" s="61" t="s">
        <v>634</v>
      </c>
      <c r="C378">
        <v>1</v>
      </c>
      <c r="D378">
        <v>1</v>
      </c>
    </row>
    <row r="379" spans="1:16" ht="15.5" x14ac:dyDescent="0.35">
      <c r="A379" s="13">
        <v>42510</v>
      </c>
      <c r="B379" s="61" t="s">
        <v>635</v>
      </c>
      <c r="C379">
        <v>1</v>
      </c>
      <c r="D379">
        <v>2</v>
      </c>
    </row>
    <row r="380" spans="1:16" ht="15.5" x14ac:dyDescent="0.35">
      <c r="A380" s="13">
        <v>42510</v>
      </c>
      <c r="B380" s="61" t="s">
        <v>636</v>
      </c>
      <c r="C380">
        <v>0</v>
      </c>
      <c r="D380">
        <v>1</v>
      </c>
    </row>
    <row r="381" spans="1:16" ht="15.5" x14ac:dyDescent="0.35">
      <c r="A381" s="13">
        <v>42510</v>
      </c>
      <c r="B381" s="61" t="s">
        <v>637</v>
      </c>
      <c r="C381" s="127">
        <v>2</v>
      </c>
      <c r="D381" s="127">
        <v>25</v>
      </c>
    </row>
    <row r="382" spans="1:16" ht="15.5" x14ac:dyDescent="0.35">
      <c r="A382" s="13">
        <v>42510</v>
      </c>
      <c r="B382" s="61" t="s">
        <v>638</v>
      </c>
      <c r="C382" s="127"/>
      <c r="D382" s="127"/>
    </row>
    <row r="383" spans="1:16" s="4" customFormat="1" ht="15.5" x14ac:dyDescent="0.35">
      <c r="A383" s="3">
        <v>42510</v>
      </c>
      <c r="B383" s="62" t="s">
        <v>639</v>
      </c>
      <c r="C383" s="128"/>
      <c r="D383" s="128"/>
    </row>
    <row r="384" spans="1:16" ht="15.5" x14ac:dyDescent="0.35">
      <c r="A384" s="13">
        <v>42517</v>
      </c>
      <c r="B384" s="61" t="s">
        <v>29</v>
      </c>
      <c r="C384">
        <v>193</v>
      </c>
      <c r="D384">
        <v>13</v>
      </c>
      <c r="J384">
        <v>1</v>
      </c>
      <c r="P384">
        <v>1</v>
      </c>
    </row>
    <row r="385" spans="1:10" ht="15.5" x14ac:dyDescent="0.35">
      <c r="A385" s="13">
        <v>42517</v>
      </c>
      <c r="B385" s="61" t="s">
        <v>610</v>
      </c>
      <c r="C385" s="127">
        <v>5</v>
      </c>
      <c r="D385" s="127">
        <v>6</v>
      </c>
    </row>
    <row r="386" spans="1:10" ht="15.5" x14ac:dyDescent="0.35">
      <c r="A386" s="13">
        <v>42517</v>
      </c>
      <c r="B386" s="61" t="s">
        <v>611</v>
      </c>
      <c r="C386" s="127"/>
      <c r="D386" s="127"/>
    </row>
    <row r="387" spans="1:10" ht="15.5" x14ac:dyDescent="0.35">
      <c r="A387" s="13">
        <v>42517</v>
      </c>
      <c r="B387" s="61" t="s">
        <v>612</v>
      </c>
      <c r="C387" s="127"/>
      <c r="D387" s="127"/>
    </row>
    <row r="388" spans="1:10" ht="15.5" x14ac:dyDescent="0.35">
      <c r="A388" s="13">
        <v>42517</v>
      </c>
      <c r="B388" s="61" t="s">
        <v>38</v>
      </c>
    </row>
    <row r="389" spans="1:10" ht="15.5" x14ac:dyDescent="0.35">
      <c r="A389" s="13">
        <v>42517</v>
      </c>
      <c r="B389" s="61" t="s">
        <v>614</v>
      </c>
      <c r="C389" s="127">
        <v>8</v>
      </c>
      <c r="D389" s="127">
        <v>5</v>
      </c>
      <c r="J389">
        <v>1</v>
      </c>
    </row>
    <row r="390" spans="1:10" ht="15.5" x14ac:dyDescent="0.35">
      <c r="A390" s="13">
        <v>42517</v>
      </c>
      <c r="B390" s="61" t="s">
        <v>615</v>
      </c>
      <c r="C390" s="127"/>
      <c r="D390" s="127"/>
    </row>
    <row r="391" spans="1:10" ht="15.5" x14ac:dyDescent="0.35">
      <c r="A391" s="13">
        <v>42517</v>
      </c>
      <c r="B391" s="61" t="s">
        <v>616</v>
      </c>
      <c r="C391" s="127"/>
      <c r="D391" s="127"/>
    </row>
    <row r="392" spans="1:10" ht="15.5" x14ac:dyDescent="0.35">
      <c r="A392" s="13">
        <v>42517</v>
      </c>
      <c r="B392" s="61" t="s">
        <v>618</v>
      </c>
      <c r="C392" s="127">
        <v>17</v>
      </c>
      <c r="D392" s="127">
        <v>3</v>
      </c>
    </row>
    <row r="393" spans="1:10" ht="15.5" x14ac:dyDescent="0.35">
      <c r="A393" s="13">
        <v>42517</v>
      </c>
      <c r="B393" s="61" t="s">
        <v>619</v>
      </c>
      <c r="C393" s="127"/>
      <c r="D393" s="127"/>
    </row>
    <row r="394" spans="1:10" ht="15.5" x14ac:dyDescent="0.35">
      <c r="A394" s="13">
        <v>42517</v>
      </c>
      <c r="B394" s="61" t="s">
        <v>620</v>
      </c>
      <c r="C394" s="127"/>
      <c r="D394" s="127"/>
    </row>
    <row r="395" spans="1:10" ht="15.5" x14ac:dyDescent="0.35">
      <c r="A395" s="13">
        <v>42517</v>
      </c>
      <c r="B395" s="61" t="s">
        <v>622</v>
      </c>
      <c r="C395" s="127">
        <v>8</v>
      </c>
      <c r="D395" s="127">
        <v>6</v>
      </c>
    </row>
    <row r="396" spans="1:10" ht="15.5" x14ac:dyDescent="0.35">
      <c r="A396" s="13">
        <v>42517</v>
      </c>
      <c r="B396" s="61" t="s">
        <v>623</v>
      </c>
      <c r="C396" s="127"/>
      <c r="D396" s="127"/>
    </row>
    <row r="397" spans="1:10" ht="15.5" x14ac:dyDescent="0.35">
      <c r="A397" s="13">
        <v>42517</v>
      </c>
      <c r="B397" s="61" t="s">
        <v>624</v>
      </c>
      <c r="C397" s="127"/>
      <c r="D397" s="127"/>
    </row>
    <row r="398" spans="1:10" ht="15.5" x14ac:dyDescent="0.35">
      <c r="A398" s="13">
        <v>42517</v>
      </c>
      <c r="B398" s="61" t="s">
        <v>626</v>
      </c>
      <c r="C398" s="127">
        <v>25</v>
      </c>
      <c r="D398" s="127">
        <v>3</v>
      </c>
      <c r="G398">
        <v>1</v>
      </c>
    </row>
    <row r="399" spans="1:10" ht="15.5" x14ac:dyDescent="0.35">
      <c r="A399" s="13">
        <v>42517</v>
      </c>
      <c r="B399" s="61" t="s">
        <v>627</v>
      </c>
      <c r="C399" s="127"/>
      <c r="D399" s="127"/>
    </row>
    <row r="400" spans="1:10" ht="15.5" x14ac:dyDescent="0.35">
      <c r="A400" s="13">
        <v>42517</v>
      </c>
      <c r="B400" s="61" t="s">
        <v>628</v>
      </c>
      <c r="C400" s="127"/>
      <c r="D400" s="127"/>
    </row>
    <row r="401" spans="1:10" ht="15.5" x14ac:dyDescent="0.35">
      <c r="A401" s="13">
        <v>42517</v>
      </c>
      <c r="B401" s="61" t="s">
        <v>630</v>
      </c>
      <c r="C401" s="127">
        <v>24</v>
      </c>
    </row>
    <row r="402" spans="1:10" ht="15.5" x14ac:dyDescent="0.35">
      <c r="A402" s="13">
        <v>42517</v>
      </c>
      <c r="B402" s="61" t="s">
        <v>631</v>
      </c>
      <c r="C402" s="127"/>
    </row>
    <row r="403" spans="1:10" ht="15.5" x14ac:dyDescent="0.35">
      <c r="A403" s="13">
        <v>42517</v>
      </c>
      <c r="B403" s="61" t="s">
        <v>632</v>
      </c>
      <c r="C403" s="127"/>
    </row>
    <row r="404" spans="1:10" ht="15.5" x14ac:dyDescent="0.35">
      <c r="A404" s="13">
        <v>42517</v>
      </c>
      <c r="B404" s="61" t="s">
        <v>634</v>
      </c>
      <c r="C404" s="127">
        <v>7</v>
      </c>
      <c r="D404" s="127">
        <v>7</v>
      </c>
      <c r="J404">
        <v>1</v>
      </c>
    </row>
    <row r="405" spans="1:10" ht="15.5" x14ac:dyDescent="0.35">
      <c r="A405" s="13">
        <v>42517</v>
      </c>
      <c r="B405" s="61" t="s">
        <v>635</v>
      </c>
      <c r="C405" s="127"/>
      <c r="D405" s="127"/>
    </row>
    <row r="406" spans="1:10" ht="15.5" x14ac:dyDescent="0.35">
      <c r="A406" s="13">
        <v>42517</v>
      </c>
      <c r="B406" s="61" t="s">
        <v>636</v>
      </c>
      <c r="C406" s="127"/>
      <c r="D406" s="127"/>
    </row>
    <row r="407" spans="1:10" ht="15.5" x14ac:dyDescent="0.35">
      <c r="A407" s="13">
        <v>42517</v>
      </c>
      <c r="B407" s="61" t="s">
        <v>637</v>
      </c>
      <c r="C407" s="127">
        <v>4</v>
      </c>
      <c r="D407" s="127">
        <v>7</v>
      </c>
    </row>
    <row r="408" spans="1:10" ht="15.5" x14ac:dyDescent="0.35">
      <c r="A408" s="13">
        <v>42517</v>
      </c>
      <c r="B408" s="61" t="s">
        <v>638</v>
      </c>
      <c r="C408" s="127"/>
      <c r="D408" s="127"/>
    </row>
    <row r="409" spans="1:10" s="4" customFormat="1" ht="15.5" x14ac:dyDescent="0.35">
      <c r="A409" s="3">
        <v>42517</v>
      </c>
      <c r="B409" s="62" t="s">
        <v>639</v>
      </c>
      <c r="C409" s="128"/>
      <c r="D409" s="128"/>
    </row>
    <row r="410" spans="1:10" ht="15.5" x14ac:dyDescent="0.35">
      <c r="A410" s="2">
        <v>42790</v>
      </c>
      <c r="B410" s="61" t="s">
        <v>29</v>
      </c>
      <c r="C410">
        <v>0</v>
      </c>
      <c r="D410">
        <v>0</v>
      </c>
    </row>
    <row r="411" spans="1:10" s="4" customFormat="1" ht="15.5" x14ac:dyDescent="0.35">
      <c r="A411" s="3">
        <v>42790</v>
      </c>
      <c r="B411" s="62" t="s">
        <v>38</v>
      </c>
      <c r="C411" s="4">
        <v>0</v>
      </c>
      <c r="D411" s="4">
        <v>1</v>
      </c>
    </row>
    <row r="412" spans="1:10" ht="15.5" x14ac:dyDescent="0.35">
      <c r="A412" s="2">
        <v>42797</v>
      </c>
      <c r="B412" s="61" t="s">
        <v>29</v>
      </c>
      <c r="C412">
        <v>0</v>
      </c>
      <c r="D412">
        <v>2</v>
      </c>
      <c r="J412">
        <v>1</v>
      </c>
    </row>
    <row r="413" spans="1:10" ht="15.5" x14ac:dyDescent="0.35">
      <c r="A413" s="2">
        <v>42797</v>
      </c>
      <c r="B413" s="61" t="s">
        <v>610</v>
      </c>
      <c r="C413">
        <v>0</v>
      </c>
      <c r="D413">
        <v>0</v>
      </c>
      <c r="F413" t="s">
        <v>191</v>
      </c>
    </row>
    <row r="414" spans="1:10" ht="15.5" x14ac:dyDescent="0.35">
      <c r="A414" s="2">
        <v>42797</v>
      </c>
      <c r="B414" s="61" t="s">
        <v>611</v>
      </c>
      <c r="C414">
        <v>0</v>
      </c>
      <c r="D414">
        <v>0</v>
      </c>
      <c r="F414" t="s">
        <v>191</v>
      </c>
    </row>
    <row r="415" spans="1:10" ht="15.5" x14ac:dyDescent="0.35">
      <c r="A415" s="2">
        <v>42797</v>
      </c>
      <c r="B415" s="61" t="s">
        <v>612</v>
      </c>
      <c r="C415">
        <v>0</v>
      </c>
      <c r="D415">
        <v>0</v>
      </c>
      <c r="F415" t="s">
        <v>191</v>
      </c>
    </row>
    <row r="416" spans="1:10" ht="15.5" x14ac:dyDescent="0.35">
      <c r="A416" s="2">
        <v>42797</v>
      </c>
      <c r="B416" s="61" t="s">
        <v>38</v>
      </c>
      <c r="C416">
        <v>5</v>
      </c>
      <c r="D416">
        <v>0</v>
      </c>
    </row>
    <row r="417" spans="1:4" ht="15.5" x14ac:dyDescent="0.35">
      <c r="A417" s="2">
        <v>42797</v>
      </c>
      <c r="B417" s="61" t="s">
        <v>614</v>
      </c>
      <c r="C417">
        <v>0</v>
      </c>
      <c r="D417">
        <v>0</v>
      </c>
    </row>
    <row r="418" spans="1:4" ht="15.5" x14ac:dyDescent="0.35">
      <c r="A418" s="2">
        <v>42797</v>
      </c>
      <c r="B418" s="61" t="s">
        <v>615</v>
      </c>
      <c r="C418">
        <v>0</v>
      </c>
      <c r="D418">
        <v>0</v>
      </c>
    </row>
    <row r="419" spans="1:4" ht="15.5" x14ac:dyDescent="0.35">
      <c r="A419" s="2">
        <v>42797</v>
      </c>
      <c r="B419" s="61" t="s">
        <v>616</v>
      </c>
      <c r="C419">
        <v>0</v>
      </c>
      <c r="D419">
        <v>0</v>
      </c>
    </row>
    <row r="420" spans="1:4" ht="15.5" x14ac:dyDescent="0.35">
      <c r="A420" s="2">
        <v>42797</v>
      </c>
      <c r="B420" s="61" t="s">
        <v>640</v>
      </c>
      <c r="C420">
        <v>0</v>
      </c>
      <c r="D420">
        <v>0</v>
      </c>
    </row>
    <row r="421" spans="1:4" ht="15.5" x14ac:dyDescent="0.35">
      <c r="A421" s="2">
        <v>42797</v>
      </c>
      <c r="B421" s="61" t="s">
        <v>641</v>
      </c>
      <c r="C421">
        <v>0</v>
      </c>
      <c r="D421">
        <v>0</v>
      </c>
    </row>
    <row r="422" spans="1:4" ht="15.5" x14ac:dyDescent="0.35">
      <c r="A422" s="2">
        <v>42797</v>
      </c>
      <c r="B422" s="61" t="s">
        <v>642</v>
      </c>
      <c r="C422">
        <v>0</v>
      </c>
      <c r="D422">
        <v>0</v>
      </c>
    </row>
    <row r="423" spans="1:4" ht="15.5" x14ac:dyDescent="0.35">
      <c r="A423" s="2">
        <v>42797</v>
      </c>
      <c r="B423" s="61" t="s">
        <v>622</v>
      </c>
      <c r="C423">
        <v>0</v>
      </c>
      <c r="D423">
        <v>0</v>
      </c>
    </row>
    <row r="424" spans="1:4" ht="15.5" x14ac:dyDescent="0.35">
      <c r="A424" s="2">
        <v>42797</v>
      </c>
      <c r="B424" s="61" t="s">
        <v>623</v>
      </c>
      <c r="C424">
        <v>0</v>
      </c>
      <c r="D424">
        <v>0</v>
      </c>
    </row>
    <row r="425" spans="1:4" ht="15.5" x14ac:dyDescent="0.35">
      <c r="A425" s="2">
        <v>42797</v>
      </c>
      <c r="B425" s="61" t="s">
        <v>624</v>
      </c>
      <c r="C425">
        <v>0</v>
      </c>
      <c r="D425">
        <v>0</v>
      </c>
    </row>
    <row r="426" spans="1:4" ht="15.5" x14ac:dyDescent="0.35">
      <c r="A426" s="2">
        <v>42797</v>
      </c>
      <c r="B426" s="61" t="s">
        <v>626</v>
      </c>
      <c r="C426">
        <v>0</v>
      </c>
      <c r="D426">
        <v>0</v>
      </c>
    </row>
    <row r="427" spans="1:4" ht="15.5" x14ac:dyDescent="0.35">
      <c r="A427" s="2">
        <v>42797</v>
      </c>
      <c r="B427" s="61" t="s">
        <v>627</v>
      </c>
      <c r="C427">
        <v>0</v>
      </c>
      <c r="D427">
        <v>0</v>
      </c>
    </row>
    <row r="428" spans="1:4" ht="15.5" x14ac:dyDescent="0.35">
      <c r="A428" s="2">
        <v>42797</v>
      </c>
      <c r="B428" s="61" t="s">
        <v>628</v>
      </c>
      <c r="C428">
        <v>0</v>
      </c>
      <c r="D428">
        <v>0</v>
      </c>
    </row>
    <row r="429" spans="1:4" ht="15.5" x14ac:dyDescent="0.35">
      <c r="A429" s="2">
        <v>42797</v>
      </c>
      <c r="B429" s="61" t="s">
        <v>630</v>
      </c>
      <c r="C429">
        <v>0</v>
      </c>
      <c r="D429">
        <v>0</v>
      </c>
    </row>
    <row r="430" spans="1:4" ht="15.5" x14ac:dyDescent="0.35">
      <c r="A430" s="2">
        <v>42797</v>
      </c>
      <c r="B430" s="61" t="s">
        <v>631</v>
      </c>
      <c r="C430">
        <v>0</v>
      </c>
      <c r="D430">
        <v>0</v>
      </c>
    </row>
    <row r="431" spans="1:4" ht="15.5" x14ac:dyDescent="0.35">
      <c r="A431" s="2">
        <v>42797</v>
      </c>
      <c r="B431" s="61" t="s">
        <v>632</v>
      </c>
      <c r="C431">
        <v>0</v>
      </c>
      <c r="D431">
        <v>0</v>
      </c>
    </row>
    <row r="432" spans="1:4" ht="15.5" x14ac:dyDescent="0.35">
      <c r="A432" s="2">
        <v>42797</v>
      </c>
      <c r="B432" s="61" t="s">
        <v>634</v>
      </c>
      <c r="C432">
        <v>0</v>
      </c>
      <c r="D432">
        <v>0</v>
      </c>
    </row>
    <row r="433" spans="1:4" ht="15.5" x14ac:dyDescent="0.35">
      <c r="A433" s="2">
        <v>42797</v>
      </c>
      <c r="B433" s="61" t="s">
        <v>635</v>
      </c>
      <c r="C433">
        <v>0</v>
      </c>
      <c r="D433">
        <v>0</v>
      </c>
    </row>
    <row r="434" spans="1:4" ht="15.5" x14ac:dyDescent="0.35">
      <c r="A434" s="2">
        <v>42797</v>
      </c>
      <c r="B434" s="61" t="s">
        <v>636</v>
      </c>
      <c r="C434">
        <v>0</v>
      </c>
      <c r="D434">
        <v>0</v>
      </c>
    </row>
    <row r="435" spans="1:4" ht="15.5" x14ac:dyDescent="0.35">
      <c r="A435" s="2">
        <v>42797</v>
      </c>
      <c r="B435" s="61" t="s">
        <v>637</v>
      </c>
      <c r="C435">
        <v>0</v>
      </c>
      <c r="D435">
        <v>0</v>
      </c>
    </row>
    <row r="436" spans="1:4" ht="15.5" x14ac:dyDescent="0.35">
      <c r="A436" s="2">
        <v>42797</v>
      </c>
      <c r="B436" s="61" t="s">
        <v>638</v>
      </c>
      <c r="C436">
        <v>0</v>
      </c>
      <c r="D436">
        <v>0</v>
      </c>
    </row>
    <row r="437" spans="1:4" ht="15.5" x14ac:dyDescent="0.35">
      <c r="A437" s="2">
        <v>42797</v>
      </c>
      <c r="B437" s="61" t="s">
        <v>639</v>
      </c>
      <c r="C437">
        <v>0</v>
      </c>
      <c r="D437">
        <v>0</v>
      </c>
    </row>
    <row r="438" spans="1:4" s="4" customFormat="1" ht="15.5" x14ac:dyDescent="0.35">
      <c r="A438" s="3">
        <v>42798</v>
      </c>
      <c r="B438" s="62" t="s">
        <v>20</v>
      </c>
      <c r="C438" s="4">
        <v>0</v>
      </c>
      <c r="D438" s="4">
        <v>0</v>
      </c>
    </row>
    <row r="439" spans="1:4" s="5" customFormat="1" ht="15.5" x14ac:dyDescent="0.35">
      <c r="A439" s="2">
        <v>42804</v>
      </c>
      <c r="B439" s="61" t="s">
        <v>29</v>
      </c>
      <c r="C439" s="10">
        <v>24</v>
      </c>
      <c r="D439" s="10">
        <v>0</v>
      </c>
    </row>
    <row r="440" spans="1:4" ht="15.5" x14ac:dyDescent="0.35">
      <c r="A440" s="2">
        <v>42804</v>
      </c>
      <c r="B440" s="61" t="s">
        <v>610</v>
      </c>
      <c r="C440" s="10">
        <v>0</v>
      </c>
      <c r="D440" s="10">
        <v>0</v>
      </c>
    </row>
    <row r="441" spans="1:4" ht="15.5" x14ac:dyDescent="0.35">
      <c r="A441" s="2">
        <v>42804</v>
      </c>
      <c r="B441" s="61" t="s">
        <v>611</v>
      </c>
      <c r="C441" s="10">
        <v>0</v>
      </c>
      <c r="D441" s="10">
        <v>0</v>
      </c>
    </row>
    <row r="442" spans="1:4" ht="15.5" x14ac:dyDescent="0.35">
      <c r="A442" s="2">
        <v>42804</v>
      </c>
      <c r="B442" s="61" t="s">
        <v>612</v>
      </c>
      <c r="C442" s="10">
        <v>0</v>
      </c>
      <c r="D442" s="10">
        <v>0</v>
      </c>
    </row>
    <row r="443" spans="1:4" ht="15.5" x14ac:dyDescent="0.35">
      <c r="A443" s="2">
        <v>42804</v>
      </c>
      <c r="B443" s="61" t="s">
        <v>38</v>
      </c>
      <c r="C443" s="10">
        <v>10</v>
      </c>
      <c r="D443" s="10">
        <v>1</v>
      </c>
    </row>
    <row r="444" spans="1:4" ht="15.5" x14ac:dyDescent="0.35">
      <c r="A444" s="2">
        <v>42804</v>
      </c>
      <c r="B444" s="61" t="s">
        <v>614</v>
      </c>
      <c r="C444" s="10">
        <v>0</v>
      </c>
      <c r="D444" s="10">
        <v>0</v>
      </c>
    </row>
    <row r="445" spans="1:4" ht="15.5" x14ac:dyDescent="0.35">
      <c r="A445" s="2">
        <v>42804</v>
      </c>
      <c r="B445" s="61" t="s">
        <v>615</v>
      </c>
      <c r="C445" s="10">
        <v>0</v>
      </c>
      <c r="D445" s="10">
        <v>0</v>
      </c>
    </row>
    <row r="446" spans="1:4" ht="15.5" x14ac:dyDescent="0.35">
      <c r="A446" s="2">
        <v>42804</v>
      </c>
      <c r="B446" s="61" t="s">
        <v>616</v>
      </c>
      <c r="C446" s="10">
        <v>0</v>
      </c>
      <c r="D446" s="10">
        <v>0</v>
      </c>
    </row>
    <row r="447" spans="1:4" ht="15.5" x14ac:dyDescent="0.35">
      <c r="A447" s="2">
        <v>42804</v>
      </c>
      <c r="B447" s="61" t="s">
        <v>640</v>
      </c>
      <c r="C447" s="10">
        <v>0</v>
      </c>
      <c r="D447" s="10">
        <v>0</v>
      </c>
    </row>
    <row r="448" spans="1:4" ht="15.5" x14ac:dyDescent="0.35">
      <c r="A448" s="2">
        <v>42804</v>
      </c>
      <c r="B448" s="61" t="s">
        <v>641</v>
      </c>
      <c r="C448" s="10">
        <v>0</v>
      </c>
      <c r="D448" s="10">
        <v>0</v>
      </c>
    </row>
    <row r="449" spans="1:4" ht="15.5" x14ac:dyDescent="0.35">
      <c r="A449" s="2">
        <v>42804</v>
      </c>
      <c r="B449" s="61" t="s">
        <v>642</v>
      </c>
      <c r="C449" s="10">
        <v>0</v>
      </c>
      <c r="D449" s="10">
        <v>0</v>
      </c>
    </row>
    <row r="450" spans="1:4" ht="15.5" x14ac:dyDescent="0.35">
      <c r="A450" s="2">
        <v>42804</v>
      </c>
      <c r="B450" s="61" t="s">
        <v>622</v>
      </c>
      <c r="C450" s="10">
        <v>0</v>
      </c>
      <c r="D450" s="10">
        <v>0</v>
      </c>
    </row>
    <row r="451" spans="1:4" ht="15.5" x14ac:dyDescent="0.35">
      <c r="A451" s="2">
        <v>42804</v>
      </c>
      <c r="B451" s="61" t="s">
        <v>623</v>
      </c>
      <c r="C451" s="10">
        <v>0</v>
      </c>
      <c r="D451" s="10">
        <v>0</v>
      </c>
    </row>
    <row r="452" spans="1:4" ht="15.5" x14ac:dyDescent="0.35">
      <c r="A452" s="2">
        <v>42804</v>
      </c>
      <c r="B452" s="61" t="s">
        <v>624</v>
      </c>
      <c r="C452" s="10">
        <v>0</v>
      </c>
      <c r="D452" s="10">
        <v>0</v>
      </c>
    </row>
    <row r="453" spans="1:4" ht="15.5" x14ac:dyDescent="0.35">
      <c r="A453" s="2">
        <v>42804</v>
      </c>
      <c r="B453" s="61" t="s">
        <v>626</v>
      </c>
      <c r="C453" s="10">
        <v>0</v>
      </c>
      <c r="D453" s="10">
        <v>0</v>
      </c>
    </row>
    <row r="454" spans="1:4" ht="15.5" x14ac:dyDescent="0.35">
      <c r="A454" s="2">
        <v>42804</v>
      </c>
      <c r="B454" s="61" t="s">
        <v>627</v>
      </c>
      <c r="C454" s="10">
        <v>0</v>
      </c>
      <c r="D454" s="10">
        <v>0</v>
      </c>
    </row>
    <row r="455" spans="1:4" ht="15.5" x14ac:dyDescent="0.35">
      <c r="A455" s="2">
        <v>42804</v>
      </c>
      <c r="B455" s="61" t="s">
        <v>628</v>
      </c>
      <c r="C455" s="10">
        <v>0</v>
      </c>
      <c r="D455" s="10">
        <v>0</v>
      </c>
    </row>
    <row r="456" spans="1:4" ht="15.5" x14ac:dyDescent="0.35">
      <c r="A456" s="2">
        <v>42804</v>
      </c>
      <c r="B456" s="61" t="s">
        <v>630</v>
      </c>
      <c r="C456" s="10">
        <v>0</v>
      </c>
      <c r="D456" s="10">
        <v>0</v>
      </c>
    </row>
    <row r="457" spans="1:4" ht="15.5" x14ac:dyDescent="0.35">
      <c r="A457" s="2">
        <v>42804</v>
      </c>
      <c r="B457" s="61" t="s">
        <v>631</v>
      </c>
      <c r="C457" s="10">
        <v>0</v>
      </c>
      <c r="D457" s="10">
        <v>0</v>
      </c>
    </row>
    <row r="458" spans="1:4" ht="15.5" x14ac:dyDescent="0.35">
      <c r="A458" s="2">
        <v>42804</v>
      </c>
      <c r="B458" s="61" t="s">
        <v>632</v>
      </c>
      <c r="C458" s="10">
        <v>0</v>
      </c>
      <c r="D458" s="10">
        <v>0</v>
      </c>
    </row>
    <row r="459" spans="1:4" ht="15.5" x14ac:dyDescent="0.35">
      <c r="A459" s="2">
        <v>42804</v>
      </c>
      <c r="B459" s="61" t="s">
        <v>634</v>
      </c>
      <c r="C459" s="10">
        <v>0</v>
      </c>
      <c r="D459" s="10">
        <v>0</v>
      </c>
    </row>
    <row r="460" spans="1:4" ht="15.5" x14ac:dyDescent="0.35">
      <c r="A460" s="2">
        <v>42804</v>
      </c>
      <c r="B460" s="61" t="s">
        <v>635</v>
      </c>
      <c r="C460" s="10">
        <v>0</v>
      </c>
      <c r="D460" s="10">
        <v>0</v>
      </c>
    </row>
    <row r="461" spans="1:4" ht="15.5" x14ac:dyDescent="0.35">
      <c r="A461" s="2">
        <v>42804</v>
      </c>
      <c r="B461" s="61" t="s">
        <v>636</v>
      </c>
      <c r="C461" s="10">
        <v>0</v>
      </c>
      <c r="D461" s="10">
        <v>0</v>
      </c>
    </row>
    <row r="462" spans="1:4" ht="15.5" x14ac:dyDescent="0.35">
      <c r="A462" s="2">
        <v>42804</v>
      </c>
      <c r="B462" s="61" t="s">
        <v>637</v>
      </c>
      <c r="C462" s="10">
        <v>0</v>
      </c>
      <c r="D462" s="10">
        <v>0</v>
      </c>
    </row>
    <row r="463" spans="1:4" ht="15.5" x14ac:dyDescent="0.35">
      <c r="A463" s="2">
        <v>42804</v>
      </c>
      <c r="B463" s="61" t="s">
        <v>638</v>
      </c>
      <c r="C463" s="10">
        <v>0</v>
      </c>
      <c r="D463" s="10">
        <v>0</v>
      </c>
    </row>
    <row r="464" spans="1:4" s="40" customFormat="1" ht="15.5" x14ac:dyDescent="0.35">
      <c r="A464" s="39">
        <v>42804</v>
      </c>
      <c r="B464" s="61" t="s">
        <v>639</v>
      </c>
      <c r="C464" s="36">
        <v>0</v>
      </c>
      <c r="D464" s="36">
        <v>0</v>
      </c>
    </row>
    <row r="465" spans="1:4" s="4" customFormat="1" ht="15.5" x14ac:dyDescent="0.35">
      <c r="A465" s="3">
        <v>42805</v>
      </c>
      <c r="B465" s="62" t="s">
        <v>20</v>
      </c>
      <c r="C465" s="4">
        <v>36</v>
      </c>
      <c r="D465" s="4">
        <v>0</v>
      </c>
    </row>
    <row r="466" spans="1:4" ht="15.5" x14ac:dyDescent="0.35">
      <c r="A466" s="2">
        <v>42807</v>
      </c>
      <c r="B466" s="61" t="s">
        <v>29</v>
      </c>
      <c r="C466" s="10">
        <v>460</v>
      </c>
      <c r="D466" s="10">
        <v>5</v>
      </c>
    </row>
    <row r="467" spans="1:4" s="4" customFormat="1" ht="15.5" x14ac:dyDescent="0.35">
      <c r="A467" s="3">
        <v>42807</v>
      </c>
      <c r="B467" s="62" t="s">
        <v>38</v>
      </c>
      <c r="C467" s="4">
        <v>147</v>
      </c>
      <c r="D467" s="4">
        <v>2</v>
      </c>
    </row>
    <row r="468" spans="1:4" ht="15.5" x14ac:dyDescent="0.35">
      <c r="A468" s="2">
        <v>42811</v>
      </c>
      <c r="B468" s="61" t="s">
        <v>29</v>
      </c>
      <c r="C468" s="10">
        <v>1734</v>
      </c>
      <c r="D468" s="10">
        <v>19</v>
      </c>
    </row>
    <row r="469" spans="1:4" ht="15.5" x14ac:dyDescent="0.35">
      <c r="A469" s="2">
        <v>42811</v>
      </c>
      <c r="B469" s="61" t="s">
        <v>610</v>
      </c>
      <c r="C469" s="10">
        <v>3</v>
      </c>
      <c r="D469">
        <v>1</v>
      </c>
    </row>
    <row r="470" spans="1:4" ht="15.5" x14ac:dyDescent="0.35">
      <c r="A470" s="2">
        <v>42811</v>
      </c>
      <c r="B470" s="61" t="s">
        <v>611</v>
      </c>
      <c r="C470" s="10">
        <v>2</v>
      </c>
      <c r="D470">
        <v>0</v>
      </c>
    </row>
    <row r="471" spans="1:4" ht="15.5" x14ac:dyDescent="0.35">
      <c r="A471" s="2">
        <v>42811</v>
      </c>
      <c r="B471" s="61" t="s">
        <v>612</v>
      </c>
      <c r="C471" s="10">
        <v>3</v>
      </c>
      <c r="D471">
        <v>0</v>
      </c>
    </row>
    <row r="472" spans="1:4" ht="15.5" x14ac:dyDescent="0.35">
      <c r="A472" s="2">
        <v>42811</v>
      </c>
      <c r="B472" s="61" t="s">
        <v>38</v>
      </c>
      <c r="C472">
        <v>1645</v>
      </c>
      <c r="D472">
        <v>12</v>
      </c>
    </row>
    <row r="473" spans="1:4" ht="15.5" x14ac:dyDescent="0.35">
      <c r="A473" s="2">
        <v>42811</v>
      </c>
      <c r="B473" s="61" t="s">
        <v>614</v>
      </c>
      <c r="C473" s="10">
        <v>0</v>
      </c>
      <c r="D473">
        <v>1</v>
      </c>
    </row>
    <row r="474" spans="1:4" ht="15.5" x14ac:dyDescent="0.35">
      <c r="A474" s="2">
        <v>42811</v>
      </c>
      <c r="B474" s="61" t="s">
        <v>615</v>
      </c>
      <c r="C474" s="10">
        <v>1</v>
      </c>
      <c r="D474">
        <v>0</v>
      </c>
    </row>
    <row r="475" spans="1:4" ht="15.5" x14ac:dyDescent="0.35">
      <c r="A475" s="2">
        <v>42811</v>
      </c>
      <c r="B475" s="61" t="s">
        <v>616</v>
      </c>
      <c r="C475" s="10">
        <v>3</v>
      </c>
      <c r="D475">
        <v>0</v>
      </c>
    </row>
    <row r="476" spans="1:4" ht="15.5" x14ac:dyDescent="0.35">
      <c r="A476" s="2">
        <v>42811</v>
      </c>
      <c r="B476" s="61" t="s">
        <v>640</v>
      </c>
      <c r="C476" s="10">
        <v>0</v>
      </c>
      <c r="D476">
        <v>0</v>
      </c>
    </row>
    <row r="477" spans="1:4" ht="15.5" x14ac:dyDescent="0.35">
      <c r="A477" s="2">
        <v>42811</v>
      </c>
      <c r="B477" s="61" t="s">
        <v>641</v>
      </c>
      <c r="C477" s="10">
        <v>0</v>
      </c>
      <c r="D477">
        <v>0</v>
      </c>
    </row>
    <row r="478" spans="1:4" ht="15.5" x14ac:dyDescent="0.35">
      <c r="A478" s="2">
        <v>42811</v>
      </c>
      <c r="B478" s="61" t="s">
        <v>642</v>
      </c>
      <c r="C478" s="10">
        <v>0</v>
      </c>
      <c r="D478">
        <v>0</v>
      </c>
    </row>
    <row r="479" spans="1:4" ht="15.5" x14ac:dyDescent="0.35">
      <c r="A479" s="2">
        <v>42811</v>
      </c>
      <c r="B479" s="61" t="s">
        <v>622</v>
      </c>
      <c r="C479" s="10">
        <v>0</v>
      </c>
      <c r="D479">
        <v>0</v>
      </c>
    </row>
    <row r="480" spans="1:4" ht="15.5" x14ac:dyDescent="0.35">
      <c r="A480" s="2">
        <v>42811</v>
      </c>
      <c r="B480" s="61" t="s">
        <v>623</v>
      </c>
      <c r="C480" s="10">
        <v>0</v>
      </c>
      <c r="D480">
        <v>0</v>
      </c>
    </row>
    <row r="481" spans="1:4" ht="15.5" x14ac:dyDescent="0.35">
      <c r="A481" s="2">
        <v>42811</v>
      </c>
      <c r="B481" s="61" t="s">
        <v>624</v>
      </c>
      <c r="C481" s="10">
        <v>0</v>
      </c>
      <c r="D481">
        <v>0</v>
      </c>
    </row>
    <row r="482" spans="1:4" ht="15.5" x14ac:dyDescent="0.35">
      <c r="A482" s="2">
        <v>42811</v>
      </c>
      <c r="B482" s="61" t="s">
        <v>626</v>
      </c>
      <c r="C482" s="10">
        <v>0</v>
      </c>
      <c r="D482">
        <v>0</v>
      </c>
    </row>
    <row r="483" spans="1:4" ht="15.5" x14ac:dyDescent="0.35">
      <c r="A483" s="2">
        <v>42811</v>
      </c>
      <c r="B483" s="61" t="s">
        <v>627</v>
      </c>
      <c r="C483" s="10">
        <v>0</v>
      </c>
      <c r="D483">
        <v>0</v>
      </c>
    </row>
    <row r="484" spans="1:4" ht="15.5" x14ac:dyDescent="0.35">
      <c r="A484" s="2">
        <v>42811</v>
      </c>
      <c r="B484" s="61" t="s">
        <v>628</v>
      </c>
      <c r="C484" s="10">
        <v>0</v>
      </c>
      <c r="D484">
        <v>0</v>
      </c>
    </row>
    <row r="485" spans="1:4" ht="15.5" x14ac:dyDescent="0.35">
      <c r="A485" s="2">
        <v>42811</v>
      </c>
      <c r="B485" s="61" t="s">
        <v>630</v>
      </c>
      <c r="C485" s="10">
        <v>0</v>
      </c>
      <c r="D485">
        <v>0</v>
      </c>
    </row>
    <row r="486" spans="1:4" ht="15.5" x14ac:dyDescent="0.35">
      <c r="A486" s="2">
        <v>42811</v>
      </c>
      <c r="B486" s="61" t="s">
        <v>631</v>
      </c>
      <c r="C486" s="10">
        <v>0</v>
      </c>
      <c r="D486">
        <v>0</v>
      </c>
    </row>
    <row r="487" spans="1:4" ht="15.5" x14ac:dyDescent="0.35">
      <c r="A487" s="2">
        <v>42811</v>
      </c>
      <c r="B487" s="61" t="s">
        <v>632</v>
      </c>
      <c r="C487" s="10">
        <v>0</v>
      </c>
      <c r="D487">
        <v>0</v>
      </c>
    </row>
    <row r="488" spans="1:4" ht="15.5" x14ac:dyDescent="0.35">
      <c r="A488" s="2">
        <v>42811</v>
      </c>
      <c r="B488" s="61" t="s">
        <v>634</v>
      </c>
      <c r="C488" s="10">
        <v>0</v>
      </c>
      <c r="D488">
        <v>0</v>
      </c>
    </row>
    <row r="489" spans="1:4" ht="15.5" x14ac:dyDescent="0.35">
      <c r="A489" s="2">
        <v>42811</v>
      </c>
      <c r="B489" s="61" t="s">
        <v>635</v>
      </c>
      <c r="C489">
        <v>1</v>
      </c>
      <c r="D489">
        <v>0</v>
      </c>
    </row>
    <row r="490" spans="1:4" ht="15.5" x14ac:dyDescent="0.35">
      <c r="A490" s="2">
        <v>42811</v>
      </c>
      <c r="B490" s="61" t="s">
        <v>636</v>
      </c>
      <c r="C490">
        <v>0</v>
      </c>
      <c r="D490">
        <v>0</v>
      </c>
    </row>
    <row r="491" spans="1:4" ht="15.5" x14ac:dyDescent="0.35">
      <c r="A491" s="2">
        <v>42811</v>
      </c>
      <c r="B491" s="61" t="s">
        <v>637</v>
      </c>
      <c r="C491">
        <v>1</v>
      </c>
      <c r="D491">
        <v>0</v>
      </c>
    </row>
    <row r="492" spans="1:4" ht="15.5" x14ac:dyDescent="0.35">
      <c r="A492" s="2">
        <v>42811</v>
      </c>
      <c r="B492" s="61" t="s">
        <v>638</v>
      </c>
      <c r="C492">
        <v>0</v>
      </c>
      <c r="D492">
        <v>0</v>
      </c>
    </row>
    <row r="493" spans="1:4" ht="15.5" x14ac:dyDescent="0.35">
      <c r="A493" s="2">
        <v>42811</v>
      </c>
      <c r="B493" s="61" t="s">
        <v>639</v>
      </c>
      <c r="C493">
        <v>1</v>
      </c>
      <c r="D493">
        <v>0</v>
      </c>
    </row>
    <row r="494" spans="1:4" s="4" customFormat="1" ht="15.5" x14ac:dyDescent="0.35">
      <c r="A494" s="3">
        <v>42812</v>
      </c>
      <c r="B494" s="62" t="s">
        <v>20</v>
      </c>
      <c r="C494" s="4">
        <v>134</v>
      </c>
      <c r="D494" s="4">
        <v>0</v>
      </c>
    </row>
    <row r="495" spans="1:4" ht="15.5" x14ac:dyDescent="0.35">
      <c r="A495" s="2">
        <v>42814</v>
      </c>
      <c r="B495" s="61" t="s">
        <v>29</v>
      </c>
      <c r="C495" s="10">
        <v>3906</v>
      </c>
      <c r="D495" s="10">
        <v>22</v>
      </c>
    </row>
    <row r="496" spans="1:4" s="4" customFormat="1" ht="15.5" x14ac:dyDescent="0.35">
      <c r="A496" s="3">
        <v>42814</v>
      </c>
      <c r="B496" s="62" t="s">
        <v>38</v>
      </c>
      <c r="C496" s="11">
        <v>2204</v>
      </c>
      <c r="D496" s="4">
        <v>13</v>
      </c>
    </row>
    <row r="497" spans="1:18" ht="15.5" x14ac:dyDescent="0.35">
      <c r="A497" s="2">
        <v>42815</v>
      </c>
      <c r="B497" s="61" t="s">
        <v>29</v>
      </c>
      <c r="C497" s="10">
        <v>205</v>
      </c>
      <c r="D497" s="10">
        <v>1</v>
      </c>
      <c r="P497">
        <v>1</v>
      </c>
      <c r="R497">
        <v>1</v>
      </c>
    </row>
    <row r="498" spans="1:18" s="4" customFormat="1" ht="15.5" x14ac:dyDescent="0.35">
      <c r="A498" s="3">
        <v>42815</v>
      </c>
      <c r="B498" s="62" t="s">
        <v>38</v>
      </c>
      <c r="C498" s="4">
        <v>377</v>
      </c>
      <c r="D498" s="4">
        <v>3</v>
      </c>
      <c r="P498" s="4">
        <v>1</v>
      </c>
    </row>
    <row r="499" spans="1:18" ht="15.5" x14ac:dyDescent="0.35">
      <c r="A499" s="2">
        <v>42818</v>
      </c>
      <c r="B499" s="61" t="s">
        <v>29</v>
      </c>
      <c r="C499" s="10">
        <v>4636</v>
      </c>
      <c r="D499" s="10">
        <v>6</v>
      </c>
    </row>
    <row r="500" spans="1:18" ht="15.5" x14ac:dyDescent="0.35">
      <c r="A500" s="2">
        <v>42818</v>
      </c>
      <c r="B500" s="61" t="s">
        <v>610</v>
      </c>
      <c r="C500" s="10">
        <v>1</v>
      </c>
      <c r="D500" s="10"/>
    </row>
    <row r="501" spans="1:18" ht="15.5" x14ac:dyDescent="0.35">
      <c r="A501" s="2">
        <v>42818</v>
      </c>
      <c r="B501" s="61" t="s">
        <v>611</v>
      </c>
      <c r="C501" s="10">
        <v>1</v>
      </c>
      <c r="D501" s="10">
        <v>1</v>
      </c>
    </row>
    <row r="502" spans="1:18" ht="15.5" x14ac:dyDescent="0.35">
      <c r="A502" s="2">
        <v>42818</v>
      </c>
      <c r="B502" s="61" t="s">
        <v>612</v>
      </c>
      <c r="C502" s="10">
        <v>2</v>
      </c>
    </row>
    <row r="503" spans="1:18" ht="15.5" x14ac:dyDescent="0.35">
      <c r="A503" s="2">
        <v>42818</v>
      </c>
      <c r="B503" s="61" t="s">
        <v>38</v>
      </c>
      <c r="C503">
        <v>3255</v>
      </c>
      <c r="D503">
        <v>1</v>
      </c>
      <c r="E503" s="8"/>
      <c r="G503" s="8"/>
    </row>
    <row r="504" spans="1:18" ht="15.5" x14ac:dyDescent="0.35">
      <c r="A504" s="2">
        <v>42818</v>
      </c>
      <c r="B504" s="61" t="s">
        <v>614</v>
      </c>
      <c r="C504">
        <v>8</v>
      </c>
      <c r="G504" s="8"/>
    </row>
    <row r="505" spans="1:18" ht="15.5" x14ac:dyDescent="0.35">
      <c r="A505" s="2">
        <v>42818</v>
      </c>
      <c r="B505" s="61" t="s">
        <v>615</v>
      </c>
      <c r="C505">
        <v>16</v>
      </c>
      <c r="E505" s="8"/>
    </row>
    <row r="506" spans="1:18" ht="15.5" x14ac:dyDescent="0.35">
      <c r="A506" s="2">
        <v>42818</v>
      </c>
      <c r="B506" s="61" t="s">
        <v>616</v>
      </c>
      <c r="C506">
        <v>10</v>
      </c>
    </row>
    <row r="507" spans="1:18" ht="15.5" x14ac:dyDescent="0.35">
      <c r="A507" s="2">
        <v>42818</v>
      </c>
      <c r="B507" s="61" t="s">
        <v>640</v>
      </c>
      <c r="C507">
        <v>0</v>
      </c>
    </row>
    <row r="508" spans="1:18" ht="15.5" x14ac:dyDescent="0.35">
      <c r="A508" s="2">
        <v>42818</v>
      </c>
      <c r="B508" s="61" t="s">
        <v>641</v>
      </c>
      <c r="C508">
        <v>0</v>
      </c>
    </row>
    <row r="509" spans="1:18" ht="15.5" x14ac:dyDescent="0.35">
      <c r="A509" s="2">
        <v>42818</v>
      </c>
      <c r="B509" s="61" t="s">
        <v>642</v>
      </c>
      <c r="C509">
        <v>0</v>
      </c>
    </row>
    <row r="510" spans="1:18" ht="15.5" x14ac:dyDescent="0.35">
      <c r="A510" s="2">
        <v>42818</v>
      </c>
      <c r="B510" s="61" t="s">
        <v>622</v>
      </c>
      <c r="C510">
        <v>0</v>
      </c>
    </row>
    <row r="511" spans="1:18" ht="15.5" x14ac:dyDescent="0.35">
      <c r="A511" s="2">
        <v>42818</v>
      </c>
      <c r="B511" s="61" t="s">
        <v>623</v>
      </c>
      <c r="C511">
        <v>0</v>
      </c>
    </row>
    <row r="512" spans="1:18" ht="15.5" x14ac:dyDescent="0.35">
      <c r="A512" s="2">
        <v>42818</v>
      </c>
      <c r="B512" s="61" t="s">
        <v>624</v>
      </c>
      <c r="C512">
        <v>0</v>
      </c>
    </row>
    <row r="513" spans="1:18" ht="15.5" x14ac:dyDescent="0.35">
      <c r="A513" s="2">
        <v>42818</v>
      </c>
      <c r="B513" s="61" t="s">
        <v>626</v>
      </c>
      <c r="C513">
        <v>0</v>
      </c>
    </row>
    <row r="514" spans="1:18" ht="15.5" x14ac:dyDescent="0.35">
      <c r="A514" s="2">
        <v>42818</v>
      </c>
      <c r="B514" s="61" t="s">
        <v>627</v>
      </c>
      <c r="C514">
        <v>1</v>
      </c>
    </row>
    <row r="515" spans="1:18" ht="15.5" x14ac:dyDescent="0.35">
      <c r="A515" s="2">
        <v>42818</v>
      </c>
      <c r="B515" s="61" t="s">
        <v>628</v>
      </c>
      <c r="C515">
        <v>0</v>
      </c>
    </row>
    <row r="516" spans="1:18" ht="15.5" x14ac:dyDescent="0.35">
      <c r="A516" s="2">
        <v>42818</v>
      </c>
      <c r="B516" s="61" t="s">
        <v>630</v>
      </c>
      <c r="C516">
        <v>1</v>
      </c>
    </row>
    <row r="517" spans="1:18" ht="15.5" x14ac:dyDescent="0.35">
      <c r="A517" s="2">
        <v>42818</v>
      </c>
      <c r="B517" s="61" t="s">
        <v>631</v>
      </c>
      <c r="C517">
        <v>0</v>
      </c>
    </row>
    <row r="518" spans="1:18" ht="15.5" x14ac:dyDescent="0.35">
      <c r="A518" s="2">
        <v>42818</v>
      </c>
      <c r="B518" s="61" t="s">
        <v>632</v>
      </c>
      <c r="C518">
        <v>1</v>
      </c>
    </row>
    <row r="519" spans="1:18" ht="15.5" x14ac:dyDescent="0.35">
      <c r="A519" s="2">
        <v>42818</v>
      </c>
      <c r="B519" s="61" t="s">
        <v>634</v>
      </c>
      <c r="C519">
        <v>0</v>
      </c>
    </row>
    <row r="520" spans="1:18" ht="15.5" x14ac:dyDescent="0.35">
      <c r="A520" s="2">
        <v>42818</v>
      </c>
      <c r="B520" s="61" t="s">
        <v>635</v>
      </c>
      <c r="C520">
        <v>1</v>
      </c>
    </row>
    <row r="521" spans="1:18" ht="15.5" x14ac:dyDescent="0.35">
      <c r="A521" s="2">
        <v>42818</v>
      </c>
      <c r="B521" s="61" t="s">
        <v>636</v>
      </c>
      <c r="C521">
        <v>0</v>
      </c>
    </row>
    <row r="522" spans="1:18" ht="15.5" x14ac:dyDescent="0.35">
      <c r="A522" s="2">
        <v>42818</v>
      </c>
      <c r="B522" s="61" t="s">
        <v>637</v>
      </c>
      <c r="C522">
        <v>1</v>
      </c>
    </row>
    <row r="523" spans="1:18" ht="15.5" x14ac:dyDescent="0.35">
      <c r="A523" s="2">
        <v>42818</v>
      </c>
      <c r="B523" s="61" t="s">
        <v>638</v>
      </c>
      <c r="C523">
        <v>2</v>
      </c>
      <c r="K523">
        <v>1</v>
      </c>
    </row>
    <row r="524" spans="1:18" ht="15.5" x14ac:dyDescent="0.35">
      <c r="A524" s="2">
        <v>42818</v>
      </c>
      <c r="B524" s="61" t="s">
        <v>639</v>
      </c>
      <c r="C524">
        <v>4</v>
      </c>
    </row>
    <row r="525" spans="1:18" s="4" customFormat="1" ht="15.5" x14ac:dyDescent="0.35">
      <c r="A525" s="3">
        <v>42818</v>
      </c>
      <c r="B525" s="62" t="s">
        <v>20</v>
      </c>
      <c r="C525" s="4">
        <v>63</v>
      </c>
    </row>
    <row r="526" spans="1:18" ht="15.5" x14ac:dyDescent="0.35">
      <c r="A526" s="2">
        <v>42821</v>
      </c>
      <c r="B526" s="63" t="s">
        <v>29</v>
      </c>
      <c r="C526" s="10">
        <v>4786</v>
      </c>
      <c r="P526">
        <v>1</v>
      </c>
    </row>
    <row r="527" spans="1:18" s="4" customFormat="1" ht="15.5" x14ac:dyDescent="0.35">
      <c r="A527" s="3">
        <v>42821</v>
      </c>
      <c r="B527" s="64" t="s">
        <v>38</v>
      </c>
      <c r="C527" s="4">
        <v>3231</v>
      </c>
      <c r="P527" s="4">
        <v>1</v>
      </c>
      <c r="R527" s="4">
        <v>1</v>
      </c>
    </row>
    <row r="528" spans="1:18" ht="15.5" x14ac:dyDescent="0.35">
      <c r="A528" s="2">
        <v>42825</v>
      </c>
      <c r="B528" s="61" t="s">
        <v>29</v>
      </c>
      <c r="C528" s="10">
        <v>16021</v>
      </c>
      <c r="D528">
        <v>9</v>
      </c>
    </row>
    <row r="529" spans="1:6" ht="15.5" x14ac:dyDescent="0.35">
      <c r="A529" s="2">
        <v>42825</v>
      </c>
      <c r="B529" s="61" t="s">
        <v>610</v>
      </c>
      <c r="C529" s="10">
        <v>0</v>
      </c>
    </row>
    <row r="530" spans="1:6" ht="15.5" x14ac:dyDescent="0.35">
      <c r="A530" s="2">
        <v>42825</v>
      </c>
      <c r="B530" s="61" t="s">
        <v>611</v>
      </c>
      <c r="C530" s="10">
        <v>16</v>
      </c>
      <c r="F530" s="8"/>
    </row>
    <row r="531" spans="1:6" ht="15.5" x14ac:dyDescent="0.35">
      <c r="A531" s="2">
        <v>42825</v>
      </c>
      <c r="B531" s="61" t="s">
        <v>612</v>
      </c>
      <c r="C531" s="10">
        <v>30</v>
      </c>
      <c r="D531">
        <v>1</v>
      </c>
    </row>
    <row r="532" spans="1:6" ht="15.5" x14ac:dyDescent="0.35">
      <c r="A532" s="2">
        <v>42825</v>
      </c>
      <c r="B532" s="61" t="s">
        <v>38</v>
      </c>
      <c r="C532">
        <v>6803</v>
      </c>
      <c r="D532">
        <v>7</v>
      </c>
    </row>
    <row r="533" spans="1:6" ht="15.5" x14ac:dyDescent="0.35">
      <c r="A533" s="2">
        <v>42825</v>
      </c>
      <c r="B533" s="61" t="s">
        <v>614</v>
      </c>
      <c r="C533">
        <v>8</v>
      </c>
    </row>
    <row r="534" spans="1:6" ht="15.5" x14ac:dyDescent="0.35">
      <c r="A534" s="2">
        <v>42825</v>
      </c>
      <c r="B534" s="61" t="s">
        <v>615</v>
      </c>
      <c r="C534">
        <v>3</v>
      </c>
      <c r="D534">
        <v>2</v>
      </c>
    </row>
    <row r="535" spans="1:6" ht="15.5" x14ac:dyDescent="0.35">
      <c r="A535" s="2">
        <v>42825</v>
      </c>
      <c r="B535" s="61" t="s">
        <v>616</v>
      </c>
      <c r="C535">
        <v>1</v>
      </c>
      <c r="F535" s="8"/>
    </row>
    <row r="536" spans="1:6" ht="15.5" x14ac:dyDescent="0.35">
      <c r="A536" s="2">
        <v>42825</v>
      </c>
      <c r="B536" s="61" t="s">
        <v>640</v>
      </c>
      <c r="C536">
        <v>0</v>
      </c>
    </row>
    <row r="537" spans="1:6" ht="15.5" x14ac:dyDescent="0.35">
      <c r="A537" s="2">
        <v>42825</v>
      </c>
      <c r="B537" s="61" t="s">
        <v>641</v>
      </c>
      <c r="C537">
        <v>1</v>
      </c>
    </row>
    <row r="538" spans="1:6" ht="15.5" x14ac:dyDescent="0.35">
      <c r="A538" s="2">
        <v>42825</v>
      </c>
      <c r="B538" s="61" t="s">
        <v>642</v>
      </c>
      <c r="C538">
        <v>1</v>
      </c>
    </row>
    <row r="539" spans="1:6" ht="15.5" x14ac:dyDescent="0.35">
      <c r="A539" s="2">
        <v>42825</v>
      </c>
      <c r="B539" s="61" t="s">
        <v>622</v>
      </c>
      <c r="C539">
        <v>1</v>
      </c>
    </row>
    <row r="540" spans="1:6" ht="15.5" x14ac:dyDescent="0.35">
      <c r="A540" s="2">
        <v>42825</v>
      </c>
      <c r="B540" s="61" t="s">
        <v>623</v>
      </c>
      <c r="C540">
        <v>2</v>
      </c>
    </row>
    <row r="541" spans="1:6" ht="15.5" x14ac:dyDescent="0.35">
      <c r="A541" s="2">
        <v>42825</v>
      </c>
      <c r="B541" s="61" t="s">
        <v>624</v>
      </c>
      <c r="C541">
        <v>1</v>
      </c>
    </row>
    <row r="542" spans="1:6" ht="15.5" x14ac:dyDescent="0.35">
      <c r="A542" s="2">
        <v>42825</v>
      </c>
      <c r="B542" s="61" t="s">
        <v>626</v>
      </c>
      <c r="C542">
        <v>0</v>
      </c>
    </row>
    <row r="543" spans="1:6" ht="15.5" x14ac:dyDescent="0.35">
      <c r="A543" s="2">
        <v>42825</v>
      </c>
      <c r="B543" s="61" t="s">
        <v>627</v>
      </c>
      <c r="C543">
        <v>0</v>
      </c>
    </row>
    <row r="544" spans="1:6" ht="15.5" x14ac:dyDescent="0.35">
      <c r="A544" s="2">
        <v>42825</v>
      </c>
      <c r="B544" s="61" t="s">
        <v>628</v>
      </c>
      <c r="C544">
        <v>0</v>
      </c>
    </row>
    <row r="545" spans="1:4" ht="15.5" x14ac:dyDescent="0.35">
      <c r="A545" s="2">
        <v>42825</v>
      </c>
      <c r="B545" s="61" t="s">
        <v>630</v>
      </c>
      <c r="C545">
        <v>3</v>
      </c>
    </row>
    <row r="546" spans="1:4" ht="15.5" x14ac:dyDescent="0.35">
      <c r="A546" s="2">
        <v>42825</v>
      </c>
      <c r="B546" s="61" t="s">
        <v>631</v>
      </c>
      <c r="C546">
        <v>2</v>
      </c>
      <c r="D546">
        <v>1</v>
      </c>
    </row>
    <row r="547" spans="1:4" ht="15.5" x14ac:dyDescent="0.35">
      <c r="A547" s="2">
        <v>42825</v>
      </c>
      <c r="B547" s="61" t="s">
        <v>632</v>
      </c>
      <c r="C547">
        <v>0</v>
      </c>
      <c r="D547">
        <v>1</v>
      </c>
    </row>
    <row r="548" spans="1:4" ht="15.5" x14ac:dyDescent="0.35">
      <c r="A548" s="2">
        <v>42825</v>
      </c>
      <c r="B548" s="61" t="s">
        <v>634</v>
      </c>
      <c r="C548">
        <v>0</v>
      </c>
    </row>
    <row r="549" spans="1:4" ht="15.5" x14ac:dyDescent="0.35">
      <c r="A549" s="2">
        <v>42825</v>
      </c>
      <c r="B549" s="61" t="s">
        <v>635</v>
      </c>
      <c r="C549">
        <v>0</v>
      </c>
    </row>
    <row r="550" spans="1:4" ht="15.5" x14ac:dyDescent="0.35">
      <c r="A550" s="2">
        <v>42825</v>
      </c>
      <c r="B550" s="61" t="s">
        <v>636</v>
      </c>
      <c r="C550">
        <v>0</v>
      </c>
    </row>
    <row r="551" spans="1:4" ht="15.5" x14ac:dyDescent="0.35">
      <c r="A551" s="2">
        <v>42825</v>
      </c>
      <c r="B551" s="61" t="s">
        <v>637</v>
      </c>
      <c r="C551" t="s">
        <v>300</v>
      </c>
    </row>
    <row r="552" spans="1:4" ht="15.5" x14ac:dyDescent="0.35">
      <c r="A552" s="2">
        <v>42825</v>
      </c>
      <c r="B552" s="61" t="s">
        <v>638</v>
      </c>
      <c r="C552" t="s">
        <v>300</v>
      </c>
    </row>
    <row r="553" spans="1:4" ht="15.5" x14ac:dyDescent="0.35">
      <c r="A553" s="2">
        <v>42825</v>
      </c>
      <c r="B553" s="61" t="s">
        <v>639</v>
      </c>
      <c r="C553" t="s">
        <v>300</v>
      </c>
    </row>
    <row r="554" spans="1:4" s="4" customFormat="1" ht="15.5" x14ac:dyDescent="0.35">
      <c r="A554" s="3">
        <v>42826</v>
      </c>
      <c r="B554" s="62" t="s">
        <v>20</v>
      </c>
      <c r="C554" s="4">
        <v>36</v>
      </c>
    </row>
    <row r="555" spans="1:4" ht="15.5" x14ac:dyDescent="0.35">
      <c r="A555" s="2">
        <v>42828</v>
      </c>
      <c r="B555" s="63" t="s">
        <v>29</v>
      </c>
      <c r="C555">
        <v>2141</v>
      </c>
      <c r="D555">
        <v>3</v>
      </c>
    </row>
    <row r="556" spans="1:4" s="4" customFormat="1" ht="15.5" x14ac:dyDescent="0.35">
      <c r="A556" s="3">
        <v>42828</v>
      </c>
      <c r="B556" s="64" t="s">
        <v>38</v>
      </c>
      <c r="C556" s="4">
        <v>1743</v>
      </c>
      <c r="D556" s="4">
        <v>5</v>
      </c>
    </row>
    <row r="557" spans="1:4" ht="15.5" x14ac:dyDescent="0.35">
      <c r="A557" s="2">
        <v>42832</v>
      </c>
      <c r="B557" s="61" t="s">
        <v>29</v>
      </c>
      <c r="C557" s="10">
        <v>2143</v>
      </c>
    </row>
    <row r="558" spans="1:4" ht="15.5" x14ac:dyDescent="0.35">
      <c r="A558" s="2">
        <v>42832</v>
      </c>
      <c r="B558" s="61" t="s">
        <v>610</v>
      </c>
      <c r="C558" s="10">
        <v>2</v>
      </c>
    </row>
    <row r="559" spans="1:4" ht="15.5" x14ac:dyDescent="0.35">
      <c r="A559" s="2">
        <v>42832</v>
      </c>
      <c r="B559" s="61" t="s">
        <v>611</v>
      </c>
      <c r="C559" s="10">
        <v>5</v>
      </c>
      <c r="D559">
        <v>1</v>
      </c>
    </row>
    <row r="560" spans="1:4" ht="15.5" x14ac:dyDescent="0.35">
      <c r="A560" s="2">
        <v>42832</v>
      </c>
      <c r="B560" s="61" t="s">
        <v>612</v>
      </c>
      <c r="C560" s="10">
        <v>10</v>
      </c>
    </row>
    <row r="561" spans="1:4" ht="15.5" x14ac:dyDescent="0.35">
      <c r="A561" s="2">
        <v>42832</v>
      </c>
      <c r="B561" s="61" t="s">
        <v>38</v>
      </c>
      <c r="C561">
        <v>1561</v>
      </c>
    </row>
    <row r="562" spans="1:4" ht="15.5" x14ac:dyDescent="0.35">
      <c r="A562" s="2">
        <v>42832</v>
      </c>
      <c r="B562" s="61" t="s">
        <v>614</v>
      </c>
      <c r="C562">
        <v>6</v>
      </c>
      <c r="D562">
        <v>4</v>
      </c>
    </row>
    <row r="563" spans="1:4" ht="15.5" x14ac:dyDescent="0.35">
      <c r="A563" s="2">
        <v>42832</v>
      </c>
      <c r="B563" s="61" t="s">
        <v>615</v>
      </c>
      <c r="C563">
        <v>3</v>
      </c>
      <c r="D563">
        <v>2</v>
      </c>
    </row>
    <row r="564" spans="1:4" ht="15.5" x14ac:dyDescent="0.35">
      <c r="A564" s="2">
        <v>42832</v>
      </c>
      <c r="B564" s="61" t="s">
        <v>616</v>
      </c>
      <c r="C564">
        <v>2</v>
      </c>
      <c r="D564">
        <v>1</v>
      </c>
    </row>
    <row r="565" spans="1:4" ht="15.5" x14ac:dyDescent="0.35">
      <c r="A565" s="2">
        <v>42832</v>
      </c>
      <c r="B565" s="61" t="s">
        <v>640</v>
      </c>
      <c r="C565">
        <v>3</v>
      </c>
    </row>
    <row r="566" spans="1:4" ht="15.5" x14ac:dyDescent="0.35">
      <c r="A566" s="2">
        <v>42832</v>
      </c>
      <c r="B566" s="61" t="s">
        <v>641</v>
      </c>
      <c r="C566">
        <v>0</v>
      </c>
    </row>
    <row r="567" spans="1:4" ht="15.5" x14ac:dyDescent="0.35">
      <c r="A567" s="2">
        <v>42832</v>
      </c>
      <c r="B567" s="61" t="s">
        <v>642</v>
      </c>
      <c r="C567">
        <v>0</v>
      </c>
    </row>
    <row r="568" spans="1:4" ht="15.5" x14ac:dyDescent="0.35">
      <c r="A568" s="2">
        <v>42832</v>
      </c>
      <c r="B568" s="61" t="s">
        <v>622</v>
      </c>
      <c r="C568">
        <v>0</v>
      </c>
    </row>
    <row r="569" spans="1:4" ht="15.5" x14ac:dyDescent="0.35">
      <c r="A569" s="2">
        <v>42832</v>
      </c>
      <c r="B569" s="61" t="s">
        <v>623</v>
      </c>
      <c r="C569">
        <v>0</v>
      </c>
    </row>
    <row r="570" spans="1:4" ht="15.5" x14ac:dyDescent="0.35">
      <c r="A570" s="2">
        <v>42832</v>
      </c>
      <c r="B570" s="61" t="s">
        <v>624</v>
      </c>
      <c r="C570">
        <v>0</v>
      </c>
    </row>
    <row r="571" spans="1:4" ht="15.5" x14ac:dyDescent="0.35">
      <c r="A571" s="2">
        <v>42832</v>
      </c>
      <c r="B571" s="61" t="s">
        <v>626</v>
      </c>
      <c r="C571">
        <v>0</v>
      </c>
    </row>
    <row r="572" spans="1:4" ht="15.5" x14ac:dyDescent="0.35">
      <c r="A572" s="2">
        <v>42832</v>
      </c>
      <c r="B572" s="61" t="s">
        <v>627</v>
      </c>
      <c r="C572">
        <v>0</v>
      </c>
    </row>
    <row r="573" spans="1:4" ht="15.5" x14ac:dyDescent="0.35">
      <c r="A573" s="2">
        <v>42832</v>
      </c>
      <c r="B573" s="61" t="s">
        <v>628</v>
      </c>
      <c r="C573">
        <v>0</v>
      </c>
    </row>
    <row r="574" spans="1:4" ht="15.5" x14ac:dyDescent="0.35">
      <c r="A574" s="2">
        <v>42832</v>
      </c>
      <c r="B574" s="61" t="s">
        <v>630</v>
      </c>
      <c r="C574">
        <v>0</v>
      </c>
    </row>
    <row r="575" spans="1:4" ht="15.5" x14ac:dyDescent="0.35">
      <c r="A575" s="2">
        <v>42832</v>
      </c>
      <c r="B575" s="61" t="s">
        <v>631</v>
      </c>
      <c r="C575">
        <v>1</v>
      </c>
    </row>
    <row r="576" spans="1:4" ht="15.5" x14ac:dyDescent="0.35">
      <c r="A576" s="2">
        <v>42832</v>
      </c>
      <c r="B576" s="61" t="s">
        <v>632</v>
      </c>
      <c r="C576">
        <v>1</v>
      </c>
    </row>
    <row r="577" spans="1:8" ht="15.5" x14ac:dyDescent="0.35">
      <c r="A577" s="2">
        <v>42832</v>
      </c>
      <c r="B577" s="61" t="s">
        <v>634</v>
      </c>
      <c r="C577">
        <v>1</v>
      </c>
    </row>
    <row r="578" spans="1:8" ht="15.5" x14ac:dyDescent="0.35">
      <c r="A578" s="2">
        <v>42832</v>
      </c>
      <c r="B578" s="61" t="s">
        <v>635</v>
      </c>
      <c r="C578">
        <v>0</v>
      </c>
    </row>
    <row r="579" spans="1:8" ht="15.5" x14ac:dyDescent="0.35">
      <c r="A579" s="2">
        <v>42832</v>
      </c>
      <c r="B579" s="61" t="s">
        <v>636</v>
      </c>
      <c r="C579">
        <v>1</v>
      </c>
      <c r="D579">
        <v>2</v>
      </c>
    </row>
    <row r="580" spans="1:8" ht="15.5" x14ac:dyDescent="0.35">
      <c r="A580" s="2">
        <v>42832</v>
      </c>
      <c r="B580" s="61" t="s">
        <v>637</v>
      </c>
      <c r="C580">
        <v>1</v>
      </c>
      <c r="D580">
        <v>1</v>
      </c>
    </row>
    <row r="581" spans="1:8" ht="15.5" x14ac:dyDescent="0.35">
      <c r="A581" s="2">
        <v>42832</v>
      </c>
      <c r="B581" s="61" t="s">
        <v>638</v>
      </c>
      <c r="C581">
        <v>2</v>
      </c>
    </row>
    <row r="582" spans="1:8" ht="15.5" x14ac:dyDescent="0.35">
      <c r="A582" s="2">
        <v>42832</v>
      </c>
      <c r="B582" s="61" t="s">
        <v>639</v>
      </c>
      <c r="C582">
        <v>1</v>
      </c>
    </row>
    <row r="583" spans="1:8" s="4" customFormat="1" ht="15.5" x14ac:dyDescent="0.35">
      <c r="A583" s="3">
        <v>42832</v>
      </c>
      <c r="B583" s="62" t="s">
        <v>20</v>
      </c>
      <c r="C583" s="4">
        <v>20</v>
      </c>
    </row>
    <row r="584" spans="1:8" ht="15.5" x14ac:dyDescent="0.35">
      <c r="A584" s="2">
        <v>42839</v>
      </c>
      <c r="B584" s="61" t="s">
        <v>29</v>
      </c>
      <c r="C584" s="10">
        <v>1501</v>
      </c>
    </row>
    <row r="585" spans="1:8" ht="15.5" x14ac:dyDescent="0.35">
      <c r="A585" s="2">
        <v>42839</v>
      </c>
      <c r="B585" s="61" t="s">
        <v>610</v>
      </c>
      <c r="C585" s="10">
        <v>13</v>
      </c>
      <c r="D585">
        <v>3</v>
      </c>
    </row>
    <row r="586" spans="1:8" ht="15.5" x14ac:dyDescent="0.35">
      <c r="A586" s="2">
        <v>42839</v>
      </c>
      <c r="B586" s="61" t="s">
        <v>611</v>
      </c>
      <c r="C586" s="10">
        <v>5</v>
      </c>
      <c r="D586">
        <v>5</v>
      </c>
    </row>
    <row r="587" spans="1:8" ht="15.5" x14ac:dyDescent="0.35">
      <c r="A587" s="2">
        <v>42839</v>
      </c>
      <c r="B587" s="61" t="s">
        <v>612</v>
      </c>
      <c r="C587" s="10">
        <v>1</v>
      </c>
      <c r="D587">
        <v>1</v>
      </c>
    </row>
    <row r="588" spans="1:8" ht="15.5" x14ac:dyDescent="0.35">
      <c r="A588" s="2">
        <v>42839</v>
      </c>
      <c r="B588" s="61" t="s">
        <v>38</v>
      </c>
      <c r="C588">
        <v>3221</v>
      </c>
    </row>
    <row r="589" spans="1:8" ht="15.5" x14ac:dyDescent="0.35">
      <c r="A589" s="2">
        <v>42839</v>
      </c>
      <c r="B589" s="61" t="s">
        <v>614</v>
      </c>
      <c r="C589">
        <v>4</v>
      </c>
      <c r="D589">
        <v>4</v>
      </c>
    </row>
    <row r="590" spans="1:8" ht="15.5" x14ac:dyDescent="0.35">
      <c r="A590" s="2">
        <v>42839</v>
      </c>
      <c r="B590" s="61" t="s">
        <v>615</v>
      </c>
      <c r="C590">
        <v>9</v>
      </c>
      <c r="D590">
        <v>6</v>
      </c>
      <c r="H590">
        <v>1</v>
      </c>
    </row>
    <row r="591" spans="1:8" ht="15.5" x14ac:dyDescent="0.35">
      <c r="A591" s="2">
        <v>42839</v>
      </c>
      <c r="B591" s="61" t="s">
        <v>616</v>
      </c>
      <c r="C591">
        <v>10</v>
      </c>
      <c r="D591">
        <v>7</v>
      </c>
    </row>
    <row r="592" spans="1:8" ht="15.5" x14ac:dyDescent="0.35">
      <c r="A592" s="2">
        <v>42839</v>
      </c>
      <c r="B592" s="61" t="s">
        <v>640</v>
      </c>
      <c r="C592">
        <v>3</v>
      </c>
    </row>
    <row r="593" spans="1:4" ht="15.5" x14ac:dyDescent="0.35">
      <c r="A593" s="2">
        <v>42839</v>
      </c>
      <c r="B593" s="61" t="s">
        <v>641</v>
      </c>
      <c r="C593">
        <v>7</v>
      </c>
    </row>
    <row r="594" spans="1:4" ht="15.5" x14ac:dyDescent="0.35">
      <c r="A594" s="2">
        <v>42839</v>
      </c>
      <c r="B594" s="61" t="s">
        <v>642</v>
      </c>
      <c r="C594">
        <v>2</v>
      </c>
    </row>
    <row r="595" spans="1:4" ht="15.5" x14ac:dyDescent="0.35">
      <c r="A595" s="2">
        <v>42839</v>
      </c>
      <c r="B595" s="61" t="s">
        <v>622</v>
      </c>
      <c r="C595">
        <v>0</v>
      </c>
    </row>
    <row r="596" spans="1:4" ht="15.5" x14ac:dyDescent="0.35">
      <c r="A596" s="2">
        <v>42839</v>
      </c>
      <c r="B596" s="61" t="s">
        <v>623</v>
      </c>
      <c r="C596">
        <v>1</v>
      </c>
    </row>
    <row r="597" spans="1:4" ht="15.5" x14ac:dyDescent="0.35">
      <c r="A597" s="2">
        <v>42839</v>
      </c>
      <c r="B597" s="61" t="s">
        <v>624</v>
      </c>
      <c r="C597">
        <v>1</v>
      </c>
    </row>
    <row r="598" spans="1:4" ht="15.5" x14ac:dyDescent="0.35">
      <c r="A598" s="2">
        <v>42839</v>
      </c>
      <c r="B598" s="61" t="s">
        <v>626</v>
      </c>
      <c r="C598">
        <v>2</v>
      </c>
    </row>
    <row r="599" spans="1:4" ht="15.5" x14ac:dyDescent="0.35">
      <c r="A599" s="2">
        <v>42839</v>
      </c>
      <c r="B599" s="61" t="s">
        <v>627</v>
      </c>
      <c r="C599">
        <v>2</v>
      </c>
    </row>
    <row r="600" spans="1:4" ht="15.5" x14ac:dyDescent="0.35">
      <c r="A600" s="2">
        <v>42839</v>
      </c>
      <c r="B600" s="61" t="s">
        <v>628</v>
      </c>
      <c r="C600">
        <v>4</v>
      </c>
    </row>
    <row r="601" spans="1:4" ht="15.5" x14ac:dyDescent="0.35">
      <c r="A601" s="2">
        <v>42839</v>
      </c>
      <c r="B601" s="61" t="s">
        <v>630</v>
      </c>
      <c r="C601">
        <v>3</v>
      </c>
      <c r="D601">
        <v>1</v>
      </c>
    </row>
    <row r="602" spans="1:4" ht="15.5" x14ac:dyDescent="0.35">
      <c r="A602" s="2">
        <v>42839</v>
      </c>
      <c r="B602" s="61" t="s">
        <v>631</v>
      </c>
      <c r="C602">
        <v>1</v>
      </c>
    </row>
    <row r="603" spans="1:4" ht="15.5" x14ac:dyDescent="0.35">
      <c r="A603" s="2">
        <v>42839</v>
      </c>
      <c r="B603" s="61" t="s">
        <v>632</v>
      </c>
      <c r="C603">
        <v>1</v>
      </c>
    </row>
    <row r="604" spans="1:4" ht="15.5" x14ac:dyDescent="0.35">
      <c r="A604" s="2">
        <v>42839</v>
      </c>
      <c r="B604" s="61" t="s">
        <v>634</v>
      </c>
      <c r="C604">
        <v>3</v>
      </c>
    </row>
    <row r="605" spans="1:4" ht="15.5" x14ac:dyDescent="0.35">
      <c r="A605" s="2">
        <v>42839</v>
      </c>
      <c r="B605" s="61" t="s">
        <v>635</v>
      </c>
      <c r="C605">
        <v>2</v>
      </c>
    </row>
    <row r="606" spans="1:4" ht="15.5" x14ac:dyDescent="0.35">
      <c r="A606" s="2">
        <v>42839</v>
      </c>
      <c r="B606" s="61" t="s">
        <v>636</v>
      </c>
      <c r="C606">
        <v>3</v>
      </c>
    </row>
    <row r="607" spans="1:4" ht="15.5" x14ac:dyDescent="0.35">
      <c r="A607" s="2">
        <v>42839</v>
      </c>
      <c r="B607" s="61" t="s">
        <v>637</v>
      </c>
      <c r="C607">
        <v>2</v>
      </c>
    </row>
    <row r="608" spans="1:4" ht="15.5" x14ac:dyDescent="0.35">
      <c r="A608" s="2">
        <v>42839</v>
      </c>
      <c r="B608" s="61" t="s">
        <v>638</v>
      </c>
      <c r="C608">
        <v>4</v>
      </c>
    </row>
    <row r="609" spans="1:16" ht="15.5" x14ac:dyDescent="0.35">
      <c r="A609" s="2">
        <v>42839</v>
      </c>
      <c r="B609" s="61" t="s">
        <v>639</v>
      </c>
      <c r="C609">
        <v>3</v>
      </c>
    </row>
    <row r="610" spans="1:16" s="4" customFormat="1" ht="15.5" x14ac:dyDescent="0.35">
      <c r="A610" s="3">
        <v>42840</v>
      </c>
      <c r="B610" s="62" t="s">
        <v>20</v>
      </c>
      <c r="C610" s="4">
        <v>8</v>
      </c>
    </row>
    <row r="611" spans="1:16" ht="15.5" x14ac:dyDescent="0.35">
      <c r="A611" s="2">
        <v>42846</v>
      </c>
      <c r="B611" s="61" t="s">
        <v>29</v>
      </c>
      <c r="C611" s="10">
        <v>808</v>
      </c>
      <c r="D611">
        <v>6</v>
      </c>
      <c r="K611">
        <v>3</v>
      </c>
      <c r="P611">
        <v>2</v>
      </c>
    </row>
    <row r="612" spans="1:16" ht="15.5" x14ac:dyDescent="0.35">
      <c r="A612" s="2">
        <v>42846</v>
      </c>
      <c r="B612" s="61" t="s">
        <v>610</v>
      </c>
      <c r="C612" s="10">
        <v>7</v>
      </c>
      <c r="D612">
        <v>1</v>
      </c>
    </row>
    <row r="613" spans="1:16" ht="15.5" x14ac:dyDescent="0.35">
      <c r="A613" s="2">
        <v>42846</v>
      </c>
      <c r="B613" s="61" t="s">
        <v>611</v>
      </c>
      <c r="C613" s="10">
        <v>3</v>
      </c>
      <c r="D613">
        <v>2</v>
      </c>
    </row>
    <row r="614" spans="1:16" ht="15.5" x14ac:dyDescent="0.35">
      <c r="A614" s="2">
        <v>42846</v>
      </c>
      <c r="B614" s="61" t="s">
        <v>612</v>
      </c>
      <c r="C614" s="10">
        <v>2</v>
      </c>
      <c r="D614">
        <v>0</v>
      </c>
    </row>
    <row r="615" spans="1:16" ht="15.5" x14ac:dyDescent="0.35">
      <c r="A615" s="2">
        <v>42846</v>
      </c>
      <c r="B615" s="61" t="s">
        <v>38</v>
      </c>
      <c r="C615">
        <v>1343</v>
      </c>
      <c r="D615">
        <v>5</v>
      </c>
      <c r="P615">
        <v>1</v>
      </c>
    </row>
    <row r="616" spans="1:16" ht="15.5" x14ac:dyDescent="0.35">
      <c r="A616" s="2">
        <v>42846</v>
      </c>
      <c r="B616" s="61" t="s">
        <v>614</v>
      </c>
      <c r="C616">
        <v>5</v>
      </c>
      <c r="D616">
        <v>2</v>
      </c>
    </row>
    <row r="617" spans="1:16" ht="15.5" x14ac:dyDescent="0.35">
      <c r="A617" s="2">
        <v>42846</v>
      </c>
      <c r="B617" s="61" t="s">
        <v>615</v>
      </c>
      <c r="C617">
        <v>4</v>
      </c>
      <c r="D617">
        <v>5</v>
      </c>
    </row>
    <row r="618" spans="1:16" ht="15.5" x14ac:dyDescent="0.35">
      <c r="A618" s="2">
        <v>42846</v>
      </c>
      <c r="B618" s="61" t="s">
        <v>616</v>
      </c>
      <c r="C618">
        <v>5</v>
      </c>
      <c r="D618">
        <v>3</v>
      </c>
    </row>
    <row r="619" spans="1:16" ht="15.5" x14ac:dyDescent="0.35">
      <c r="A619" s="2">
        <v>42846</v>
      </c>
      <c r="B619" s="61" t="s">
        <v>640</v>
      </c>
      <c r="C619">
        <v>3</v>
      </c>
      <c r="D619">
        <v>1</v>
      </c>
    </row>
    <row r="620" spans="1:16" ht="15.5" x14ac:dyDescent="0.35">
      <c r="A620" s="2">
        <v>42846</v>
      </c>
      <c r="B620" s="61" t="s">
        <v>641</v>
      </c>
      <c r="C620">
        <v>4</v>
      </c>
      <c r="D620">
        <v>0</v>
      </c>
    </row>
    <row r="621" spans="1:16" ht="15.5" x14ac:dyDescent="0.35">
      <c r="A621" s="2">
        <v>42846</v>
      </c>
      <c r="B621" s="61" t="s">
        <v>642</v>
      </c>
      <c r="C621">
        <v>6</v>
      </c>
      <c r="D621">
        <v>0</v>
      </c>
    </row>
    <row r="622" spans="1:16" ht="15.5" x14ac:dyDescent="0.35">
      <c r="A622" s="2">
        <v>42846</v>
      </c>
      <c r="B622" s="61" t="s">
        <v>622</v>
      </c>
      <c r="C622">
        <v>3</v>
      </c>
      <c r="D622">
        <v>0</v>
      </c>
    </row>
    <row r="623" spans="1:16" ht="15.5" x14ac:dyDescent="0.35">
      <c r="A623" s="2">
        <v>42846</v>
      </c>
      <c r="B623" s="61" t="s">
        <v>623</v>
      </c>
      <c r="C623">
        <v>7</v>
      </c>
      <c r="D623">
        <v>0</v>
      </c>
    </row>
    <row r="624" spans="1:16" ht="15.5" x14ac:dyDescent="0.35">
      <c r="A624" s="2">
        <v>42846</v>
      </c>
      <c r="B624" s="61" t="s">
        <v>624</v>
      </c>
      <c r="C624">
        <v>5</v>
      </c>
      <c r="D624">
        <v>1</v>
      </c>
    </row>
    <row r="625" spans="1:4" ht="15.5" x14ac:dyDescent="0.35">
      <c r="A625" s="2">
        <v>42846</v>
      </c>
      <c r="B625" s="61" t="s">
        <v>626</v>
      </c>
      <c r="C625">
        <v>0</v>
      </c>
      <c r="D625">
        <v>0</v>
      </c>
    </row>
    <row r="626" spans="1:4" ht="15.5" x14ac:dyDescent="0.35">
      <c r="A626" s="2">
        <v>42846</v>
      </c>
      <c r="B626" s="61" t="s">
        <v>627</v>
      </c>
      <c r="C626">
        <v>1</v>
      </c>
      <c r="D626">
        <v>0</v>
      </c>
    </row>
    <row r="627" spans="1:4" ht="15.5" x14ac:dyDescent="0.35">
      <c r="A627" s="2">
        <v>42846</v>
      </c>
      <c r="B627" s="61" t="s">
        <v>628</v>
      </c>
      <c r="C627">
        <v>0</v>
      </c>
      <c r="D627">
        <v>0</v>
      </c>
    </row>
    <row r="628" spans="1:4" ht="15.5" x14ac:dyDescent="0.35">
      <c r="A628" s="2">
        <v>42846</v>
      </c>
      <c r="B628" s="61" t="s">
        <v>630</v>
      </c>
      <c r="C628">
        <v>3</v>
      </c>
      <c r="D628">
        <v>0</v>
      </c>
    </row>
    <row r="629" spans="1:4" ht="15.5" x14ac:dyDescent="0.35">
      <c r="A629" s="2">
        <v>42846</v>
      </c>
      <c r="B629" s="61" t="s">
        <v>631</v>
      </c>
      <c r="C629">
        <v>2</v>
      </c>
      <c r="D629">
        <v>0</v>
      </c>
    </row>
    <row r="630" spans="1:4" ht="15.5" x14ac:dyDescent="0.35">
      <c r="A630" s="2">
        <v>42846</v>
      </c>
      <c r="B630" s="61" t="s">
        <v>632</v>
      </c>
      <c r="C630">
        <v>1</v>
      </c>
      <c r="D630">
        <v>0</v>
      </c>
    </row>
    <row r="631" spans="1:4" ht="15.5" x14ac:dyDescent="0.35">
      <c r="A631" s="2">
        <v>42846</v>
      </c>
      <c r="B631" s="61" t="s">
        <v>634</v>
      </c>
      <c r="C631">
        <v>3</v>
      </c>
      <c r="D631">
        <v>1</v>
      </c>
    </row>
    <row r="632" spans="1:4" ht="15.5" x14ac:dyDescent="0.35">
      <c r="A632" s="2">
        <v>42846</v>
      </c>
      <c r="B632" s="61" t="s">
        <v>635</v>
      </c>
      <c r="C632">
        <v>2</v>
      </c>
      <c r="D632">
        <v>0</v>
      </c>
    </row>
    <row r="633" spans="1:4" ht="15.5" x14ac:dyDescent="0.35">
      <c r="A633" s="2">
        <v>42846</v>
      </c>
      <c r="B633" s="61" t="s">
        <v>636</v>
      </c>
      <c r="C633">
        <v>4</v>
      </c>
      <c r="D633">
        <v>1</v>
      </c>
    </row>
    <row r="634" spans="1:4" ht="15.5" x14ac:dyDescent="0.35">
      <c r="A634" s="2">
        <v>42846</v>
      </c>
      <c r="B634" s="61" t="s">
        <v>637</v>
      </c>
      <c r="C634">
        <v>3</v>
      </c>
      <c r="D634">
        <v>0</v>
      </c>
    </row>
    <row r="635" spans="1:4" ht="15.5" x14ac:dyDescent="0.35">
      <c r="A635" s="2">
        <v>42846</v>
      </c>
      <c r="B635" s="61" t="s">
        <v>638</v>
      </c>
      <c r="C635">
        <v>2</v>
      </c>
      <c r="D635">
        <v>0</v>
      </c>
    </row>
    <row r="636" spans="1:4" ht="15.5" x14ac:dyDescent="0.35">
      <c r="A636" s="2">
        <v>42846</v>
      </c>
      <c r="B636" s="61" t="s">
        <v>639</v>
      </c>
      <c r="C636">
        <v>2</v>
      </c>
      <c r="D636">
        <v>1</v>
      </c>
    </row>
    <row r="637" spans="1:4" s="4" customFormat="1" ht="15.5" x14ac:dyDescent="0.35">
      <c r="A637" s="3">
        <v>42847</v>
      </c>
      <c r="B637" s="62" t="s">
        <v>20</v>
      </c>
      <c r="C637" s="4">
        <v>4</v>
      </c>
    </row>
    <row r="638" spans="1:4" ht="15.5" x14ac:dyDescent="0.35">
      <c r="A638" s="2">
        <v>42853</v>
      </c>
      <c r="B638" s="61" t="s">
        <v>29</v>
      </c>
      <c r="C638" s="10">
        <v>1472</v>
      </c>
    </row>
    <row r="639" spans="1:4" ht="15.5" x14ac:dyDescent="0.35">
      <c r="A639" s="2">
        <v>42853</v>
      </c>
      <c r="B639" s="61" t="s">
        <v>610</v>
      </c>
      <c r="C639">
        <v>4</v>
      </c>
      <c r="D639">
        <v>1</v>
      </c>
    </row>
    <row r="640" spans="1:4" ht="15.5" x14ac:dyDescent="0.35">
      <c r="A640" s="2">
        <v>42853</v>
      </c>
      <c r="B640" s="61" t="s">
        <v>611</v>
      </c>
      <c r="C640">
        <v>4</v>
      </c>
      <c r="D640">
        <v>1</v>
      </c>
    </row>
    <row r="641" spans="1:4" ht="15.5" x14ac:dyDescent="0.35">
      <c r="A641" s="2">
        <v>42853</v>
      </c>
      <c r="B641" s="61" t="s">
        <v>612</v>
      </c>
      <c r="C641">
        <v>5</v>
      </c>
    </row>
    <row r="642" spans="1:4" ht="15.5" x14ac:dyDescent="0.35">
      <c r="A642" s="2">
        <v>42853</v>
      </c>
      <c r="B642" s="61" t="s">
        <v>38</v>
      </c>
      <c r="C642">
        <v>618</v>
      </c>
      <c r="D642">
        <v>9</v>
      </c>
    </row>
    <row r="643" spans="1:4" ht="15.5" x14ac:dyDescent="0.35">
      <c r="A643" s="2">
        <v>42853</v>
      </c>
      <c r="B643" s="61" t="s">
        <v>614</v>
      </c>
      <c r="C643">
        <v>4</v>
      </c>
      <c r="D643">
        <v>1</v>
      </c>
    </row>
    <row r="644" spans="1:4" ht="15.5" x14ac:dyDescent="0.35">
      <c r="A644" s="2">
        <v>42853</v>
      </c>
      <c r="B644" s="61" t="s">
        <v>615</v>
      </c>
      <c r="C644">
        <v>0</v>
      </c>
      <c r="D644">
        <v>0</v>
      </c>
    </row>
    <row r="645" spans="1:4" ht="15.5" x14ac:dyDescent="0.35">
      <c r="A645" s="2">
        <v>42853</v>
      </c>
      <c r="B645" s="61" t="s">
        <v>616</v>
      </c>
      <c r="C645">
        <v>2</v>
      </c>
      <c r="D645">
        <v>0</v>
      </c>
    </row>
    <row r="646" spans="1:4" ht="15.5" x14ac:dyDescent="0.35">
      <c r="A646" s="2">
        <v>42853</v>
      </c>
      <c r="B646" s="61" t="s">
        <v>640</v>
      </c>
      <c r="C646">
        <v>5</v>
      </c>
    </row>
    <row r="647" spans="1:4" ht="15.5" x14ac:dyDescent="0.35">
      <c r="A647" s="2">
        <v>42853</v>
      </c>
      <c r="B647" s="61" t="s">
        <v>641</v>
      </c>
      <c r="C647">
        <v>3</v>
      </c>
    </row>
    <row r="648" spans="1:4" ht="15.5" x14ac:dyDescent="0.35">
      <c r="A648" s="2">
        <v>42853</v>
      </c>
      <c r="B648" s="61" t="s">
        <v>642</v>
      </c>
      <c r="C648">
        <v>3</v>
      </c>
    </row>
    <row r="649" spans="1:4" ht="15.5" x14ac:dyDescent="0.35">
      <c r="A649" s="2">
        <v>42853</v>
      </c>
      <c r="B649" s="61" t="s">
        <v>622</v>
      </c>
      <c r="C649">
        <v>2</v>
      </c>
    </row>
    <row r="650" spans="1:4" ht="15.5" x14ac:dyDescent="0.35">
      <c r="A650" s="2">
        <v>42853</v>
      </c>
      <c r="B650" s="61" t="s">
        <v>623</v>
      </c>
      <c r="C650">
        <v>5</v>
      </c>
      <c r="D650">
        <v>1</v>
      </c>
    </row>
    <row r="651" spans="1:4" ht="15.5" x14ac:dyDescent="0.35">
      <c r="A651" s="2">
        <v>42853</v>
      </c>
      <c r="B651" s="61" t="s">
        <v>624</v>
      </c>
      <c r="C651">
        <v>1</v>
      </c>
    </row>
    <row r="652" spans="1:4" ht="15.5" x14ac:dyDescent="0.35">
      <c r="A652" s="2">
        <v>42853</v>
      </c>
      <c r="B652" s="61" t="s">
        <v>626</v>
      </c>
      <c r="C652">
        <v>0</v>
      </c>
    </row>
    <row r="653" spans="1:4" ht="15.5" x14ac:dyDescent="0.35">
      <c r="A653" s="2">
        <v>42853</v>
      </c>
      <c r="B653" s="61" t="s">
        <v>627</v>
      </c>
      <c r="C653">
        <v>4</v>
      </c>
    </row>
    <row r="654" spans="1:4" ht="15.5" x14ac:dyDescent="0.35">
      <c r="A654" s="2">
        <v>42853</v>
      </c>
      <c r="B654" s="61" t="s">
        <v>628</v>
      </c>
      <c r="C654">
        <v>4</v>
      </c>
    </row>
    <row r="655" spans="1:4" ht="15.5" x14ac:dyDescent="0.35">
      <c r="A655" s="2">
        <v>42853</v>
      </c>
      <c r="B655" s="61" t="s">
        <v>630</v>
      </c>
      <c r="C655">
        <v>1</v>
      </c>
    </row>
    <row r="656" spans="1:4" ht="15.5" x14ac:dyDescent="0.35">
      <c r="A656" s="2">
        <v>42853</v>
      </c>
      <c r="B656" s="61" t="s">
        <v>631</v>
      </c>
      <c r="C656">
        <v>0</v>
      </c>
    </row>
    <row r="657" spans="1:19" ht="15.5" x14ac:dyDescent="0.35">
      <c r="A657" s="2">
        <v>42853</v>
      </c>
      <c r="B657" s="61" t="s">
        <v>632</v>
      </c>
      <c r="C657">
        <v>1</v>
      </c>
    </row>
    <row r="658" spans="1:19" ht="15.5" x14ac:dyDescent="0.35">
      <c r="A658" s="2">
        <v>42853</v>
      </c>
      <c r="B658" s="61" t="s">
        <v>634</v>
      </c>
      <c r="C658">
        <v>0</v>
      </c>
    </row>
    <row r="659" spans="1:19" ht="15.5" x14ac:dyDescent="0.35">
      <c r="A659" s="2">
        <v>42853</v>
      </c>
      <c r="B659" s="61" t="s">
        <v>635</v>
      </c>
      <c r="C659">
        <v>2</v>
      </c>
    </row>
    <row r="660" spans="1:19" ht="15.5" x14ac:dyDescent="0.35">
      <c r="A660" s="2">
        <v>42853</v>
      </c>
      <c r="B660" s="61" t="s">
        <v>636</v>
      </c>
      <c r="C660">
        <v>2</v>
      </c>
      <c r="D660">
        <v>1</v>
      </c>
    </row>
    <row r="661" spans="1:19" ht="15.5" x14ac:dyDescent="0.35">
      <c r="A661" s="2">
        <v>42853</v>
      </c>
      <c r="B661" s="61" t="s">
        <v>637</v>
      </c>
      <c r="C661">
        <v>1</v>
      </c>
    </row>
    <row r="662" spans="1:19" ht="15.5" x14ac:dyDescent="0.35">
      <c r="A662" s="2">
        <v>42853</v>
      </c>
      <c r="B662" s="61" t="s">
        <v>638</v>
      </c>
      <c r="C662">
        <v>0</v>
      </c>
    </row>
    <row r="663" spans="1:19" s="4" customFormat="1" ht="15.5" x14ac:dyDescent="0.35">
      <c r="A663" s="3">
        <v>42853</v>
      </c>
      <c r="B663" s="62" t="s">
        <v>639</v>
      </c>
      <c r="C663" s="4">
        <v>1</v>
      </c>
    </row>
    <row r="664" spans="1:19" ht="15.5" x14ac:dyDescent="0.35">
      <c r="A664" s="2">
        <v>42860</v>
      </c>
      <c r="B664" s="61" t="s">
        <v>29</v>
      </c>
      <c r="C664" s="10">
        <v>64</v>
      </c>
      <c r="D664">
        <v>7</v>
      </c>
    </row>
    <row r="665" spans="1:19" ht="15.5" x14ac:dyDescent="0.35">
      <c r="A665" s="2">
        <v>42860</v>
      </c>
      <c r="B665" s="61" t="s">
        <v>610</v>
      </c>
      <c r="C665" s="10">
        <v>3</v>
      </c>
      <c r="D665">
        <v>1</v>
      </c>
      <c r="S665">
        <v>2</v>
      </c>
    </row>
    <row r="666" spans="1:19" ht="15.5" x14ac:dyDescent="0.35">
      <c r="A666" s="2">
        <v>42860</v>
      </c>
      <c r="B666" s="61" t="s">
        <v>611</v>
      </c>
      <c r="C666" s="10">
        <v>4</v>
      </c>
      <c r="D666">
        <v>1</v>
      </c>
      <c r="S666">
        <v>6</v>
      </c>
    </row>
    <row r="667" spans="1:19" ht="15.5" x14ac:dyDescent="0.35">
      <c r="A667" s="2">
        <v>42860</v>
      </c>
      <c r="B667" s="61" t="s">
        <v>612</v>
      </c>
      <c r="C667" s="10">
        <v>12</v>
      </c>
      <c r="P667">
        <v>1</v>
      </c>
      <c r="S667">
        <v>8</v>
      </c>
    </row>
    <row r="668" spans="1:19" ht="15.5" x14ac:dyDescent="0.35">
      <c r="A668" s="2">
        <v>42860</v>
      </c>
      <c r="B668" s="61" t="s">
        <v>38</v>
      </c>
      <c r="C668">
        <v>406</v>
      </c>
      <c r="D668">
        <v>8</v>
      </c>
      <c r="P668">
        <v>3</v>
      </c>
    </row>
    <row r="669" spans="1:19" ht="15.5" x14ac:dyDescent="0.35">
      <c r="A669" s="2">
        <v>42860</v>
      </c>
      <c r="B669" s="61" t="s">
        <v>614</v>
      </c>
      <c r="C669">
        <v>2</v>
      </c>
      <c r="D669">
        <v>1</v>
      </c>
      <c r="S669">
        <v>5</v>
      </c>
    </row>
    <row r="670" spans="1:19" ht="15.5" x14ac:dyDescent="0.35">
      <c r="A670" s="2">
        <v>42860</v>
      </c>
      <c r="B670" s="61" t="s">
        <v>615</v>
      </c>
      <c r="C670">
        <v>2</v>
      </c>
      <c r="D670">
        <v>0</v>
      </c>
      <c r="P670">
        <v>1</v>
      </c>
    </row>
    <row r="671" spans="1:19" ht="15.5" x14ac:dyDescent="0.35">
      <c r="A671" s="2">
        <v>42860</v>
      </c>
      <c r="B671" s="61" t="s">
        <v>616</v>
      </c>
      <c r="C671">
        <v>6</v>
      </c>
      <c r="D671">
        <v>2</v>
      </c>
    </row>
    <row r="672" spans="1:19" ht="15.5" x14ac:dyDescent="0.35">
      <c r="A672" s="2">
        <v>42860</v>
      </c>
      <c r="B672" s="61" t="s">
        <v>640</v>
      </c>
      <c r="C672">
        <v>9</v>
      </c>
    </row>
    <row r="673" spans="1:19" ht="15.5" x14ac:dyDescent="0.35">
      <c r="A673" s="2">
        <v>42860</v>
      </c>
      <c r="B673" s="61" t="s">
        <v>641</v>
      </c>
      <c r="C673">
        <v>5</v>
      </c>
      <c r="D673">
        <v>2</v>
      </c>
    </row>
    <row r="674" spans="1:19" ht="15.5" x14ac:dyDescent="0.35">
      <c r="A674" s="2">
        <v>42860</v>
      </c>
      <c r="B674" s="61" t="s">
        <v>642</v>
      </c>
      <c r="C674">
        <v>3</v>
      </c>
      <c r="D674">
        <v>1</v>
      </c>
    </row>
    <row r="675" spans="1:19" ht="15.5" x14ac:dyDescent="0.35">
      <c r="A675" s="2">
        <v>42860</v>
      </c>
      <c r="B675" s="61" t="s">
        <v>622</v>
      </c>
      <c r="C675">
        <v>6</v>
      </c>
    </row>
    <row r="676" spans="1:19" ht="15.5" x14ac:dyDescent="0.35">
      <c r="A676" s="2">
        <v>42860</v>
      </c>
      <c r="B676" s="61" t="s">
        <v>623</v>
      </c>
      <c r="C676">
        <v>2</v>
      </c>
      <c r="D676">
        <v>2</v>
      </c>
    </row>
    <row r="677" spans="1:19" ht="15.5" x14ac:dyDescent="0.35">
      <c r="A677" s="2">
        <v>42860</v>
      </c>
      <c r="B677" s="61" t="s">
        <v>624</v>
      </c>
      <c r="C677">
        <v>2</v>
      </c>
      <c r="D677">
        <v>1</v>
      </c>
    </row>
    <row r="678" spans="1:19" ht="15.5" x14ac:dyDescent="0.35">
      <c r="A678" s="2">
        <v>42860</v>
      </c>
      <c r="B678" s="61" t="s">
        <v>626</v>
      </c>
      <c r="C678">
        <v>0</v>
      </c>
    </row>
    <row r="679" spans="1:19" ht="15.5" x14ac:dyDescent="0.35">
      <c r="A679" s="2">
        <v>42860</v>
      </c>
      <c r="B679" s="61" t="s">
        <v>627</v>
      </c>
      <c r="C679">
        <v>3</v>
      </c>
      <c r="D679">
        <v>2</v>
      </c>
    </row>
    <row r="680" spans="1:19" ht="15.5" x14ac:dyDescent="0.35">
      <c r="A680" s="2">
        <v>42860</v>
      </c>
      <c r="B680" s="61" t="s">
        <v>628</v>
      </c>
      <c r="C680">
        <v>0</v>
      </c>
    </row>
    <row r="681" spans="1:19" ht="15.5" x14ac:dyDescent="0.35">
      <c r="A681" s="2">
        <v>42860</v>
      </c>
      <c r="B681" s="61" t="s">
        <v>630</v>
      </c>
      <c r="C681">
        <v>3</v>
      </c>
      <c r="S681">
        <v>6</v>
      </c>
    </row>
    <row r="682" spans="1:19" ht="15.5" x14ac:dyDescent="0.35">
      <c r="A682" s="2">
        <v>42860</v>
      </c>
      <c r="B682" s="61" t="s">
        <v>631</v>
      </c>
      <c r="C682">
        <v>2</v>
      </c>
      <c r="S682">
        <v>2</v>
      </c>
    </row>
    <row r="683" spans="1:19" ht="15.5" x14ac:dyDescent="0.35">
      <c r="A683" s="2">
        <v>42860</v>
      </c>
      <c r="B683" s="61" t="s">
        <v>632</v>
      </c>
      <c r="C683">
        <v>4</v>
      </c>
      <c r="S683">
        <v>4</v>
      </c>
    </row>
    <row r="684" spans="1:19" ht="15.5" x14ac:dyDescent="0.35">
      <c r="A684" s="2">
        <v>42860</v>
      </c>
      <c r="B684" s="61" t="s">
        <v>634</v>
      </c>
      <c r="C684">
        <v>0</v>
      </c>
    </row>
    <row r="685" spans="1:19" ht="15.5" x14ac:dyDescent="0.35">
      <c r="A685" s="2">
        <v>42860</v>
      </c>
      <c r="B685" s="61" t="s">
        <v>635</v>
      </c>
      <c r="C685">
        <v>2</v>
      </c>
      <c r="D685">
        <v>2</v>
      </c>
    </row>
    <row r="686" spans="1:19" ht="15.5" x14ac:dyDescent="0.35">
      <c r="A686" s="2">
        <v>42860</v>
      </c>
      <c r="B686" s="61" t="s">
        <v>636</v>
      </c>
      <c r="C686">
        <v>0</v>
      </c>
    </row>
    <row r="687" spans="1:19" ht="15.5" x14ac:dyDescent="0.35">
      <c r="A687" s="2">
        <v>42860</v>
      </c>
      <c r="B687" s="61" t="s">
        <v>637</v>
      </c>
      <c r="C687">
        <v>0</v>
      </c>
      <c r="P687" t="s">
        <v>512</v>
      </c>
    </row>
    <row r="688" spans="1:19" ht="15.5" x14ac:dyDescent="0.35">
      <c r="A688" s="2">
        <v>42860</v>
      </c>
      <c r="B688" s="61" t="s">
        <v>638</v>
      </c>
      <c r="C688">
        <v>0</v>
      </c>
    </row>
    <row r="689" spans="1:16" s="4" customFormat="1" ht="15.5" x14ac:dyDescent="0.35">
      <c r="A689" s="3">
        <v>42860</v>
      </c>
      <c r="B689" s="62" t="s">
        <v>639</v>
      </c>
      <c r="C689" s="4">
        <v>0</v>
      </c>
    </row>
    <row r="690" spans="1:16" ht="15.5" x14ac:dyDescent="0.35">
      <c r="A690" s="2">
        <v>42867</v>
      </c>
      <c r="B690" s="61" t="s">
        <v>29</v>
      </c>
      <c r="C690" s="10">
        <v>36</v>
      </c>
      <c r="D690">
        <v>5</v>
      </c>
      <c r="P690">
        <v>1</v>
      </c>
    </row>
    <row r="691" spans="1:16" ht="15.5" x14ac:dyDescent="0.35">
      <c r="A691" s="2">
        <v>42867</v>
      </c>
      <c r="B691" s="61" t="s">
        <v>610</v>
      </c>
      <c r="C691" s="10">
        <v>7</v>
      </c>
      <c r="D691">
        <v>2</v>
      </c>
    </row>
    <row r="692" spans="1:16" ht="15.5" x14ac:dyDescent="0.35">
      <c r="A692" s="2">
        <v>42867</v>
      </c>
      <c r="B692" s="61" t="s">
        <v>611</v>
      </c>
      <c r="C692" s="10">
        <v>4</v>
      </c>
    </row>
    <row r="693" spans="1:16" ht="15.5" x14ac:dyDescent="0.35">
      <c r="A693" s="2">
        <v>42867</v>
      </c>
      <c r="B693" s="61" t="s">
        <v>612</v>
      </c>
      <c r="C693" s="10">
        <v>10</v>
      </c>
      <c r="D693">
        <v>1</v>
      </c>
    </row>
    <row r="694" spans="1:16" ht="15.5" x14ac:dyDescent="0.35">
      <c r="A694" s="2">
        <v>42867</v>
      </c>
      <c r="B694" s="61" t="s">
        <v>38</v>
      </c>
      <c r="C694">
        <v>186</v>
      </c>
      <c r="D694">
        <v>3</v>
      </c>
      <c r="P694">
        <v>1</v>
      </c>
    </row>
    <row r="695" spans="1:16" ht="15.5" x14ac:dyDescent="0.35">
      <c r="A695" s="2">
        <v>42867</v>
      </c>
      <c r="B695" s="61" t="s">
        <v>614</v>
      </c>
      <c r="C695">
        <v>5</v>
      </c>
      <c r="D695">
        <v>1</v>
      </c>
    </row>
    <row r="696" spans="1:16" ht="15.5" x14ac:dyDescent="0.35">
      <c r="A696" s="2">
        <v>42867</v>
      </c>
      <c r="B696" s="61" t="s">
        <v>615</v>
      </c>
      <c r="C696">
        <v>4</v>
      </c>
    </row>
    <row r="697" spans="1:16" ht="15.5" x14ac:dyDescent="0.35">
      <c r="A697" s="2">
        <v>42867</v>
      </c>
      <c r="B697" s="61" t="s">
        <v>616</v>
      </c>
      <c r="C697">
        <v>4</v>
      </c>
      <c r="D697">
        <v>3</v>
      </c>
    </row>
    <row r="698" spans="1:16" ht="15.5" x14ac:dyDescent="0.35">
      <c r="A698" s="2">
        <v>42867</v>
      </c>
      <c r="B698" s="61" t="s">
        <v>640</v>
      </c>
      <c r="C698">
        <v>2</v>
      </c>
      <c r="D698">
        <v>1</v>
      </c>
    </row>
    <row r="699" spans="1:16" ht="15.5" x14ac:dyDescent="0.35">
      <c r="A699" s="2">
        <v>42867</v>
      </c>
      <c r="B699" s="61" t="s">
        <v>641</v>
      </c>
      <c r="C699">
        <v>2</v>
      </c>
      <c r="D699">
        <v>1</v>
      </c>
    </row>
    <row r="700" spans="1:16" ht="15.5" x14ac:dyDescent="0.35">
      <c r="A700" s="2">
        <v>42867</v>
      </c>
      <c r="B700" s="61" t="s">
        <v>642</v>
      </c>
      <c r="C700">
        <v>2</v>
      </c>
    </row>
    <row r="701" spans="1:16" ht="15.5" x14ac:dyDescent="0.35">
      <c r="A701" s="2">
        <v>42867</v>
      </c>
      <c r="B701" s="61" t="s">
        <v>622</v>
      </c>
      <c r="C701">
        <v>2</v>
      </c>
    </row>
    <row r="702" spans="1:16" ht="15.5" x14ac:dyDescent="0.35">
      <c r="A702" s="2">
        <v>42867</v>
      </c>
      <c r="B702" s="61" t="s">
        <v>623</v>
      </c>
      <c r="C702">
        <v>4</v>
      </c>
      <c r="D702">
        <v>1</v>
      </c>
    </row>
    <row r="703" spans="1:16" ht="15.5" x14ac:dyDescent="0.35">
      <c r="A703" s="2">
        <v>42867</v>
      </c>
      <c r="B703" s="61" t="s">
        <v>624</v>
      </c>
      <c r="C703">
        <v>2</v>
      </c>
    </row>
    <row r="704" spans="1:16" ht="15.5" x14ac:dyDescent="0.35">
      <c r="A704" s="2">
        <v>42867</v>
      </c>
      <c r="B704" s="61" t="s">
        <v>626</v>
      </c>
      <c r="C704">
        <v>2</v>
      </c>
    </row>
    <row r="705" spans="1:16" ht="15.5" x14ac:dyDescent="0.35">
      <c r="A705" s="2">
        <v>42867</v>
      </c>
      <c r="B705" s="61" t="s">
        <v>627</v>
      </c>
      <c r="C705">
        <v>7</v>
      </c>
    </row>
    <row r="706" spans="1:16" ht="15.5" x14ac:dyDescent="0.35">
      <c r="A706" s="2">
        <v>42867</v>
      </c>
      <c r="B706" s="61" t="s">
        <v>628</v>
      </c>
      <c r="C706">
        <v>6</v>
      </c>
    </row>
    <row r="707" spans="1:16" ht="15.5" x14ac:dyDescent="0.35">
      <c r="A707" s="2">
        <v>42867</v>
      </c>
      <c r="B707" s="61" t="s">
        <v>630</v>
      </c>
      <c r="C707">
        <v>5</v>
      </c>
    </row>
    <row r="708" spans="1:16" ht="15.5" x14ac:dyDescent="0.35">
      <c r="A708" s="2">
        <v>42867</v>
      </c>
      <c r="B708" s="61" t="s">
        <v>631</v>
      </c>
      <c r="C708">
        <v>4</v>
      </c>
      <c r="D708">
        <v>2</v>
      </c>
    </row>
    <row r="709" spans="1:16" ht="15.5" x14ac:dyDescent="0.35">
      <c r="A709" s="2">
        <v>42867</v>
      </c>
      <c r="B709" s="61" t="s">
        <v>632</v>
      </c>
      <c r="C709">
        <v>4</v>
      </c>
      <c r="D709">
        <v>1</v>
      </c>
    </row>
    <row r="710" spans="1:16" ht="15.5" x14ac:dyDescent="0.35">
      <c r="A710" s="2">
        <v>42867</v>
      </c>
      <c r="B710" s="61" t="s">
        <v>634</v>
      </c>
      <c r="C710">
        <v>0</v>
      </c>
    </row>
    <row r="711" spans="1:16" ht="15.5" x14ac:dyDescent="0.35">
      <c r="A711" s="2">
        <v>42867</v>
      </c>
      <c r="B711" s="61" t="s">
        <v>635</v>
      </c>
      <c r="C711">
        <v>0</v>
      </c>
      <c r="D711">
        <v>1</v>
      </c>
    </row>
    <row r="712" spans="1:16" ht="15.5" x14ac:dyDescent="0.35">
      <c r="A712" s="2">
        <v>42867</v>
      </c>
      <c r="B712" s="61" t="s">
        <v>636</v>
      </c>
      <c r="C712">
        <v>0</v>
      </c>
    </row>
    <row r="713" spans="1:16" ht="15.5" x14ac:dyDescent="0.35">
      <c r="A713" s="2">
        <v>42867</v>
      </c>
      <c r="B713" s="61" t="s">
        <v>637</v>
      </c>
      <c r="C713">
        <v>0</v>
      </c>
      <c r="P713" t="s">
        <v>512</v>
      </c>
    </row>
    <row r="714" spans="1:16" ht="15.5" x14ac:dyDescent="0.35">
      <c r="A714" s="2">
        <v>42867</v>
      </c>
      <c r="B714" s="61" t="s">
        <v>638</v>
      </c>
      <c r="C714">
        <v>0</v>
      </c>
    </row>
    <row r="715" spans="1:16" s="4" customFormat="1" ht="15.5" x14ac:dyDescent="0.35">
      <c r="A715" s="3">
        <v>42867</v>
      </c>
      <c r="B715" s="62" t="s">
        <v>639</v>
      </c>
      <c r="C715" s="4">
        <v>0</v>
      </c>
    </row>
    <row r="716" spans="1:16" ht="15.5" x14ac:dyDescent="0.35">
      <c r="A716" s="2">
        <v>42874</v>
      </c>
      <c r="B716" s="61" t="s">
        <v>29</v>
      </c>
      <c r="C716" s="10">
        <v>127</v>
      </c>
      <c r="P716">
        <v>2</v>
      </c>
    </row>
    <row r="717" spans="1:16" ht="15.5" x14ac:dyDescent="0.35">
      <c r="A717" s="2">
        <v>42874</v>
      </c>
      <c r="B717" s="61" t="s">
        <v>610</v>
      </c>
      <c r="C717" s="10">
        <v>1</v>
      </c>
      <c r="D717">
        <v>1</v>
      </c>
    </row>
    <row r="718" spans="1:16" ht="15.5" x14ac:dyDescent="0.35">
      <c r="A718" s="2">
        <v>42874</v>
      </c>
      <c r="B718" s="61" t="s">
        <v>611</v>
      </c>
      <c r="C718" s="10">
        <v>1</v>
      </c>
      <c r="D718">
        <v>1</v>
      </c>
    </row>
    <row r="719" spans="1:16" ht="15.5" x14ac:dyDescent="0.35">
      <c r="A719" s="2">
        <v>42874</v>
      </c>
      <c r="B719" s="61" t="s">
        <v>612</v>
      </c>
      <c r="C719" s="10">
        <v>1</v>
      </c>
    </row>
    <row r="720" spans="1:16" ht="15.5" x14ac:dyDescent="0.35">
      <c r="A720" s="2">
        <v>42874</v>
      </c>
      <c r="B720" s="61" t="s">
        <v>38</v>
      </c>
      <c r="C720">
        <v>56</v>
      </c>
    </row>
    <row r="721" spans="1:4" ht="15.5" x14ac:dyDescent="0.35">
      <c r="A721" s="2">
        <v>42874</v>
      </c>
      <c r="B721" s="61" t="s">
        <v>614</v>
      </c>
      <c r="C721">
        <v>5</v>
      </c>
      <c r="D721">
        <v>3</v>
      </c>
    </row>
    <row r="722" spans="1:4" ht="15.5" x14ac:dyDescent="0.35">
      <c r="A722" s="2">
        <v>42874</v>
      </c>
      <c r="B722" s="61" t="s">
        <v>615</v>
      </c>
      <c r="C722">
        <v>0</v>
      </c>
      <c r="D722">
        <v>3</v>
      </c>
    </row>
    <row r="723" spans="1:4" ht="15.5" x14ac:dyDescent="0.35">
      <c r="A723" s="2">
        <v>42874</v>
      </c>
      <c r="B723" s="61" t="s">
        <v>616</v>
      </c>
      <c r="C723">
        <v>5</v>
      </c>
      <c r="D723">
        <v>2</v>
      </c>
    </row>
    <row r="724" spans="1:4" ht="15.5" x14ac:dyDescent="0.35">
      <c r="A724" s="2">
        <v>42874</v>
      </c>
      <c r="B724" s="61" t="s">
        <v>640</v>
      </c>
      <c r="C724">
        <v>2</v>
      </c>
      <c r="D724">
        <v>0</v>
      </c>
    </row>
    <row r="725" spans="1:4" ht="15.5" x14ac:dyDescent="0.35">
      <c r="A725" s="2">
        <v>42874</v>
      </c>
      <c r="B725" s="61" t="s">
        <v>641</v>
      </c>
      <c r="C725">
        <v>2</v>
      </c>
      <c r="D725">
        <v>1</v>
      </c>
    </row>
    <row r="726" spans="1:4" ht="15.5" x14ac:dyDescent="0.35">
      <c r="A726" s="2">
        <v>42874</v>
      </c>
      <c r="B726" s="61" t="s">
        <v>642</v>
      </c>
      <c r="C726">
        <v>6</v>
      </c>
      <c r="D726">
        <v>0</v>
      </c>
    </row>
    <row r="727" spans="1:4" ht="15.5" x14ac:dyDescent="0.35">
      <c r="A727" s="2">
        <v>42874</v>
      </c>
      <c r="B727" s="61" t="s">
        <v>622</v>
      </c>
      <c r="C727">
        <v>8</v>
      </c>
      <c r="D727">
        <v>0</v>
      </c>
    </row>
    <row r="728" spans="1:4" ht="15.5" x14ac:dyDescent="0.35">
      <c r="A728" s="2">
        <v>42874</v>
      </c>
      <c r="B728" s="61" t="s">
        <v>623</v>
      </c>
      <c r="C728">
        <v>1</v>
      </c>
      <c r="D728">
        <v>1</v>
      </c>
    </row>
    <row r="729" spans="1:4" ht="15.5" x14ac:dyDescent="0.35">
      <c r="A729" s="2">
        <v>42874</v>
      </c>
      <c r="B729" s="61" t="s">
        <v>624</v>
      </c>
      <c r="C729">
        <v>1</v>
      </c>
      <c r="D729">
        <v>0</v>
      </c>
    </row>
    <row r="730" spans="1:4" ht="15.5" x14ac:dyDescent="0.35">
      <c r="A730" s="2">
        <v>42874</v>
      </c>
      <c r="B730" s="61" t="s">
        <v>626</v>
      </c>
      <c r="C730">
        <v>4</v>
      </c>
      <c r="D730">
        <v>0</v>
      </c>
    </row>
    <row r="731" spans="1:4" ht="15.5" x14ac:dyDescent="0.35">
      <c r="A731" s="2">
        <v>42874</v>
      </c>
      <c r="B731" s="61" t="s">
        <v>627</v>
      </c>
      <c r="C731">
        <v>3</v>
      </c>
      <c r="D731">
        <v>0</v>
      </c>
    </row>
    <row r="732" spans="1:4" ht="15.5" x14ac:dyDescent="0.35">
      <c r="A732" s="2">
        <v>42874</v>
      </c>
      <c r="B732" s="61" t="s">
        <v>628</v>
      </c>
      <c r="C732">
        <v>5</v>
      </c>
      <c r="D732">
        <v>1</v>
      </c>
    </row>
    <row r="733" spans="1:4" ht="15.5" x14ac:dyDescent="0.35">
      <c r="A733" s="2">
        <v>42874</v>
      </c>
      <c r="B733" s="61" t="s">
        <v>630</v>
      </c>
      <c r="C733">
        <v>4</v>
      </c>
      <c r="D733">
        <v>0</v>
      </c>
    </row>
    <row r="734" spans="1:4" ht="15.5" x14ac:dyDescent="0.35">
      <c r="A734" s="2">
        <v>42874</v>
      </c>
      <c r="B734" s="61" t="s">
        <v>631</v>
      </c>
      <c r="C734">
        <v>9</v>
      </c>
      <c r="D734">
        <v>0</v>
      </c>
    </row>
    <row r="735" spans="1:4" ht="15.5" x14ac:dyDescent="0.35">
      <c r="A735" s="2">
        <v>42874</v>
      </c>
      <c r="B735" s="61" t="s">
        <v>632</v>
      </c>
      <c r="C735">
        <v>4</v>
      </c>
      <c r="D735">
        <v>0</v>
      </c>
    </row>
    <row r="736" spans="1:4" ht="15.5" x14ac:dyDescent="0.35">
      <c r="A736" s="2">
        <v>42874</v>
      </c>
      <c r="B736" s="61" t="s">
        <v>634</v>
      </c>
      <c r="C736">
        <v>0</v>
      </c>
      <c r="D736">
        <v>1</v>
      </c>
    </row>
    <row r="737" spans="1:16" ht="15.5" x14ac:dyDescent="0.35">
      <c r="A737" s="2">
        <v>42874</v>
      </c>
      <c r="B737" s="61" t="s">
        <v>635</v>
      </c>
      <c r="C737">
        <v>1</v>
      </c>
      <c r="D737">
        <v>1</v>
      </c>
    </row>
    <row r="738" spans="1:16" ht="15.5" x14ac:dyDescent="0.35">
      <c r="A738" s="2">
        <v>42874</v>
      </c>
      <c r="B738" s="61" t="s">
        <v>636</v>
      </c>
      <c r="C738">
        <v>0</v>
      </c>
    </row>
    <row r="739" spans="1:16" ht="15.5" x14ac:dyDescent="0.35">
      <c r="A739" s="2">
        <v>42874</v>
      </c>
      <c r="B739" s="61" t="s">
        <v>637</v>
      </c>
      <c r="C739">
        <v>0</v>
      </c>
    </row>
    <row r="740" spans="1:16" ht="15.5" x14ac:dyDescent="0.35">
      <c r="A740" s="2">
        <v>42874</v>
      </c>
      <c r="B740" s="61" t="s">
        <v>638</v>
      </c>
      <c r="C740">
        <v>0</v>
      </c>
    </row>
    <row r="741" spans="1:16" s="4" customFormat="1" ht="15.5" x14ac:dyDescent="0.35">
      <c r="A741" s="3">
        <v>42874</v>
      </c>
      <c r="B741" s="62" t="s">
        <v>639</v>
      </c>
      <c r="C741" s="4">
        <v>0</v>
      </c>
    </row>
    <row r="742" spans="1:16" ht="15.5" x14ac:dyDescent="0.35">
      <c r="A742" s="2">
        <v>42879</v>
      </c>
      <c r="B742" s="61" t="s">
        <v>29</v>
      </c>
      <c r="C742" s="10">
        <v>45</v>
      </c>
      <c r="D742">
        <v>3</v>
      </c>
      <c r="P742">
        <v>1</v>
      </c>
    </row>
    <row r="743" spans="1:16" ht="15.5" x14ac:dyDescent="0.35">
      <c r="A743" s="2">
        <v>42879</v>
      </c>
      <c r="B743" s="61" t="s">
        <v>610</v>
      </c>
      <c r="C743" s="10">
        <v>1</v>
      </c>
    </row>
    <row r="744" spans="1:16" ht="15.5" x14ac:dyDescent="0.35">
      <c r="A744" s="2">
        <v>42879</v>
      </c>
      <c r="B744" s="61" t="s">
        <v>611</v>
      </c>
      <c r="C744" s="10">
        <v>2</v>
      </c>
    </row>
    <row r="745" spans="1:16" ht="15.5" x14ac:dyDescent="0.35">
      <c r="A745" s="2">
        <v>42879</v>
      </c>
      <c r="B745" s="61" t="s">
        <v>612</v>
      </c>
      <c r="C745" s="10">
        <v>7</v>
      </c>
      <c r="D745">
        <v>1</v>
      </c>
    </row>
    <row r="746" spans="1:16" ht="15.5" x14ac:dyDescent="0.35">
      <c r="A746" s="2">
        <v>42879</v>
      </c>
      <c r="B746" s="61" t="s">
        <v>38</v>
      </c>
      <c r="C746">
        <v>43</v>
      </c>
      <c r="D746">
        <v>5</v>
      </c>
      <c r="P746">
        <v>2</v>
      </c>
    </row>
    <row r="747" spans="1:16" ht="15.5" x14ac:dyDescent="0.35">
      <c r="A747" s="2">
        <v>42879</v>
      </c>
      <c r="B747" s="61" t="s">
        <v>614</v>
      </c>
      <c r="C747">
        <v>2</v>
      </c>
      <c r="P747">
        <v>1</v>
      </c>
    </row>
    <row r="748" spans="1:16" ht="15.5" x14ac:dyDescent="0.35">
      <c r="A748" s="2">
        <v>42879</v>
      </c>
      <c r="B748" s="61" t="s">
        <v>615</v>
      </c>
      <c r="C748">
        <v>1</v>
      </c>
      <c r="P748">
        <v>1</v>
      </c>
    </row>
    <row r="749" spans="1:16" ht="15.5" x14ac:dyDescent="0.35">
      <c r="A749" s="2">
        <v>42879</v>
      </c>
      <c r="B749" s="61" t="s">
        <v>616</v>
      </c>
      <c r="C749">
        <v>7</v>
      </c>
    </row>
    <row r="750" spans="1:16" ht="15.5" x14ac:dyDescent="0.35">
      <c r="A750" s="2">
        <v>42879</v>
      </c>
      <c r="B750" s="61" t="s">
        <v>640</v>
      </c>
      <c r="C750">
        <v>4</v>
      </c>
      <c r="D750">
        <v>0</v>
      </c>
    </row>
    <row r="751" spans="1:16" ht="15.5" x14ac:dyDescent="0.35">
      <c r="A751" s="2">
        <v>42879</v>
      </c>
      <c r="B751" s="61" t="s">
        <v>641</v>
      </c>
      <c r="C751">
        <v>6</v>
      </c>
      <c r="D751">
        <v>2</v>
      </c>
    </row>
    <row r="752" spans="1:16" ht="15.5" x14ac:dyDescent="0.35">
      <c r="A752" s="2">
        <v>42879</v>
      </c>
      <c r="B752" s="61" t="s">
        <v>642</v>
      </c>
      <c r="C752">
        <v>17</v>
      </c>
      <c r="D752">
        <v>1</v>
      </c>
    </row>
    <row r="753" spans="1:10" ht="15.5" x14ac:dyDescent="0.35">
      <c r="A753" s="2">
        <v>42879</v>
      </c>
      <c r="B753" s="61" t="s">
        <v>622</v>
      </c>
      <c r="C753">
        <v>0</v>
      </c>
    </row>
    <row r="754" spans="1:10" ht="15.5" x14ac:dyDescent="0.35">
      <c r="A754" s="2">
        <v>42879</v>
      </c>
      <c r="B754" s="61" t="s">
        <v>623</v>
      </c>
      <c r="C754">
        <v>5</v>
      </c>
    </row>
    <row r="755" spans="1:10" ht="15.5" x14ac:dyDescent="0.35">
      <c r="A755" s="2">
        <v>42879</v>
      </c>
      <c r="B755" s="61" t="s">
        <v>624</v>
      </c>
      <c r="C755">
        <v>19</v>
      </c>
      <c r="D755">
        <v>4</v>
      </c>
    </row>
    <row r="756" spans="1:10" ht="15.5" x14ac:dyDescent="0.35">
      <c r="A756" s="2">
        <v>42879</v>
      </c>
      <c r="B756" s="61" t="s">
        <v>626</v>
      </c>
      <c r="C756">
        <v>7</v>
      </c>
    </row>
    <row r="757" spans="1:10" ht="15.5" x14ac:dyDescent="0.35">
      <c r="A757" s="2">
        <v>42879</v>
      </c>
      <c r="B757" s="61" t="s">
        <v>627</v>
      </c>
      <c r="C757">
        <v>5</v>
      </c>
    </row>
    <row r="758" spans="1:10" ht="15.5" x14ac:dyDescent="0.35">
      <c r="A758" s="2">
        <v>42879</v>
      </c>
      <c r="B758" s="61" t="s">
        <v>628</v>
      </c>
      <c r="C758">
        <v>22</v>
      </c>
      <c r="D758">
        <v>2</v>
      </c>
    </row>
    <row r="759" spans="1:10" ht="15.5" x14ac:dyDescent="0.35">
      <c r="A759" s="2">
        <v>42879</v>
      </c>
      <c r="B759" s="61" t="s">
        <v>630</v>
      </c>
      <c r="C759">
        <v>6</v>
      </c>
      <c r="D759">
        <v>4</v>
      </c>
    </row>
    <row r="760" spans="1:10" ht="15.5" x14ac:dyDescent="0.35">
      <c r="A760" s="2">
        <v>42879</v>
      </c>
      <c r="B760" s="61" t="s">
        <v>631</v>
      </c>
      <c r="C760">
        <v>4</v>
      </c>
      <c r="D760">
        <v>1</v>
      </c>
    </row>
    <row r="761" spans="1:10" ht="15.5" x14ac:dyDescent="0.35">
      <c r="A761" s="2">
        <v>42879</v>
      </c>
      <c r="B761" s="61" t="s">
        <v>632</v>
      </c>
      <c r="C761">
        <v>34</v>
      </c>
      <c r="D761">
        <v>3</v>
      </c>
    </row>
    <row r="762" spans="1:10" ht="15.5" x14ac:dyDescent="0.35">
      <c r="A762" s="2">
        <v>42879</v>
      </c>
      <c r="B762" s="61" t="s">
        <v>634</v>
      </c>
      <c r="C762">
        <v>0</v>
      </c>
      <c r="D762">
        <v>1</v>
      </c>
    </row>
    <row r="763" spans="1:10" ht="15.5" x14ac:dyDescent="0.35">
      <c r="A763" s="2">
        <v>42879</v>
      </c>
      <c r="B763" s="61" t="s">
        <v>635</v>
      </c>
      <c r="C763">
        <v>1</v>
      </c>
    </row>
    <row r="764" spans="1:10" ht="15.5" x14ac:dyDescent="0.35">
      <c r="A764" s="2">
        <v>42879</v>
      </c>
      <c r="B764" s="61" t="s">
        <v>636</v>
      </c>
      <c r="C764">
        <v>7</v>
      </c>
      <c r="D764">
        <v>5</v>
      </c>
    </row>
    <row r="765" spans="1:10" ht="15.5" x14ac:dyDescent="0.35">
      <c r="A765" s="2">
        <v>42879</v>
      </c>
      <c r="B765" s="61" t="s">
        <v>637</v>
      </c>
      <c r="C765">
        <v>0</v>
      </c>
      <c r="D765">
        <v>1</v>
      </c>
    </row>
    <row r="766" spans="1:10" ht="15.5" x14ac:dyDescent="0.35">
      <c r="A766" s="2">
        <v>42879</v>
      </c>
      <c r="B766" s="61" t="s">
        <v>638</v>
      </c>
      <c r="C766">
        <v>0</v>
      </c>
      <c r="J766">
        <v>1</v>
      </c>
    </row>
    <row r="767" spans="1:10" s="4" customFormat="1" ht="15.5" x14ac:dyDescent="0.35">
      <c r="A767" s="3">
        <v>42879</v>
      </c>
      <c r="B767" s="62" t="s">
        <v>639</v>
      </c>
      <c r="C767" s="4">
        <v>0</v>
      </c>
      <c r="D767" s="4">
        <v>1</v>
      </c>
    </row>
    <row r="768" spans="1:10" ht="15.5" x14ac:dyDescent="0.35">
      <c r="A768" s="2">
        <v>43168</v>
      </c>
      <c r="B768" s="61" t="s">
        <v>29</v>
      </c>
      <c r="C768" s="10">
        <v>0</v>
      </c>
      <c r="D768" s="10">
        <v>0</v>
      </c>
    </row>
    <row r="769" spans="1:6" ht="15.5" x14ac:dyDescent="0.35">
      <c r="A769" s="2">
        <v>43168</v>
      </c>
      <c r="B769" s="61" t="s">
        <v>610</v>
      </c>
      <c r="C769" s="10">
        <v>0</v>
      </c>
      <c r="D769" s="10">
        <v>0</v>
      </c>
    </row>
    <row r="770" spans="1:6" ht="15.5" x14ac:dyDescent="0.35">
      <c r="A770" s="2">
        <v>43168</v>
      </c>
      <c r="B770" s="61" t="s">
        <v>611</v>
      </c>
      <c r="C770" s="10">
        <v>0</v>
      </c>
      <c r="D770" s="10">
        <v>0</v>
      </c>
    </row>
    <row r="771" spans="1:6" ht="15.5" x14ac:dyDescent="0.35">
      <c r="A771" s="2">
        <v>43168</v>
      </c>
      <c r="B771" s="61" t="s">
        <v>612</v>
      </c>
      <c r="C771" s="10">
        <v>0</v>
      </c>
      <c r="D771" s="10">
        <v>0</v>
      </c>
    </row>
    <row r="772" spans="1:6" ht="15.5" x14ac:dyDescent="0.35">
      <c r="A772" s="2">
        <v>43168</v>
      </c>
      <c r="B772" s="61" t="s">
        <v>38</v>
      </c>
      <c r="C772" s="10">
        <v>0</v>
      </c>
      <c r="D772" s="10">
        <v>0</v>
      </c>
    </row>
    <row r="773" spans="1:6" ht="15.5" x14ac:dyDescent="0.35">
      <c r="A773" s="2">
        <v>43168</v>
      </c>
      <c r="B773" s="61" t="s">
        <v>614</v>
      </c>
      <c r="C773" s="10">
        <v>0</v>
      </c>
      <c r="D773" s="10">
        <v>0</v>
      </c>
    </row>
    <row r="774" spans="1:6" ht="15.5" x14ac:dyDescent="0.35">
      <c r="A774" s="2">
        <v>43168</v>
      </c>
      <c r="B774" s="61" t="s">
        <v>615</v>
      </c>
      <c r="C774" s="10">
        <v>0</v>
      </c>
      <c r="D774" s="10">
        <v>0</v>
      </c>
    </row>
    <row r="775" spans="1:6" ht="15.5" x14ac:dyDescent="0.35">
      <c r="A775" s="2">
        <v>43168</v>
      </c>
      <c r="B775" s="61" t="s">
        <v>616</v>
      </c>
      <c r="C775" s="10">
        <v>0</v>
      </c>
      <c r="D775" s="10">
        <v>0</v>
      </c>
    </row>
    <row r="776" spans="1:6" ht="15.5" x14ac:dyDescent="0.35">
      <c r="A776" s="2">
        <v>43168</v>
      </c>
      <c r="B776" s="61" t="s">
        <v>640</v>
      </c>
      <c r="C776" s="10">
        <v>0</v>
      </c>
      <c r="D776" s="10">
        <v>0</v>
      </c>
    </row>
    <row r="777" spans="1:6" ht="15.5" x14ac:dyDescent="0.35">
      <c r="A777" s="2">
        <v>43168</v>
      </c>
      <c r="B777" s="61" t="s">
        <v>641</v>
      </c>
      <c r="C777" s="10">
        <v>0</v>
      </c>
      <c r="D777" s="10">
        <v>0</v>
      </c>
    </row>
    <row r="778" spans="1:6" ht="15.5" x14ac:dyDescent="0.35">
      <c r="A778" s="2">
        <v>43168</v>
      </c>
      <c r="B778" s="61" t="s">
        <v>642</v>
      </c>
      <c r="C778" s="10">
        <v>0</v>
      </c>
      <c r="D778" s="10">
        <v>0</v>
      </c>
    </row>
    <row r="779" spans="1:6" ht="15.5" x14ac:dyDescent="0.35">
      <c r="A779" s="2">
        <v>43168</v>
      </c>
      <c r="B779" s="61" t="s">
        <v>622</v>
      </c>
      <c r="C779" s="10">
        <v>0</v>
      </c>
      <c r="D779" s="10">
        <v>0</v>
      </c>
    </row>
    <row r="780" spans="1:6" ht="15.5" x14ac:dyDescent="0.35">
      <c r="A780" s="2">
        <v>43168</v>
      </c>
      <c r="B780" s="61" t="s">
        <v>623</v>
      </c>
      <c r="C780" s="10">
        <v>0</v>
      </c>
      <c r="D780" s="10">
        <v>0</v>
      </c>
      <c r="E780" s="8"/>
      <c r="F780" s="8"/>
    </row>
    <row r="781" spans="1:6" ht="15.5" x14ac:dyDescent="0.35">
      <c r="A781" s="2">
        <v>43168</v>
      </c>
      <c r="B781" s="61" t="s">
        <v>624</v>
      </c>
      <c r="C781" s="10">
        <v>0</v>
      </c>
      <c r="D781" s="10">
        <v>0</v>
      </c>
    </row>
    <row r="782" spans="1:6" ht="15.5" x14ac:dyDescent="0.35">
      <c r="A782" s="2">
        <v>43168</v>
      </c>
      <c r="B782" s="61" t="s">
        <v>626</v>
      </c>
      <c r="C782" s="10">
        <v>0</v>
      </c>
      <c r="D782" s="10">
        <v>0</v>
      </c>
    </row>
    <row r="783" spans="1:6" ht="15.5" x14ac:dyDescent="0.35">
      <c r="A783" s="2">
        <v>43168</v>
      </c>
      <c r="B783" s="61" t="s">
        <v>627</v>
      </c>
      <c r="C783" s="10">
        <v>0</v>
      </c>
      <c r="D783" s="10">
        <v>0</v>
      </c>
    </row>
    <row r="784" spans="1:6" ht="15.5" x14ac:dyDescent="0.35">
      <c r="A784" s="2">
        <v>43168</v>
      </c>
      <c r="B784" s="61" t="s">
        <v>628</v>
      </c>
      <c r="C784" s="10">
        <v>0</v>
      </c>
      <c r="D784" s="10">
        <v>0</v>
      </c>
    </row>
    <row r="785" spans="1:8" ht="15.5" x14ac:dyDescent="0.35">
      <c r="A785" s="2">
        <v>43168</v>
      </c>
      <c r="B785" s="61" t="s">
        <v>630</v>
      </c>
      <c r="C785" s="10">
        <v>0</v>
      </c>
      <c r="D785" s="10">
        <v>0</v>
      </c>
      <c r="E785" s="8"/>
      <c r="H785" s="8"/>
    </row>
    <row r="786" spans="1:8" ht="15.5" x14ac:dyDescent="0.35">
      <c r="A786" s="2">
        <v>43168</v>
      </c>
      <c r="B786" s="61" t="s">
        <v>631</v>
      </c>
      <c r="C786" s="10">
        <v>0</v>
      </c>
      <c r="D786" s="10">
        <v>0</v>
      </c>
    </row>
    <row r="787" spans="1:8" ht="15.5" x14ac:dyDescent="0.35">
      <c r="A787" s="2">
        <v>43168</v>
      </c>
      <c r="B787" s="61" t="s">
        <v>632</v>
      </c>
      <c r="C787" s="10">
        <v>0</v>
      </c>
      <c r="D787" s="10">
        <v>0</v>
      </c>
    </row>
    <row r="788" spans="1:8" ht="15.5" x14ac:dyDescent="0.35">
      <c r="A788" s="2">
        <v>43168</v>
      </c>
      <c r="B788" s="61" t="s">
        <v>634</v>
      </c>
      <c r="C788" s="10">
        <v>0</v>
      </c>
      <c r="D788" s="10">
        <v>0</v>
      </c>
    </row>
    <row r="789" spans="1:8" ht="15.5" x14ac:dyDescent="0.35">
      <c r="A789" s="2">
        <v>43168</v>
      </c>
      <c r="B789" s="61" t="s">
        <v>635</v>
      </c>
      <c r="C789" s="10">
        <v>0</v>
      </c>
      <c r="D789" s="10">
        <v>0</v>
      </c>
    </row>
    <row r="790" spans="1:8" ht="15.5" x14ac:dyDescent="0.35">
      <c r="A790" s="2">
        <v>43168</v>
      </c>
      <c r="B790" s="61" t="s">
        <v>636</v>
      </c>
      <c r="C790" s="10">
        <v>0</v>
      </c>
      <c r="D790" s="10">
        <v>0</v>
      </c>
    </row>
    <row r="791" spans="1:8" ht="15.5" x14ac:dyDescent="0.35">
      <c r="A791" s="2">
        <v>43168</v>
      </c>
      <c r="B791" s="61" t="s">
        <v>637</v>
      </c>
      <c r="C791" s="10">
        <v>0</v>
      </c>
      <c r="D791" s="10">
        <v>0</v>
      </c>
    </row>
    <row r="792" spans="1:8" ht="15.5" x14ac:dyDescent="0.35">
      <c r="A792" s="2">
        <v>43168</v>
      </c>
      <c r="B792" s="61" t="s">
        <v>638</v>
      </c>
      <c r="C792" s="10">
        <v>0</v>
      </c>
      <c r="D792" s="10">
        <v>0</v>
      </c>
    </row>
    <row r="793" spans="1:8" s="4" customFormat="1" ht="15.5" x14ac:dyDescent="0.35">
      <c r="A793" s="3">
        <v>43168</v>
      </c>
      <c r="B793" s="62" t="s">
        <v>639</v>
      </c>
      <c r="C793" s="11">
        <v>0</v>
      </c>
      <c r="D793" s="11">
        <v>0</v>
      </c>
    </row>
    <row r="794" spans="1:8" ht="15.5" x14ac:dyDescent="0.35">
      <c r="A794" s="2">
        <v>43171</v>
      </c>
      <c r="B794" s="61" t="s">
        <v>29</v>
      </c>
      <c r="C794" s="10">
        <v>0</v>
      </c>
      <c r="D794" s="10">
        <v>0</v>
      </c>
    </row>
    <row r="795" spans="1:8" ht="15.5" x14ac:dyDescent="0.35">
      <c r="A795" s="2">
        <v>43171</v>
      </c>
      <c r="B795" s="61" t="s">
        <v>610</v>
      </c>
      <c r="C795" s="10">
        <v>0</v>
      </c>
      <c r="D795" s="10">
        <v>0</v>
      </c>
    </row>
    <row r="796" spans="1:8" ht="15.5" x14ac:dyDescent="0.35">
      <c r="A796" s="2">
        <v>43171</v>
      </c>
      <c r="B796" s="61" t="s">
        <v>611</v>
      </c>
      <c r="C796" s="10">
        <v>0</v>
      </c>
      <c r="D796" s="10">
        <v>0</v>
      </c>
    </row>
    <row r="797" spans="1:8" ht="15.5" x14ac:dyDescent="0.35">
      <c r="A797" s="2">
        <v>43171</v>
      </c>
      <c r="B797" s="61" t="s">
        <v>612</v>
      </c>
      <c r="C797" s="10">
        <v>0</v>
      </c>
      <c r="D797" s="10">
        <v>0</v>
      </c>
    </row>
    <row r="798" spans="1:8" ht="15.5" x14ac:dyDescent="0.35">
      <c r="A798" s="2">
        <v>43171</v>
      </c>
      <c r="B798" s="61" t="s">
        <v>38</v>
      </c>
      <c r="C798" s="10">
        <v>0</v>
      </c>
      <c r="D798" s="10">
        <v>0</v>
      </c>
    </row>
    <row r="799" spans="1:8" ht="15.5" x14ac:dyDescent="0.35">
      <c r="A799" s="2">
        <v>43171</v>
      </c>
      <c r="B799" s="61" t="s">
        <v>614</v>
      </c>
      <c r="C799" s="10">
        <v>0</v>
      </c>
      <c r="D799" s="10">
        <v>0</v>
      </c>
    </row>
    <row r="800" spans="1:8" ht="15.5" x14ac:dyDescent="0.35">
      <c r="A800" s="2">
        <v>43171</v>
      </c>
      <c r="B800" s="61" t="s">
        <v>615</v>
      </c>
      <c r="C800" s="10">
        <v>0</v>
      </c>
      <c r="D800" s="10">
        <v>0</v>
      </c>
    </row>
    <row r="801" spans="1:4" ht="15.5" x14ac:dyDescent="0.35">
      <c r="A801" s="2">
        <v>43171</v>
      </c>
      <c r="B801" s="61" t="s">
        <v>616</v>
      </c>
      <c r="C801" s="10">
        <v>0</v>
      </c>
      <c r="D801" s="10">
        <v>0</v>
      </c>
    </row>
    <row r="802" spans="1:4" ht="15.5" x14ac:dyDescent="0.35">
      <c r="A802" s="2">
        <v>43171</v>
      </c>
      <c r="B802" s="61" t="s">
        <v>640</v>
      </c>
      <c r="C802" s="10">
        <v>0</v>
      </c>
      <c r="D802" s="10">
        <v>0</v>
      </c>
    </row>
    <row r="803" spans="1:4" ht="15.5" x14ac:dyDescent="0.35">
      <c r="A803" s="2">
        <v>43171</v>
      </c>
      <c r="B803" s="61" t="s">
        <v>641</v>
      </c>
      <c r="C803" s="10">
        <v>0</v>
      </c>
      <c r="D803" s="10">
        <v>0</v>
      </c>
    </row>
    <row r="804" spans="1:4" ht="15.5" x14ac:dyDescent="0.35">
      <c r="A804" s="2">
        <v>43171</v>
      </c>
      <c r="B804" s="61" t="s">
        <v>642</v>
      </c>
      <c r="C804" s="10">
        <v>0</v>
      </c>
      <c r="D804" s="10">
        <v>0</v>
      </c>
    </row>
    <row r="805" spans="1:4" ht="15.5" x14ac:dyDescent="0.35">
      <c r="A805" s="2">
        <v>43171</v>
      </c>
      <c r="B805" s="61" t="s">
        <v>622</v>
      </c>
      <c r="C805" s="10">
        <v>0</v>
      </c>
      <c r="D805" s="10">
        <v>0</v>
      </c>
    </row>
    <row r="806" spans="1:4" ht="15.5" x14ac:dyDescent="0.35">
      <c r="A806" s="2">
        <v>43171</v>
      </c>
      <c r="B806" s="61" t="s">
        <v>623</v>
      </c>
      <c r="C806" s="10">
        <v>0</v>
      </c>
      <c r="D806" s="10">
        <v>0</v>
      </c>
    </row>
    <row r="807" spans="1:4" ht="15.5" x14ac:dyDescent="0.35">
      <c r="A807" s="2">
        <v>43171</v>
      </c>
      <c r="B807" s="61" t="s">
        <v>624</v>
      </c>
      <c r="C807" s="10">
        <v>0</v>
      </c>
      <c r="D807" s="10">
        <v>0</v>
      </c>
    </row>
    <row r="808" spans="1:4" ht="15.5" x14ac:dyDescent="0.35">
      <c r="A808" s="2">
        <v>43171</v>
      </c>
      <c r="B808" s="61" t="s">
        <v>626</v>
      </c>
      <c r="C808" s="10">
        <v>0</v>
      </c>
      <c r="D808" s="10">
        <v>0</v>
      </c>
    </row>
    <row r="809" spans="1:4" ht="15.5" x14ac:dyDescent="0.35">
      <c r="A809" s="2">
        <v>43171</v>
      </c>
      <c r="B809" s="61" t="s">
        <v>627</v>
      </c>
      <c r="C809" s="10">
        <v>0</v>
      </c>
      <c r="D809" s="10">
        <v>0</v>
      </c>
    </row>
    <row r="810" spans="1:4" ht="15.5" x14ac:dyDescent="0.35">
      <c r="A810" s="2">
        <v>43171</v>
      </c>
      <c r="B810" s="61" t="s">
        <v>628</v>
      </c>
      <c r="C810" s="10">
        <v>0</v>
      </c>
      <c r="D810" s="10">
        <v>0</v>
      </c>
    </row>
    <row r="811" spans="1:4" ht="15.5" x14ac:dyDescent="0.35">
      <c r="A811" s="2">
        <v>43171</v>
      </c>
      <c r="B811" s="61" t="s">
        <v>630</v>
      </c>
      <c r="C811" s="10">
        <v>0</v>
      </c>
      <c r="D811" s="10">
        <v>0</v>
      </c>
    </row>
    <row r="812" spans="1:4" ht="15.5" x14ac:dyDescent="0.35">
      <c r="A812" s="2">
        <v>43171</v>
      </c>
      <c r="B812" s="61" t="s">
        <v>631</v>
      </c>
      <c r="C812" s="10">
        <v>0</v>
      </c>
      <c r="D812" s="10">
        <v>0</v>
      </c>
    </row>
    <row r="813" spans="1:4" ht="15.5" x14ac:dyDescent="0.35">
      <c r="A813" s="2">
        <v>43171</v>
      </c>
      <c r="B813" s="61" t="s">
        <v>632</v>
      </c>
      <c r="C813" s="10">
        <v>0</v>
      </c>
      <c r="D813" s="10">
        <v>0</v>
      </c>
    </row>
    <row r="814" spans="1:4" ht="15.5" x14ac:dyDescent="0.35">
      <c r="A814" s="2">
        <v>43171</v>
      </c>
      <c r="B814" s="61" t="s">
        <v>634</v>
      </c>
      <c r="C814" s="10">
        <v>0</v>
      </c>
      <c r="D814" s="10">
        <v>0</v>
      </c>
    </row>
    <row r="815" spans="1:4" ht="15.5" x14ac:dyDescent="0.35">
      <c r="A815" s="2">
        <v>43171</v>
      </c>
      <c r="B815" s="61" t="s">
        <v>635</v>
      </c>
      <c r="C815" s="10">
        <v>0</v>
      </c>
      <c r="D815" s="10">
        <v>0</v>
      </c>
    </row>
    <row r="816" spans="1:4" ht="15.5" x14ac:dyDescent="0.35">
      <c r="A816" s="2">
        <v>43171</v>
      </c>
      <c r="B816" s="61" t="s">
        <v>636</v>
      </c>
      <c r="C816" s="10">
        <v>0</v>
      </c>
      <c r="D816" s="10">
        <v>0</v>
      </c>
    </row>
    <row r="817" spans="1:4" ht="15.5" x14ac:dyDescent="0.35">
      <c r="A817" s="2">
        <v>43171</v>
      </c>
      <c r="B817" s="61" t="s">
        <v>637</v>
      </c>
      <c r="C817" s="10">
        <v>0</v>
      </c>
      <c r="D817" s="10">
        <v>0</v>
      </c>
    </row>
    <row r="818" spans="1:4" ht="15.5" x14ac:dyDescent="0.35">
      <c r="A818" s="2">
        <v>43171</v>
      </c>
      <c r="B818" s="61" t="s">
        <v>638</v>
      </c>
      <c r="C818" s="10">
        <v>0</v>
      </c>
      <c r="D818" s="10">
        <v>0</v>
      </c>
    </row>
    <row r="819" spans="1:4" s="4" customFormat="1" ht="15.5" x14ac:dyDescent="0.35">
      <c r="A819" s="3">
        <v>43171</v>
      </c>
      <c r="B819" s="62" t="s">
        <v>639</v>
      </c>
      <c r="C819" s="11">
        <v>0</v>
      </c>
      <c r="D819" s="11">
        <v>0</v>
      </c>
    </row>
    <row r="820" spans="1:4" ht="15.5" x14ac:dyDescent="0.35">
      <c r="A820" s="2">
        <v>43176</v>
      </c>
      <c r="B820" s="61" t="s">
        <v>29</v>
      </c>
      <c r="C820" s="10">
        <v>0</v>
      </c>
      <c r="D820" s="10">
        <v>0</v>
      </c>
    </row>
    <row r="821" spans="1:4" s="4" customFormat="1" ht="15.5" x14ac:dyDescent="0.35">
      <c r="A821" s="3">
        <v>43176</v>
      </c>
      <c r="B821" s="62" t="s">
        <v>38</v>
      </c>
      <c r="C821" s="11">
        <v>0</v>
      </c>
      <c r="D821" s="11">
        <v>0</v>
      </c>
    </row>
    <row r="822" spans="1:4" ht="15.5" x14ac:dyDescent="0.35">
      <c r="A822" s="2">
        <v>43178</v>
      </c>
      <c r="B822" s="61" t="s">
        <v>29</v>
      </c>
    </row>
    <row r="823" spans="1:4" ht="15.5" x14ac:dyDescent="0.35">
      <c r="A823" s="2">
        <v>43178</v>
      </c>
      <c r="B823" s="61" t="s">
        <v>610</v>
      </c>
    </row>
    <row r="824" spans="1:4" ht="15.5" x14ac:dyDescent="0.35">
      <c r="A824" s="2">
        <v>43178</v>
      </c>
      <c r="B824" s="61" t="s">
        <v>611</v>
      </c>
      <c r="C824">
        <v>1</v>
      </c>
    </row>
    <row r="825" spans="1:4" ht="15.5" x14ac:dyDescent="0.35">
      <c r="A825" s="2">
        <v>43178</v>
      </c>
      <c r="B825" s="61" t="s">
        <v>612</v>
      </c>
    </row>
    <row r="826" spans="1:4" ht="15.5" x14ac:dyDescent="0.35">
      <c r="A826" s="2">
        <v>43178</v>
      </c>
      <c r="B826" s="61" t="s">
        <v>38</v>
      </c>
      <c r="C826">
        <v>1</v>
      </c>
      <c r="D826">
        <v>1</v>
      </c>
    </row>
    <row r="827" spans="1:4" ht="15.5" x14ac:dyDescent="0.35">
      <c r="A827" s="2">
        <v>43178</v>
      </c>
      <c r="B827" s="61" t="s">
        <v>614</v>
      </c>
    </row>
    <row r="828" spans="1:4" ht="15.5" x14ac:dyDescent="0.35">
      <c r="A828" s="2">
        <v>43178</v>
      </c>
      <c r="B828" s="61" t="s">
        <v>615</v>
      </c>
    </row>
    <row r="829" spans="1:4" ht="15.5" x14ac:dyDescent="0.35">
      <c r="A829" s="2">
        <v>43178</v>
      </c>
      <c r="B829" s="61" t="s">
        <v>616</v>
      </c>
    </row>
    <row r="830" spans="1:4" ht="15.5" x14ac:dyDescent="0.35">
      <c r="A830" s="2">
        <v>43178</v>
      </c>
      <c r="B830" s="61" t="s">
        <v>640</v>
      </c>
    </row>
    <row r="831" spans="1:4" ht="15.5" x14ac:dyDescent="0.35">
      <c r="A831" s="2">
        <v>43178</v>
      </c>
      <c r="B831" s="61" t="s">
        <v>641</v>
      </c>
    </row>
    <row r="832" spans="1:4" ht="15.5" x14ac:dyDescent="0.35">
      <c r="A832" s="2">
        <v>43178</v>
      </c>
      <c r="B832" s="61" t="s">
        <v>642</v>
      </c>
    </row>
    <row r="833" spans="1:3" ht="15.5" x14ac:dyDescent="0.35">
      <c r="A833" s="2">
        <v>43178</v>
      </c>
      <c r="B833" s="61" t="s">
        <v>622</v>
      </c>
    </row>
    <row r="834" spans="1:3" ht="15.5" x14ac:dyDescent="0.35">
      <c r="A834" s="2">
        <v>43178</v>
      </c>
      <c r="B834" s="61" t="s">
        <v>623</v>
      </c>
    </row>
    <row r="835" spans="1:3" ht="15.5" x14ac:dyDescent="0.35">
      <c r="A835" s="2">
        <v>43178</v>
      </c>
      <c r="B835" s="61" t="s">
        <v>624</v>
      </c>
      <c r="C835">
        <v>1</v>
      </c>
    </row>
    <row r="836" spans="1:3" ht="15.5" x14ac:dyDescent="0.35">
      <c r="A836" s="2">
        <v>43178</v>
      </c>
      <c r="B836" s="61" t="s">
        <v>626</v>
      </c>
    </row>
    <row r="837" spans="1:3" ht="15.5" x14ac:dyDescent="0.35">
      <c r="A837" s="2">
        <v>43178</v>
      </c>
      <c r="B837" s="61" t="s">
        <v>627</v>
      </c>
    </row>
    <row r="838" spans="1:3" ht="15.5" x14ac:dyDescent="0.35">
      <c r="A838" s="2">
        <v>43178</v>
      </c>
      <c r="B838" s="61" t="s">
        <v>628</v>
      </c>
    </row>
    <row r="839" spans="1:3" ht="15.5" x14ac:dyDescent="0.35">
      <c r="A839" s="2">
        <v>43178</v>
      </c>
      <c r="B839" s="61" t="s">
        <v>630</v>
      </c>
    </row>
    <row r="840" spans="1:3" ht="15.5" x14ac:dyDescent="0.35">
      <c r="A840" s="2">
        <v>43178</v>
      </c>
      <c r="B840" s="61" t="s">
        <v>631</v>
      </c>
      <c r="C840">
        <v>1</v>
      </c>
    </row>
    <row r="841" spans="1:3" ht="15.5" x14ac:dyDescent="0.35">
      <c r="A841" s="2">
        <v>43178</v>
      </c>
      <c r="B841" s="61" t="s">
        <v>632</v>
      </c>
    </row>
    <row r="842" spans="1:3" ht="15.5" x14ac:dyDescent="0.35">
      <c r="A842" s="2">
        <v>43178</v>
      </c>
      <c r="B842" s="61" t="s">
        <v>634</v>
      </c>
    </row>
    <row r="843" spans="1:3" ht="15.5" x14ac:dyDescent="0.35">
      <c r="A843" s="2">
        <v>43178</v>
      </c>
      <c r="B843" s="61" t="s">
        <v>635</v>
      </c>
    </row>
    <row r="844" spans="1:3" ht="15.5" x14ac:dyDescent="0.35">
      <c r="A844" s="2">
        <v>43178</v>
      </c>
      <c r="B844" s="61" t="s">
        <v>636</v>
      </c>
    </row>
    <row r="845" spans="1:3" ht="15.5" x14ac:dyDescent="0.35">
      <c r="A845" s="2">
        <v>43178</v>
      </c>
      <c r="B845" s="61" t="s">
        <v>637</v>
      </c>
    </row>
    <row r="846" spans="1:3" ht="15.5" x14ac:dyDescent="0.35">
      <c r="A846" s="2">
        <v>43178</v>
      </c>
      <c r="B846" s="61" t="s">
        <v>638</v>
      </c>
    </row>
    <row r="847" spans="1:3" ht="15.5" x14ac:dyDescent="0.35">
      <c r="A847" s="13">
        <v>43178</v>
      </c>
      <c r="B847" s="61" t="s">
        <v>639</v>
      </c>
    </row>
    <row r="848" spans="1:3" s="4" customFormat="1" ht="15.5" x14ac:dyDescent="0.35">
      <c r="A848" s="3">
        <v>43178</v>
      </c>
      <c r="B848" s="62" t="s">
        <v>20</v>
      </c>
      <c r="C848" s="4">
        <v>17</v>
      </c>
    </row>
    <row r="849" spans="1:4" ht="15.5" x14ac:dyDescent="0.35">
      <c r="A849" s="2">
        <v>43185</v>
      </c>
      <c r="B849" s="61" t="s">
        <v>29</v>
      </c>
      <c r="C849">
        <v>0</v>
      </c>
    </row>
    <row r="850" spans="1:4" ht="15.5" x14ac:dyDescent="0.35">
      <c r="A850" s="2">
        <v>43185</v>
      </c>
      <c r="B850" s="61" t="s">
        <v>610</v>
      </c>
      <c r="C850">
        <v>2</v>
      </c>
      <c r="D850">
        <v>1</v>
      </c>
    </row>
    <row r="851" spans="1:4" ht="15.5" x14ac:dyDescent="0.35">
      <c r="A851" s="2">
        <v>43185</v>
      </c>
      <c r="B851" s="61" t="s">
        <v>611</v>
      </c>
      <c r="C851">
        <v>2</v>
      </c>
      <c r="D851">
        <v>1</v>
      </c>
    </row>
    <row r="852" spans="1:4" ht="15.5" x14ac:dyDescent="0.35">
      <c r="A852" s="2">
        <v>43185</v>
      </c>
      <c r="B852" s="61" t="s">
        <v>612</v>
      </c>
      <c r="C852">
        <v>0</v>
      </c>
      <c r="D852">
        <v>0</v>
      </c>
    </row>
    <row r="853" spans="1:4" ht="15.5" x14ac:dyDescent="0.35">
      <c r="A853" s="2">
        <v>43185</v>
      </c>
      <c r="B853" s="61" t="s">
        <v>38</v>
      </c>
      <c r="C853">
        <v>0</v>
      </c>
    </row>
    <row r="854" spans="1:4" ht="15.5" x14ac:dyDescent="0.35">
      <c r="A854" s="2">
        <v>43185</v>
      </c>
      <c r="B854" s="61" t="s">
        <v>614</v>
      </c>
      <c r="C854">
        <v>5</v>
      </c>
      <c r="D854">
        <v>2</v>
      </c>
    </row>
    <row r="855" spans="1:4" ht="15.5" x14ac:dyDescent="0.35">
      <c r="A855" s="2">
        <v>43185</v>
      </c>
      <c r="B855" s="61" t="s">
        <v>615</v>
      </c>
      <c r="C855">
        <v>10</v>
      </c>
    </row>
    <row r="856" spans="1:4" ht="15.5" x14ac:dyDescent="0.35">
      <c r="A856" s="2">
        <v>43185</v>
      </c>
      <c r="B856" s="61" t="s">
        <v>616</v>
      </c>
      <c r="C856">
        <v>4</v>
      </c>
    </row>
    <row r="857" spans="1:4" ht="15.5" x14ac:dyDescent="0.35">
      <c r="A857" s="2">
        <v>43185</v>
      </c>
      <c r="B857" s="61" t="s">
        <v>640</v>
      </c>
      <c r="C857">
        <v>0</v>
      </c>
    </row>
    <row r="858" spans="1:4" ht="15.5" x14ac:dyDescent="0.35">
      <c r="A858" s="2">
        <v>43185</v>
      </c>
      <c r="B858" s="61" t="s">
        <v>641</v>
      </c>
      <c r="C858">
        <v>1</v>
      </c>
    </row>
    <row r="859" spans="1:4" ht="15.5" x14ac:dyDescent="0.35">
      <c r="A859" s="2">
        <v>43185</v>
      </c>
      <c r="B859" s="61" t="s">
        <v>642</v>
      </c>
      <c r="C859">
        <v>0</v>
      </c>
    </row>
    <row r="860" spans="1:4" ht="15.5" x14ac:dyDescent="0.35">
      <c r="A860" s="2">
        <v>43185</v>
      </c>
      <c r="B860" s="61" t="s">
        <v>622</v>
      </c>
      <c r="C860">
        <v>0</v>
      </c>
    </row>
    <row r="861" spans="1:4" ht="15.5" x14ac:dyDescent="0.35">
      <c r="A861" s="2">
        <v>43185</v>
      </c>
      <c r="B861" s="61" t="s">
        <v>623</v>
      </c>
      <c r="C861">
        <v>0</v>
      </c>
    </row>
    <row r="862" spans="1:4" ht="15.5" x14ac:dyDescent="0.35">
      <c r="A862" s="2">
        <v>43185</v>
      </c>
      <c r="B862" s="61" t="s">
        <v>624</v>
      </c>
      <c r="C862">
        <v>0</v>
      </c>
    </row>
    <row r="863" spans="1:4" ht="15.5" x14ac:dyDescent="0.35">
      <c r="A863" s="2">
        <v>43185</v>
      </c>
      <c r="B863" s="61" t="s">
        <v>626</v>
      </c>
      <c r="C863">
        <v>0</v>
      </c>
    </row>
    <row r="864" spans="1:4" ht="15.5" x14ac:dyDescent="0.35">
      <c r="A864" s="2">
        <v>43185</v>
      </c>
      <c r="B864" s="61" t="s">
        <v>627</v>
      </c>
      <c r="C864">
        <v>0</v>
      </c>
    </row>
    <row r="865" spans="1:4" ht="15.5" x14ac:dyDescent="0.35">
      <c r="A865" s="2">
        <v>43185</v>
      </c>
      <c r="B865" s="61" t="s">
        <v>628</v>
      </c>
      <c r="C865">
        <v>0</v>
      </c>
    </row>
    <row r="866" spans="1:4" ht="15.5" x14ac:dyDescent="0.35">
      <c r="A866" s="2">
        <v>43185</v>
      </c>
      <c r="B866" s="61" t="s">
        <v>630</v>
      </c>
      <c r="C866">
        <v>0</v>
      </c>
    </row>
    <row r="867" spans="1:4" ht="15.5" x14ac:dyDescent="0.35">
      <c r="A867" s="2">
        <v>43185</v>
      </c>
      <c r="B867" s="61" t="s">
        <v>631</v>
      </c>
      <c r="C867">
        <v>0</v>
      </c>
    </row>
    <row r="868" spans="1:4" ht="15.5" x14ac:dyDescent="0.35">
      <c r="A868" s="2">
        <v>43185</v>
      </c>
      <c r="B868" s="61" t="s">
        <v>632</v>
      </c>
      <c r="C868">
        <v>0</v>
      </c>
    </row>
    <row r="869" spans="1:4" ht="15.5" x14ac:dyDescent="0.35">
      <c r="A869" s="2">
        <v>43185</v>
      </c>
      <c r="B869" s="61" t="s">
        <v>634</v>
      </c>
      <c r="C869">
        <v>0</v>
      </c>
    </row>
    <row r="870" spans="1:4" ht="15.5" x14ac:dyDescent="0.35">
      <c r="A870" s="2">
        <v>43185</v>
      </c>
      <c r="B870" s="61" t="s">
        <v>635</v>
      </c>
      <c r="C870">
        <v>0</v>
      </c>
    </row>
    <row r="871" spans="1:4" ht="15.5" x14ac:dyDescent="0.35">
      <c r="A871" s="2">
        <v>43185</v>
      </c>
      <c r="B871" s="61" t="s">
        <v>636</v>
      </c>
      <c r="C871">
        <v>0</v>
      </c>
    </row>
    <row r="872" spans="1:4" ht="15.5" x14ac:dyDescent="0.35">
      <c r="A872" s="2">
        <v>43185</v>
      </c>
      <c r="B872" s="61" t="s">
        <v>637</v>
      </c>
      <c r="C872">
        <v>2</v>
      </c>
    </row>
    <row r="873" spans="1:4" ht="15.5" x14ac:dyDescent="0.35">
      <c r="A873" s="2">
        <v>43185</v>
      </c>
      <c r="B873" s="61" t="s">
        <v>638</v>
      </c>
      <c r="C873">
        <v>1</v>
      </c>
    </row>
    <row r="874" spans="1:4" ht="15.5" x14ac:dyDescent="0.35">
      <c r="A874" s="2">
        <v>43185</v>
      </c>
      <c r="B874" s="61" t="s">
        <v>639</v>
      </c>
      <c r="C874">
        <v>1</v>
      </c>
    </row>
    <row r="875" spans="1:4" s="4" customFormat="1" ht="15.5" x14ac:dyDescent="0.35">
      <c r="A875" s="3">
        <v>43185</v>
      </c>
      <c r="B875" s="62" t="s">
        <v>20</v>
      </c>
      <c r="C875" s="4">
        <v>307</v>
      </c>
      <c r="D875" s="4">
        <v>1</v>
      </c>
    </row>
    <row r="876" spans="1:4" ht="15.5" x14ac:dyDescent="0.35">
      <c r="A876" s="2">
        <v>43186</v>
      </c>
      <c r="B876" s="61" t="s">
        <v>29</v>
      </c>
      <c r="C876" s="10">
        <v>14</v>
      </c>
    </row>
    <row r="877" spans="1:4" s="4" customFormat="1" ht="15.5" x14ac:dyDescent="0.35">
      <c r="A877" s="3">
        <v>43186</v>
      </c>
      <c r="B877" s="62" t="s">
        <v>38</v>
      </c>
      <c r="C877" s="11">
        <v>2</v>
      </c>
      <c r="D877" s="4">
        <v>2</v>
      </c>
    </row>
    <row r="878" spans="1:4" ht="15.5" x14ac:dyDescent="0.35">
      <c r="A878" s="2">
        <v>43188</v>
      </c>
      <c r="B878" s="61" t="s">
        <v>29</v>
      </c>
      <c r="C878">
        <f>52+125+61</f>
        <v>238</v>
      </c>
      <c r="D878">
        <v>4</v>
      </c>
    </row>
    <row r="879" spans="1:4" s="4" customFormat="1" ht="15.5" x14ac:dyDescent="0.35">
      <c r="A879" s="3">
        <v>43188</v>
      </c>
      <c r="B879" s="62" t="s">
        <v>38</v>
      </c>
      <c r="C879" s="4">
        <f>52+47+82</f>
        <v>181</v>
      </c>
      <c r="D879" s="4">
        <v>9</v>
      </c>
    </row>
    <row r="880" spans="1:4" s="5" customFormat="1" ht="15.5" x14ac:dyDescent="0.35">
      <c r="A880" s="13">
        <v>43192</v>
      </c>
      <c r="B880" s="61" t="s">
        <v>29</v>
      </c>
      <c r="C880" s="10">
        <v>97</v>
      </c>
    </row>
    <row r="881" spans="1:4" s="4" customFormat="1" ht="15.5" x14ac:dyDescent="0.35">
      <c r="A881" s="3">
        <v>43192</v>
      </c>
      <c r="B881" s="62" t="s">
        <v>38</v>
      </c>
      <c r="C881" s="4">
        <v>126</v>
      </c>
      <c r="D881" s="4">
        <v>2</v>
      </c>
    </row>
    <row r="882" spans="1:4" ht="15.5" x14ac:dyDescent="0.35">
      <c r="A882" s="2">
        <v>43193</v>
      </c>
      <c r="B882" s="61" t="s">
        <v>29</v>
      </c>
      <c r="C882" s="10">
        <v>50</v>
      </c>
    </row>
    <row r="883" spans="1:4" ht="15.5" x14ac:dyDescent="0.35">
      <c r="A883" s="2">
        <v>43193</v>
      </c>
      <c r="B883" s="61" t="s">
        <v>610</v>
      </c>
      <c r="C883" s="10">
        <v>0</v>
      </c>
    </row>
    <row r="884" spans="1:4" ht="15.5" x14ac:dyDescent="0.35">
      <c r="A884" s="2">
        <v>43193</v>
      </c>
      <c r="B884" s="61" t="s">
        <v>611</v>
      </c>
      <c r="C884" s="10">
        <v>3</v>
      </c>
    </row>
    <row r="885" spans="1:4" ht="15.5" x14ac:dyDescent="0.35">
      <c r="A885" s="2">
        <v>43193</v>
      </c>
      <c r="B885" s="61" t="s">
        <v>612</v>
      </c>
      <c r="C885" s="10">
        <v>1</v>
      </c>
    </row>
    <row r="886" spans="1:4" ht="15.5" x14ac:dyDescent="0.35">
      <c r="A886" s="2">
        <v>43193</v>
      </c>
      <c r="B886" s="61" t="s">
        <v>38</v>
      </c>
      <c r="C886">
        <v>22</v>
      </c>
      <c r="D886">
        <v>2</v>
      </c>
    </row>
    <row r="887" spans="1:4" ht="15.5" x14ac:dyDescent="0.35">
      <c r="A887" s="2">
        <v>43193</v>
      </c>
      <c r="B887" s="61" t="s">
        <v>614</v>
      </c>
      <c r="C887">
        <v>1</v>
      </c>
    </row>
    <row r="888" spans="1:4" ht="15.5" x14ac:dyDescent="0.35">
      <c r="A888" s="2">
        <v>43193</v>
      </c>
      <c r="B888" s="61" t="s">
        <v>615</v>
      </c>
      <c r="C888">
        <v>2</v>
      </c>
    </row>
    <row r="889" spans="1:4" ht="15.5" x14ac:dyDescent="0.35">
      <c r="A889" s="2">
        <v>43193</v>
      </c>
      <c r="B889" s="61" t="s">
        <v>616</v>
      </c>
      <c r="C889">
        <v>0</v>
      </c>
      <c r="D889">
        <v>1</v>
      </c>
    </row>
    <row r="890" spans="1:4" ht="15.5" x14ac:dyDescent="0.35">
      <c r="A890" s="2">
        <v>43193</v>
      </c>
      <c r="B890" s="61" t="s">
        <v>640</v>
      </c>
      <c r="C890">
        <v>0</v>
      </c>
    </row>
    <row r="891" spans="1:4" ht="15.5" x14ac:dyDescent="0.35">
      <c r="A891" s="2">
        <v>43193</v>
      </c>
      <c r="B891" s="61" t="s">
        <v>641</v>
      </c>
      <c r="C891">
        <v>0</v>
      </c>
    </row>
    <row r="892" spans="1:4" ht="15.5" x14ac:dyDescent="0.35">
      <c r="A892" s="2">
        <v>43193</v>
      </c>
      <c r="B892" s="61" t="s">
        <v>642</v>
      </c>
      <c r="C892">
        <v>0</v>
      </c>
    </row>
    <row r="893" spans="1:4" ht="15.5" x14ac:dyDescent="0.35">
      <c r="A893" s="2">
        <v>43193</v>
      </c>
      <c r="B893" s="61" t="s">
        <v>622</v>
      </c>
      <c r="C893">
        <v>0</v>
      </c>
    </row>
    <row r="894" spans="1:4" ht="15.5" x14ac:dyDescent="0.35">
      <c r="A894" s="2">
        <v>43193</v>
      </c>
      <c r="B894" s="61" t="s">
        <v>623</v>
      </c>
      <c r="C894">
        <v>1</v>
      </c>
    </row>
    <row r="895" spans="1:4" ht="15.5" x14ac:dyDescent="0.35">
      <c r="A895" s="2">
        <v>43193</v>
      </c>
      <c r="B895" s="61" t="s">
        <v>624</v>
      </c>
      <c r="C895">
        <v>0</v>
      </c>
    </row>
    <row r="896" spans="1:4" ht="15.5" x14ac:dyDescent="0.35">
      <c r="A896" s="2">
        <v>43193</v>
      </c>
      <c r="B896" s="61" t="s">
        <v>626</v>
      </c>
      <c r="C896">
        <v>0</v>
      </c>
    </row>
    <row r="897" spans="1:4" ht="15.5" x14ac:dyDescent="0.35">
      <c r="A897" s="2">
        <v>43193</v>
      </c>
      <c r="B897" s="61" t="s">
        <v>627</v>
      </c>
      <c r="C897">
        <v>0</v>
      </c>
    </row>
    <row r="898" spans="1:4" ht="15.5" x14ac:dyDescent="0.35">
      <c r="A898" s="2">
        <v>43193</v>
      </c>
      <c r="B898" s="61" t="s">
        <v>628</v>
      </c>
      <c r="C898">
        <v>0</v>
      </c>
    </row>
    <row r="899" spans="1:4" ht="15.5" x14ac:dyDescent="0.35">
      <c r="A899" s="2">
        <v>43193</v>
      </c>
      <c r="B899" s="61" t="s">
        <v>630</v>
      </c>
      <c r="C899">
        <v>0</v>
      </c>
    </row>
    <row r="900" spans="1:4" ht="15.5" x14ac:dyDescent="0.35">
      <c r="A900" s="2">
        <v>43193</v>
      </c>
      <c r="B900" s="61" t="s">
        <v>631</v>
      </c>
      <c r="C900">
        <v>0</v>
      </c>
    </row>
    <row r="901" spans="1:4" ht="15.5" x14ac:dyDescent="0.35">
      <c r="A901" s="2">
        <v>43193</v>
      </c>
      <c r="B901" s="61" t="s">
        <v>632</v>
      </c>
      <c r="C901">
        <v>0</v>
      </c>
    </row>
    <row r="902" spans="1:4" ht="15.5" x14ac:dyDescent="0.35">
      <c r="A902" s="2">
        <v>43193</v>
      </c>
      <c r="B902" s="61" t="s">
        <v>634</v>
      </c>
      <c r="C902">
        <v>0</v>
      </c>
    </row>
    <row r="903" spans="1:4" ht="15.5" x14ac:dyDescent="0.35">
      <c r="A903" s="2">
        <v>43193</v>
      </c>
      <c r="B903" s="61" t="s">
        <v>635</v>
      </c>
      <c r="C903">
        <v>0</v>
      </c>
    </row>
    <row r="904" spans="1:4" ht="15.5" x14ac:dyDescent="0.35">
      <c r="A904" s="2">
        <v>43193</v>
      </c>
      <c r="B904" s="61" t="s">
        <v>636</v>
      </c>
      <c r="C904">
        <v>0</v>
      </c>
    </row>
    <row r="905" spans="1:4" ht="15.5" x14ac:dyDescent="0.35">
      <c r="A905" s="2">
        <v>43193</v>
      </c>
      <c r="B905" s="61" t="s">
        <v>637</v>
      </c>
      <c r="C905">
        <v>1</v>
      </c>
    </row>
    <row r="906" spans="1:4" ht="15.5" x14ac:dyDescent="0.35">
      <c r="A906" s="2">
        <v>43193</v>
      </c>
      <c r="B906" s="61" t="s">
        <v>638</v>
      </c>
      <c r="C906">
        <v>1</v>
      </c>
    </row>
    <row r="907" spans="1:4" ht="15.5" x14ac:dyDescent="0.35">
      <c r="A907" s="2">
        <v>43193</v>
      </c>
      <c r="B907" s="61" t="s">
        <v>639</v>
      </c>
      <c r="C907">
        <v>1</v>
      </c>
    </row>
    <row r="908" spans="1:4" s="4" customFormat="1" ht="15.5" x14ac:dyDescent="0.35">
      <c r="A908" s="3">
        <v>43193</v>
      </c>
      <c r="B908" s="62" t="s">
        <v>20</v>
      </c>
      <c r="C908" s="4">
        <v>206</v>
      </c>
    </row>
    <row r="909" spans="1:4" ht="15.5" x14ac:dyDescent="0.35">
      <c r="A909" s="2">
        <v>43196</v>
      </c>
      <c r="B909" s="61" t="s">
        <v>29</v>
      </c>
      <c r="C909" s="10">
        <v>49</v>
      </c>
      <c r="D909">
        <v>0</v>
      </c>
    </row>
    <row r="910" spans="1:4" s="4" customFormat="1" ht="15.5" x14ac:dyDescent="0.35">
      <c r="A910" s="3">
        <v>43196</v>
      </c>
      <c r="B910" s="62" t="s">
        <v>38</v>
      </c>
      <c r="C910" s="11">
        <v>72</v>
      </c>
      <c r="D910" s="4">
        <v>4</v>
      </c>
    </row>
    <row r="911" spans="1:4" ht="15.5" x14ac:dyDescent="0.35">
      <c r="A911" s="2">
        <v>43199</v>
      </c>
      <c r="B911" s="61" t="s">
        <v>29</v>
      </c>
      <c r="C911" s="10">
        <v>64</v>
      </c>
      <c r="D911">
        <v>0</v>
      </c>
    </row>
    <row r="912" spans="1:4" ht="15.5" x14ac:dyDescent="0.35">
      <c r="A912" s="2">
        <v>43199</v>
      </c>
      <c r="B912" s="61" t="s">
        <v>610</v>
      </c>
      <c r="C912" s="10">
        <v>2</v>
      </c>
      <c r="D912">
        <v>1</v>
      </c>
    </row>
    <row r="913" spans="1:4" ht="15.5" x14ac:dyDescent="0.35">
      <c r="A913" s="2">
        <v>43199</v>
      </c>
      <c r="B913" s="61" t="s">
        <v>611</v>
      </c>
      <c r="C913">
        <v>0</v>
      </c>
    </row>
    <row r="914" spans="1:4" ht="15.5" x14ac:dyDescent="0.35">
      <c r="A914" s="2">
        <v>43199</v>
      </c>
      <c r="B914" s="61" t="s">
        <v>612</v>
      </c>
      <c r="C914">
        <v>4</v>
      </c>
    </row>
    <row r="915" spans="1:4" ht="15.5" x14ac:dyDescent="0.35">
      <c r="A915" s="2">
        <v>43199</v>
      </c>
      <c r="B915" s="61" t="s">
        <v>38</v>
      </c>
      <c r="C915">
        <v>169</v>
      </c>
      <c r="D915">
        <v>1</v>
      </c>
    </row>
    <row r="916" spans="1:4" ht="15.5" x14ac:dyDescent="0.35">
      <c r="A916" s="2">
        <v>43199</v>
      </c>
      <c r="B916" s="61" t="s">
        <v>614</v>
      </c>
      <c r="C916">
        <v>0</v>
      </c>
    </row>
    <row r="917" spans="1:4" ht="15.5" x14ac:dyDescent="0.35">
      <c r="A917" s="2">
        <v>43199</v>
      </c>
      <c r="B917" s="61" t="s">
        <v>615</v>
      </c>
      <c r="C917">
        <v>1</v>
      </c>
    </row>
    <row r="918" spans="1:4" ht="15.5" x14ac:dyDescent="0.35">
      <c r="A918" s="2">
        <v>43199</v>
      </c>
      <c r="B918" s="61" t="s">
        <v>616</v>
      </c>
      <c r="C918">
        <v>4</v>
      </c>
      <c r="D918">
        <v>2</v>
      </c>
    </row>
    <row r="919" spans="1:4" ht="15.5" x14ac:dyDescent="0.35">
      <c r="A919" s="2">
        <v>43199</v>
      </c>
      <c r="B919" s="61" t="s">
        <v>640</v>
      </c>
      <c r="C919">
        <v>0</v>
      </c>
    </row>
    <row r="920" spans="1:4" ht="15.5" x14ac:dyDescent="0.35">
      <c r="A920" s="2">
        <v>43199</v>
      </c>
      <c r="B920" s="61" t="s">
        <v>641</v>
      </c>
      <c r="C920">
        <v>0</v>
      </c>
    </row>
    <row r="921" spans="1:4" ht="15.5" x14ac:dyDescent="0.35">
      <c r="A921" s="2">
        <v>43199</v>
      </c>
      <c r="B921" s="61" t="s">
        <v>642</v>
      </c>
      <c r="C921">
        <v>0</v>
      </c>
    </row>
    <row r="922" spans="1:4" ht="15.5" x14ac:dyDescent="0.35">
      <c r="A922" s="2">
        <v>43199</v>
      </c>
      <c r="B922" s="61" t="s">
        <v>622</v>
      </c>
      <c r="C922">
        <v>2</v>
      </c>
    </row>
    <row r="923" spans="1:4" ht="15.5" x14ac:dyDescent="0.35">
      <c r="A923" s="2">
        <v>43199</v>
      </c>
      <c r="B923" s="61" t="s">
        <v>623</v>
      </c>
      <c r="C923">
        <v>0</v>
      </c>
    </row>
    <row r="924" spans="1:4" ht="15.5" x14ac:dyDescent="0.35">
      <c r="A924" s="2">
        <v>43199</v>
      </c>
      <c r="B924" s="61" t="s">
        <v>624</v>
      </c>
      <c r="C924">
        <v>0</v>
      </c>
    </row>
    <row r="925" spans="1:4" ht="15.5" x14ac:dyDescent="0.35">
      <c r="A925" s="2">
        <v>43199</v>
      </c>
      <c r="B925" s="61" t="s">
        <v>626</v>
      </c>
      <c r="C925">
        <v>0</v>
      </c>
    </row>
    <row r="926" spans="1:4" ht="15.5" x14ac:dyDescent="0.35">
      <c r="A926" s="2">
        <v>43199</v>
      </c>
      <c r="B926" s="61" t="s">
        <v>627</v>
      </c>
      <c r="C926">
        <v>1</v>
      </c>
    </row>
    <row r="927" spans="1:4" ht="15.5" x14ac:dyDescent="0.35">
      <c r="A927" s="2">
        <v>43199</v>
      </c>
      <c r="B927" s="61" t="s">
        <v>628</v>
      </c>
      <c r="C927">
        <v>0</v>
      </c>
    </row>
    <row r="928" spans="1:4" ht="15.5" x14ac:dyDescent="0.35">
      <c r="A928" s="2">
        <v>43199</v>
      </c>
      <c r="B928" s="61" t="s">
        <v>630</v>
      </c>
      <c r="C928">
        <v>0</v>
      </c>
    </row>
    <row r="929" spans="1:4" ht="15.5" x14ac:dyDescent="0.35">
      <c r="A929" s="2">
        <v>43199</v>
      </c>
      <c r="B929" s="61" t="s">
        <v>631</v>
      </c>
      <c r="C929">
        <v>1</v>
      </c>
    </row>
    <row r="930" spans="1:4" ht="15.5" x14ac:dyDescent="0.35">
      <c r="A930" s="2">
        <v>43199</v>
      </c>
      <c r="B930" s="61" t="s">
        <v>632</v>
      </c>
      <c r="C930">
        <v>1</v>
      </c>
    </row>
    <row r="931" spans="1:4" ht="15.5" x14ac:dyDescent="0.35">
      <c r="A931" s="2">
        <v>43199</v>
      </c>
      <c r="B931" s="61" t="s">
        <v>634</v>
      </c>
      <c r="C931">
        <v>3</v>
      </c>
    </row>
    <row r="932" spans="1:4" ht="15.5" x14ac:dyDescent="0.35">
      <c r="A932" s="2">
        <v>43199</v>
      </c>
      <c r="B932" s="61" t="s">
        <v>635</v>
      </c>
      <c r="C932">
        <v>1</v>
      </c>
    </row>
    <row r="933" spans="1:4" ht="15.5" x14ac:dyDescent="0.35">
      <c r="A933" s="2">
        <v>43199</v>
      </c>
      <c r="B933" s="61" t="s">
        <v>636</v>
      </c>
      <c r="C933">
        <v>1</v>
      </c>
    </row>
    <row r="934" spans="1:4" ht="15.5" x14ac:dyDescent="0.35">
      <c r="A934" s="2">
        <v>43199</v>
      </c>
      <c r="B934" s="61" t="s">
        <v>637</v>
      </c>
      <c r="C934">
        <v>2</v>
      </c>
      <c r="D934">
        <v>0</v>
      </c>
    </row>
    <row r="935" spans="1:4" ht="15.5" x14ac:dyDescent="0.35">
      <c r="A935" s="2">
        <v>43199</v>
      </c>
      <c r="B935" s="61" t="s">
        <v>638</v>
      </c>
      <c r="D935">
        <v>1</v>
      </c>
    </row>
    <row r="936" spans="1:4" ht="15.5" x14ac:dyDescent="0.35">
      <c r="A936" s="2">
        <v>43199</v>
      </c>
      <c r="B936" s="61" t="s">
        <v>639</v>
      </c>
      <c r="C936">
        <v>2</v>
      </c>
      <c r="D936">
        <v>1</v>
      </c>
    </row>
    <row r="937" spans="1:4" s="4" customFormat="1" ht="15.5" x14ac:dyDescent="0.35">
      <c r="A937" s="3">
        <v>43199</v>
      </c>
      <c r="B937" s="62" t="s">
        <v>20</v>
      </c>
      <c r="C937" s="4">
        <v>98</v>
      </c>
    </row>
    <row r="938" spans="1:4" ht="15.5" x14ac:dyDescent="0.35">
      <c r="A938" s="2">
        <v>43200</v>
      </c>
      <c r="B938" s="61" t="s">
        <v>29</v>
      </c>
      <c r="C938">
        <v>146</v>
      </c>
    </row>
    <row r="939" spans="1:4" s="4" customFormat="1" ht="15.5" x14ac:dyDescent="0.35">
      <c r="A939" s="3">
        <v>43200</v>
      </c>
      <c r="B939" s="62" t="s">
        <v>38</v>
      </c>
      <c r="C939" s="4">
        <v>1429</v>
      </c>
      <c r="D939" s="4">
        <v>1</v>
      </c>
    </row>
    <row r="940" spans="1:4" ht="15.5" x14ac:dyDescent="0.35">
      <c r="A940" s="2">
        <v>43201</v>
      </c>
      <c r="B940" s="61" t="s">
        <v>29</v>
      </c>
      <c r="C940">
        <v>318</v>
      </c>
      <c r="D940">
        <v>0</v>
      </c>
    </row>
    <row r="941" spans="1:4" s="4" customFormat="1" ht="15.5" x14ac:dyDescent="0.35">
      <c r="A941" s="3">
        <v>43201</v>
      </c>
      <c r="B941" s="62" t="s">
        <v>38</v>
      </c>
      <c r="C941" s="4">
        <v>470</v>
      </c>
      <c r="D941" s="4">
        <v>2</v>
      </c>
    </row>
    <row r="942" spans="1:4" ht="15.5" x14ac:dyDescent="0.35">
      <c r="A942" s="2">
        <v>43203</v>
      </c>
      <c r="B942" s="61" t="s">
        <v>29</v>
      </c>
      <c r="C942" s="10">
        <v>582</v>
      </c>
      <c r="D942" s="10">
        <v>1</v>
      </c>
    </row>
    <row r="943" spans="1:4" s="4" customFormat="1" ht="15.5" x14ac:dyDescent="0.35">
      <c r="A943" s="3">
        <v>43203</v>
      </c>
      <c r="B943" s="62" t="s">
        <v>38</v>
      </c>
      <c r="C943" s="4">
        <v>512</v>
      </c>
    </row>
    <row r="944" spans="1:4" ht="15.5" x14ac:dyDescent="0.35">
      <c r="A944" s="2">
        <v>43206</v>
      </c>
      <c r="B944" s="61" t="s">
        <v>29</v>
      </c>
      <c r="C944" s="10">
        <v>1325</v>
      </c>
    </row>
    <row r="945" spans="1:7" ht="15.5" x14ac:dyDescent="0.35">
      <c r="A945" s="2">
        <v>43206</v>
      </c>
      <c r="B945" s="61" t="s">
        <v>610</v>
      </c>
      <c r="C945">
        <v>8</v>
      </c>
    </row>
    <row r="946" spans="1:7" ht="15.5" x14ac:dyDescent="0.35">
      <c r="A946" s="2">
        <v>43206</v>
      </c>
      <c r="B946" s="61" t="s">
        <v>611</v>
      </c>
      <c r="C946">
        <v>20</v>
      </c>
    </row>
    <row r="947" spans="1:7" ht="15.5" x14ac:dyDescent="0.35">
      <c r="A947" s="2">
        <v>43206</v>
      </c>
      <c r="B947" s="61" t="s">
        <v>612</v>
      </c>
      <c r="C947">
        <v>10</v>
      </c>
      <c r="D947">
        <v>1</v>
      </c>
      <c r="G947">
        <v>1</v>
      </c>
    </row>
    <row r="948" spans="1:7" ht="15.5" x14ac:dyDescent="0.35">
      <c r="A948" s="2">
        <v>43206</v>
      </c>
      <c r="B948" s="61" t="s">
        <v>38</v>
      </c>
      <c r="C948">
        <v>980</v>
      </c>
    </row>
    <row r="949" spans="1:7" ht="15.5" x14ac:dyDescent="0.35">
      <c r="A949" s="2">
        <v>43206</v>
      </c>
      <c r="B949" s="61" t="s">
        <v>614</v>
      </c>
      <c r="C949">
        <v>9</v>
      </c>
      <c r="D949">
        <v>1</v>
      </c>
    </row>
    <row r="950" spans="1:7" ht="15.5" x14ac:dyDescent="0.35">
      <c r="A950" s="2">
        <v>43206</v>
      </c>
      <c r="B950" s="61" t="s">
        <v>615</v>
      </c>
      <c r="C950">
        <v>4</v>
      </c>
      <c r="D950">
        <v>1</v>
      </c>
    </row>
    <row r="951" spans="1:7" ht="15.5" x14ac:dyDescent="0.35">
      <c r="A951" s="2">
        <v>43206</v>
      </c>
      <c r="B951" s="61" t="s">
        <v>616</v>
      </c>
      <c r="C951">
        <v>10</v>
      </c>
      <c r="D951">
        <v>3</v>
      </c>
    </row>
    <row r="952" spans="1:7" ht="15.5" x14ac:dyDescent="0.35">
      <c r="A952" s="2">
        <v>43206</v>
      </c>
      <c r="B952" s="61" t="s">
        <v>640</v>
      </c>
      <c r="C952">
        <v>0</v>
      </c>
    </row>
    <row r="953" spans="1:7" ht="15.5" x14ac:dyDescent="0.35">
      <c r="A953" s="2">
        <v>43206</v>
      </c>
      <c r="B953" s="61" t="s">
        <v>641</v>
      </c>
      <c r="C953">
        <v>1</v>
      </c>
    </row>
    <row r="954" spans="1:7" ht="15.5" x14ac:dyDescent="0.35">
      <c r="A954" s="2">
        <v>43206</v>
      </c>
      <c r="B954" s="61" t="s">
        <v>642</v>
      </c>
      <c r="C954">
        <v>1</v>
      </c>
    </row>
    <row r="955" spans="1:7" ht="15.5" x14ac:dyDescent="0.35">
      <c r="A955" s="2">
        <v>43206</v>
      </c>
      <c r="B955" s="61" t="s">
        <v>622</v>
      </c>
      <c r="C955">
        <v>2</v>
      </c>
    </row>
    <row r="956" spans="1:7" ht="15.5" x14ac:dyDescent="0.35">
      <c r="A956" s="2">
        <v>43206</v>
      </c>
      <c r="B956" s="61" t="s">
        <v>623</v>
      </c>
      <c r="C956">
        <v>2</v>
      </c>
    </row>
    <row r="957" spans="1:7" ht="15.5" x14ac:dyDescent="0.35">
      <c r="A957" s="2">
        <v>43206</v>
      </c>
      <c r="B957" s="61" t="s">
        <v>624</v>
      </c>
      <c r="C957">
        <v>3</v>
      </c>
    </row>
    <row r="958" spans="1:7" ht="15.5" x14ac:dyDescent="0.35">
      <c r="A958" s="2">
        <v>43206</v>
      </c>
      <c r="B958" s="61" t="s">
        <v>626</v>
      </c>
      <c r="C958">
        <v>0</v>
      </c>
    </row>
    <row r="959" spans="1:7" ht="15.5" x14ac:dyDescent="0.35">
      <c r="A959" s="2">
        <v>43206</v>
      </c>
      <c r="B959" s="61" t="s">
        <v>627</v>
      </c>
      <c r="C959">
        <v>0</v>
      </c>
    </row>
    <row r="960" spans="1:7" ht="15.5" x14ac:dyDescent="0.35">
      <c r="A960" s="2">
        <v>43206</v>
      </c>
      <c r="B960" s="61" t="s">
        <v>628</v>
      </c>
      <c r="C960">
        <v>1</v>
      </c>
    </row>
    <row r="961" spans="1:4" ht="15.5" x14ac:dyDescent="0.35">
      <c r="A961" s="2">
        <v>43206</v>
      </c>
      <c r="B961" s="61" t="s">
        <v>630</v>
      </c>
      <c r="C961">
        <v>2</v>
      </c>
      <c r="D961">
        <v>1</v>
      </c>
    </row>
    <row r="962" spans="1:4" ht="15.5" x14ac:dyDescent="0.35">
      <c r="A962" s="2">
        <v>43206</v>
      </c>
      <c r="B962" s="61" t="s">
        <v>631</v>
      </c>
      <c r="C962">
        <v>2</v>
      </c>
    </row>
    <row r="963" spans="1:4" ht="15.5" x14ac:dyDescent="0.35">
      <c r="A963" s="2">
        <v>43206</v>
      </c>
      <c r="B963" s="61" t="s">
        <v>632</v>
      </c>
      <c r="C963">
        <v>2</v>
      </c>
    </row>
    <row r="964" spans="1:4" ht="15.5" x14ac:dyDescent="0.35">
      <c r="A964" s="2">
        <v>43206</v>
      </c>
      <c r="B964" s="61" t="s">
        <v>634</v>
      </c>
      <c r="C964">
        <v>1</v>
      </c>
    </row>
    <row r="965" spans="1:4" ht="15.5" x14ac:dyDescent="0.35">
      <c r="A965" s="2">
        <v>43206</v>
      </c>
      <c r="B965" s="61" t="s">
        <v>635</v>
      </c>
      <c r="C965">
        <v>0</v>
      </c>
    </row>
    <row r="966" spans="1:4" ht="15.5" x14ac:dyDescent="0.35">
      <c r="A966" s="2">
        <v>43206</v>
      </c>
      <c r="B966" s="61" t="s">
        <v>636</v>
      </c>
      <c r="C966">
        <v>0</v>
      </c>
    </row>
    <row r="967" spans="1:4" ht="15.5" x14ac:dyDescent="0.35">
      <c r="A967" s="2">
        <v>43206</v>
      </c>
      <c r="B967" s="61" t="s">
        <v>637</v>
      </c>
      <c r="C967">
        <v>1</v>
      </c>
      <c r="D967">
        <v>1</v>
      </c>
    </row>
    <row r="968" spans="1:4" ht="15.5" x14ac:dyDescent="0.35">
      <c r="A968" s="2">
        <v>43206</v>
      </c>
      <c r="B968" s="61" t="s">
        <v>638</v>
      </c>
      <c r="C968">
        <v>0</v>
      </c>
    </row>
    <row r="969" spans="1:4" ht="15.5" x14ac:dyDescent="0.35">
      <c r="A969" s="2">
        <v>43206</v>
      </c>
      <c r="B969" s="61" t="s">
        <v>639</v>
      </c>
      <c r="C969">
        <v>0</v>
      </c>
    </row>
    <row r="970" spans="1:4" s="4" customFormat="1" ht="15.5" x14ac:dyDescent="0.35">
      <c r="A970" s="3">
        <v>43207</v>
      </c>
      <c r="B970" s="62" t="s">
        <v>20</v>
      </c>
      <c r="C970" s="4">
        <v>176</v>
      </c>
      <c r="D970" s="4">
        <v>1</v>
      </c>
    </row>
    <row r="971" spans="1:4" s="5" customFormat="1" ht="15.5" x14ac:dyDescent="0.35">
      <c r="A971" s="13">
        <v>43210</v>
      </c>
      <c r="B971" s="61" t="s">
        <v>29</v>
      </c>
      <c r="C971" s="34">
        <f>(425/0.27062)-11</f>
        <v>1559.4678146478454</v>
      </c>
    </row>
    <row r="972" spans="1:4" s="4" customFormat="1" ht="15.5" x14ac:dyDescent="0.35">
      <c r="A972" s="3">
        <v>43210</v>
      </c>
      <c r="B972" s="62" t="s">
        <v>38</v>
      </c>
      <c r="C972" s="6">
        <f>(262/0.27062)-9</f>
        <v>959.14721750055423</v>
      </c>
      <c r="D972" s="4">
        <v>1</v>
      </c>
    </row>
    <row r="973" spans="1:4" ht="15.5" x14ac:dyDescent="0.35">
      <c r="A973" s="2">
        <v>43213</v>
      </c>
      <c r="B973" s="61" t="s">
        <v>29</v>
      </c>
      <c r="C973" s="8">
        <f>(1657/0.26742) +50</f>
        <v>6246.2456061625908</v>
      </c>
      <c r="D973">
        <v>4</v>
      </c>
    </row>
    <row r="974" spans="1:4" ht="15.5" x14ac:dyDescent="0.35">
      <c r="A974" s="2">
        <v>43213</v>
      </c>
      <c r="B974" s="61" t="s">
        <v>610</v>
      </c>
      <c r="C974" s="23">
        <v>35</v>
      </c>
      <c r="D974">
        <v>1</v>
      </c>
    </row>
    <row r="975" spans="1:4" ht="15.5" x14ac:dyDescent="0.35">
      <c r="A975" s="2">
        <v>43213</v>
      </c>
      <c r="B975" s="61" t="s">
        <v>611</v>
      </c>
      <c r="C975" s="23">
        <v>25</v>
      </c>
      <c r="D975">
        <v>1</v>
      </c>
    </row>
    <row r="976" spans="1:4" ht="15.5" x14ac:dyDescent="0.35">
      <c r="A976" s="2">
        <v>43213</v>
      </c>
      <c r="B976" s="61" t="s">
        <v>612</v>
      </c>
      <c r="C976" s="23">
        <v>11</v>
      </c>
      <c r="D976">
        <v>2</v>
      </c>
    </row>
    <row r="977" spans="1:4" ht="15.5" x14ac:dyDescent="0.35">
      <c r="A977" s="2">
        <v>43213</v>
      </c>
      <c r="B977" s="61" t="s">
        <v>38</v>
      </c>
      <c r="C977" s="8">
        <f>(1278/0.24688)+96</f>
        <v>5272.6040181464678</v>
      </c>
      <c r="D977">
        <v>7</v>
      </c>
    </row>
    <row r="978" spans="1:4" ht="15.5" x14ac:dyDescent="0.35">
      <c r="A978" s="2">
        <v>43213</v>
      </c>
      <c r="B978" s="61" t="s">
        <v>614</v>
      </c>
      <c r="C978" s="23">
        <v>60</v>
      </c>
      <c r="D978">
        <v>2</v>
      </c>
    </row>
    <row r="979" spans="1:4" ht="15.5" x14ac:dyDescent="0.35">
      <c r="A979" s="2">
        <v>43213</v>
      </c>
      <c r="B979" s="61" t="s">
        <v>615</v>
      </c>
      <c r="C979" s="23">
        <v>50</v>
      </c>
      <c r="D979">
        <v>2</v>
      </c>
    </row>
    <row r="980" spans="1:4" ht="15.5" x14ac:dyDescent="0.35">
      <c r="A980" s="2">
        <v>43213</v>
      </c>
      <c r="B980" s="61" t="s">
        <v>616</v>
      </c>
      <c r="C980" s="23">
        <v>43</v>
      </c>
    </row>
    <row r="981" spans="1:4" ht="15.5" x14ac:dyDescent="0.35">
      <c r="A981" s="2">
        <v>43213</v>
      </c>
      <c r="B981" s="61" t="s">
        <v>640</v>
      </c>
      <c r="C981">
        <v>9</v>
      </c>
    </row>
    <row r="982" spans="1:4" ht="15.5" x14ac:dyDescent="0.35">
      <c r="A982" s="2">
        <v>43213</v>
      </c>
      <c r="B982" s="61" t="s">
        <v>641</v>
      </c>
      <c r="C982">
        <v>5</v>
      </c>
    </row>
    <row r="983" spans="1:4" ht="15.5" x14ac:dyDescent="0.35">
      <c r="A983" s="2">
        <v>43213</v>
      </c>
      <c r="B983" s="61" t="s">
        <v>642</v>
      </c>
    </row>
    <row r="984" spans="1:4" ht="15.5" x14ac:dyDescent="0.35">
      <c r="A984" s="2">
        <v>43213</v>
      </c>
      <c r="B984" s="61" t="s">
        <v>622</v>
      </c>
      <c r="C984">
        <v>7</v>
      </c>
    </row>
    <row r="985" spans="1:4" ht="15.5" x14ac:dyDescent="0.35">
      <c r="A985" s="2">
        <v>43213</v>
      </c>
      <c r="B985" s="61" t="s">
        <v>623</v>
      </c>
    </row>
    <row r="986" spans="1:4" ht="15.5" x14ac:dyDescent="0.35">
      <c r="A986" s="2">
        <v>43213</v>
      </c>
      <c r="B986" s="61" t="s">
        <v>624</v>
      </c>
      <c r="C986">
        <v>5</v>
      </c>
    </row>
    <row r="987" spans="1:4" ht="15.5" x14ac:dyDescent="0.35">
      <c r="A987" s="2">
        <v>43213</v>
      </c>
      <c r="B987" s="61" t="s">
        <v>626</v>
      </c>
      <c r="C987">
        <v>1</v>
      </c>
    </row>
    <row r="988" spans="1:4" ht="15.5" x14ac:dyDescent="0.35">
      <c r="A988" s="2">
        <v>43213</v>
      </c>
      <c r="B988" s="61" t="s">
        <v>627</v>
      </c>
      <c r="C988">
        <v>2</v>
      </c>
    </row>
    <row r="989" spans="1:4" ht="15.5" x14ac:dyDescent="0.35">
      <c r="A989" s="2">
        <v>43213</v>
      </c>
      <c r="B989" s="61" t="s">
        <v>628</v>
      </c>
      <c r="C989">
        <v>3</v>
      </c>
    </row>
    <row r="990" spans="1:4" ht="15.5" x14ac:dyDescent="0.35">
      <c r="A990" s="2">
        <v>43213</v>
      </c>
      <c r="B990" s="61" t="s">
        <v>630</v>
      </c>
      <c r="C990">
        <v>10</v>
      </c>
      <c r="D990">
        <v>1</v>
      </c>
    </row>
    <row r="991" spans="1:4" ht="15.5" x14ac:dyDescent="0.35">
      <c r="A991" s="2">
        <v>43213</v>
      </c>
      <c r="B991" s="61" t="s">
        <v>631</v>
      </c>
      <c r="C991">
        <v>8</v>
      </c>
    </row>
    <row r="992" spans="1:4" ht="15.5" x14ac:dyDescent="0.35">
      <c r="A992" s="2">
        <v>43213</v>
      </c>
      <c r="B992" s="61" t="s">
        <v>632</v>
      </c>
      <c r="C992">
        <v>7</v>
      </c>
      <c r="D992">
        <v>1</v>
      </c>
    </row>
    <row r="993" spans="1:4" ht="15.5" x14ac:dyDescent="0.35">
      <c r="A993" s="2">
        <v>43213</v>
      </c>
      <c r="B993" s="61" t="s">
        <v>634</v>
      </c>
      <c r="C993">
        <v>2</v>
      </c>
      <c r="D993">
        <v>1</v>
      </c>
    </row>
    <row r="994" spans="1:4" ht="15.5" x14ac:dyDescent="0.35">
      <c r="A994" s="2">
        <v>43213</v>
      </c>
      <c r="B994" s="61" t="s">
        <v>635</v>
      </c>
      <c r="C994">
        <v>2</v>
      </c>
    </row>
    <row r="995" spans="1:4" ht="15.5" x14ac:dyDescent="0.35">
      <c r="A995" s="2">
        <v>43213</v>
      </c>
      <c r="B995" s="61" t="s">
        <v>636</v>
      </c>
      <c r="C995">
        <v>0</v>
      </c>
      <c r="D995">
        <v>2</v>
      </c>
    </row>
    <row r="996" spans="1:4" ht="15.5" x14ac:dyDescent="0.35">
      <c r="A996" s="2">
        <v>43213</v>
      </c>
      <c r="B996" s="61" t="s">
        <v>637</v>
      </c>
      <c r="C996">
        <v>2</v>
      </c>
    </row>
    <row r="997" spans="1:4" ht="15.5" x14ac:dyDescent="0.35">
      <c r="A997" s="2">
        <v>43213</v>
      </c>
      <c r="B997" s="61" t="s">
        <v>638</v>
      </c>
      <c r="C997">
        <v>2</v>
      </c>
      <c r="D997">
        <v>1</v>
      </c>
    </row>
    <row r="998" spans="1:4" ht="15.5" x14ac:dyDescent="0.35">
      <c r="A998" s="2">
        <v>43213</v>
      </c>
      <c r="B998" s="61" t="s">
        <v>639</v>
      </c>
      <c r="C998">
        <v>0</v>
      </c>
      <c r="D998">
        <v>1</v>
      </c>
    </row>
    <row r="999" spans="1:4" s="4" customFormat="1" ht="15.5" x14ac:dyDescent="0.35">
      <c r="A999" s="3">
        <v>43214</v>
      </c>
      <c r="B999" s="62" t="s">
        <v>20</v>
      </c>
      <c r="C999" s="4">
        <v>123</v>
      </c>
    </row>
    <row r="1000" spans="1:4" x14ac:dyDescent="0.35">
      <c r="A1000" s="2">
        <v>43214</v>
      </c>
      <c r="B1000" s="60" t="s">
        <v>29</v>
      </c>
      <c r="C1000" s="10">
        <v>1082</v>
      </c>
      <c r="D1000" s="10">
        <v>2</v>
      </c>
    </row>
    <row r="1001" spans="1:4" s="4" customFormat="1" x14ac:dyDescent="0.35">
      <c r="A1001" s="3">
        <v>43214</v>
      </c>
      <c r="B1001" s="76" t="s">
        <v>38</v>
      </c>
      <c r="C1001" s="11">
        <v>1774</v>
      </c>
    </row>
    <row r="1002" spans="1:4" x14ac:dyDescent="0.35">
      <c r="A1002" s="2">
        <v>43215</v>
      </c>
      <c r="B1002" s="60" t="s">
        <v>29</v>
      </c>
      <c r="C1002" s="8">
        <f>(168.1/0.27181)-11</f>
        <v>607.44670909826721</v>
      </c>
      <c r="D1002" s="10">
        <v>1</v>
      </c>
    </row>
    <row r="1003" spans="1:4" s="4" customFormat="1" x14ac:dyDescent="0.35">
      <c r="A1003" s="3">
        <v>43215</v>
      </c>
      <c r="B1003" s="76" t="s">
        <v>38</v>
      </c>
      <c r="C1003" s="6">
        <f>(751/0.27181)-44</f>
        <v>2718.9594201832165</v>
      </c>
      <c r="D1003" s="4">
        <v>1</v>
      </c>
    </row>
    <row r="1004" spans="1:4" x14ac:dyDescent="0.35">
      <c r="A1004" s="2">
        <v>43216</v>
      </c>
      <c r="B1004" s="60" t="s">
        <v>29</v>
      </c>
      <c r="C1004" s="8">
        <f>(107/0.27181)-21</f>
        <v>372.65733416724919</v>
      </c>
      <c r="D1004" s="10">
        <v>1</v>
      </c>
    </row>
    <row r="1005" spans="1:4" s="4" customFormat="1" x14ac:dyDescent="0.35">
      <c r="A1005" s="3">
        <v>43216</v>
      </c>
      <c r="B1005" s="76" t="s">
        <v>38</v>
      </c>
      <c r="C1005" s="6">
        <f>(370/0.27181)-30</f>
        <v>1331.2449873073103</v>
      </c>
      <c r="D1005" s="4">
        <v>3</v>
      </c>
    </row>
    <row r="1006" spans="1:4" x14ac:dyDescent="0.35">
      <c r="A1006" s="2">
        <v>43217</v>
      </c>
      <c r="B1006" s="60" t="s">
        <v>29</v>
      </c>
      <c r="C1006" s="8">
        <f>(60/0.27181)-5</f>
        <v>215.74243037415843</v>
      </c>
    </row>
    <row r="1007" spans="1:4" s="4" customFormat="1" x14ac:dyDescent="0.35">
      <c r="A1007" s="3">
        <v>43217</v>
      </c>
      <c r="B1007" s="76" t="s">
        <v>38</v>
      </c>
      <c r="C1007" s="6">
        <f>(102/0.27181)-7</f>
        <v>368.26213163606934</v>
      </c>
    </row>
    <row r="1008" spans="1:4" ht="15.5" x14ac:dyDescent="0.35">
      <c r="A1008" s="2">
        <v>43222</v>
      </c>
      <c r="B1008" s="61" t="s">
        <v>29</v>
      </c>
      <c r="C1008" s="8">
        <f>(136/0.2695849)-21+73</f>
        <v>556.47929390704007</v>
      </c>
      <c r="D1008" s="10">
        <v>2</v>
      </c>
    </row>
    <row r="1009" spans="1:4" ht="15.5" x14ac:dyDescent="0.35">
      <c r="A1009" s="2">
        <v>43222</v>
      </c>
      <c r="B1009" s="61" t="s">
        <v>610</v>
      </c>
      <c r="C1009">
        <v>16</v>
      </c>
      <c r="D1009">
        <v>1</v>
      </c>
    </row>
    <row r="1010" spans="1:4" ht="15.5" x14ac:dyDescent="0.35">
      <c r="A1010" s="2">
        <v>43222</v>
      </c>
      <c r="B1010" s="61" t="s">
        <v>611</v>
      </c>
      <c r="C1010">
        <v>10</v>
      </c>
    </row>
    <row r="1011" spans="1:4" ht="15.5" x14ac:dyDescent="0.35">
      <c r="A1011" s="2">
        <v>43222</v>
      </c>
      <c r="B1011" s="61" t="s">
        <v>612</v>
      </c>
      <c r="C1011">
        <v>8</v>
      </c>
    </row>
    <row r="1012" spans="1:4" ht="15.5" x14ac:dyDescent="0.35">
      <c r="A1012" s="2">
        <v>43222</v>
      </c>
      <c r="B1012" s="61" t="s">
        <v>38</v>
      </c>
      <c r="C1012" s="8">
        <f>(695/0.30326)-32+129</f>
        <v>2388.7628437644266</v>
      </c>
    </row>
    <row r="1013" spans="1:4" ht="15.5" x14ac:dyDescent="0.35">
      <c r="A1013" s="2">
        <v>43222</v>
      </c>
      <c r="B1013" s="61" t="s">
        <v>614</v>
      </c>
      <c r="C1013">
        <v>31</v>
      </c>
      <c r="D1013">
        <v>1</v>
      </c>
    </row>
    <row r="1014" spans="1:4" ht="15.5" x14ac:dyDescent="0.35">
      <c r="A1014" s="2">
        <v>43222</v>
      </c>
      <c r="B1014" s="61" t="s">
        <v>615</v>
      </c>
      <c r="C1014">
        <v>33</v>
      </c>
    </row>
    <row r="1015" spans="1:4" ht="15.5" x14ac:dyDescent="0.35">
      <c r="A1015" s="2">
        <v>43222</v>
      </c>
      <c r="B1015" s="61" t="s">
        <v>616</v>
      </c>
      <c r="C1015">
        <v>4</v>
      </c>
    </row>
    <row r="1016" spans="1:4" ht="15.5" x14ac:dyDescent="0.35">
      <c r="A1016" s="2">
        <v>43222</v>
      </c>
      <c r="B1016" s="61" t="s">
        <v>640</v>
      </c>
      <c r="C1016">
        <v>3</v>
      </c>
      <c r="D1016">
        <v>1</v>
      </c>
    </row>
    <row r="1017" spans="1:4" ht="15.5" x14ac:dyDescent="0.35">
      <c r="A1017" s="2">
        <v>43222</v>
      </c>
      <c r="B1017" s="61" t="s">
        <v>641</v>
      </c>
      <c r="C1017">
        <v>0</v>
      </c>
      <c r="D1017">
        <v>1</v>
      </c>
    </row>
    <row r="1018" spans="1:4" ht="15.5" x14ac:dyDescent="0.35">
      <c r="A1018" s="2">
        <v>43222</v>
      </c>
      <c r="B1018" s="61" t="s">
        <v>642</v>
      </c>
      <c r="C1018">
        <v>5</v>
      </c>
      <c r="D1018">
        <v>1</v>
      </c>
    </row>
    <row r="1019" spans="1:4" ht="15.5" x14ac:dyDescent="0.35">
      <c r="A1019" s="2">
        <v>43222</v>
      </c>
      <c r="B1019" s="61" t="s">
        <v>622</v>
      </c>
      <c r="C1019">
        <v>10</v>
      </c>
      <c r="D1019">
        <v>1</v>
      </c>
    </row>
    <row r="1020" spans="1:4" ht="15.5" x14ac:dyDescent="0.35">
      <c r="A1020" s="2">
        <v>43222</v>
      </c>
      <c r="B1020" s="61" t="s">
        <v>623</v>
      </c>
      <c r="C1020">
        <v>6</v>
      </c>
    </row>
    <row r="1021" spans="1:4" ht="15.5" x14ac:dyDescent="0.35">
      <c r="A1021" s="2">
        <v>43222</v>
      </c>
      <c r="B1021" s="61" t="s">
        <v>624</v>
      </c>
      <c r="C1021">
        <v>10</v>
      </c>
      <c r="D1021">
        <v>1</v>
      </c>
    </row>
    <row r="1022" spans="1:4" ht="15.5" x14ac:dyDescent="0.35">
      <c r="A1022" s="2">
        <v>43222</v>
      </c>
      <c r="B1022" s="61" t="s">
        <v>626</v>
      </c>
      <c r="C1022">
        <v>0</v>
      </c>
      <c r="D1022">
        <v>1</v>
      </c>
    </row>
    <row r="1023" spans="1:4" ht="15.5" x14ac:dyDescent="0.35">
      <c r="A1023" s="2">
        <v>43222</v>
      </c>
      <c r="B1023" s="61" t="s">
        <v>627</v>
      </c>
      <c r="C1023">
        <v>7</v>
      </c>
    </row>
    <row r="1024" spans="1:4" ht="15.5" x14ac:dyDescent="0.35">
      <c r="A1024" s="2">
        <v>43222</v>
      </c>
      <c r="B1024" s="61" t="s">
        <v>628</v>
      </c>
      <c r="C1024">
        <v>1</v>
      </c>
      <c r="D1024">
        <v>1</v>
      </c>
    </row>
    <row r="1025" spans="1:4" ht="15.5" x14ac:dyDescent="0.35">
      <c r="A1025" s="2">
        <v>43222</v>
      </c>
      <c r="B1025" s="61" t="s">
        <v>630</v>
      </c>
      <c r="C1025">
        <v>9</v>
      </c>
    </row>
    <row r="1026" spans="1:4" ht="15.5" x14ac:dyDescent="0.35">
      <c r="A1026" s="2">
        <v>43222</v>
      </c>
      <c r="B1026" s="61" t="s">
        <v>631</v>
      </c>
      <c r="C1026">
        <v>12</v>
      </c>
    </row>
    <row r="1027" spans="1:4" ht="15.5" x14ac:dyDescent="0.35">
      <c r="A1027" s="2">
        <v>43222</v>
      </c>
      <c r="B1027" s="61" t="s">
        <v>632</v>
      </c>
      <c r="C1027">
        <v>19</v>
      </c>
    </row>
    <row r="1028" spans="1:4" ht="15.5" x14ac:dyDescent="0.35">
      <c r="A1028" s="2">
        <v>43222</v>
      </c>
      <c r="B1028" s="61" t="s">
        <v>634</v>
      </c>
      <c r="C1028">
        <v>3</v>
      </c>
      <c r="D1028">
        <v>2</v>
      </c>
    </row>
    <row r="1029" spans="1:4" ht="15.5" x14ac:dyDescent="0.35">
      <c r="A1029" s="2">
        <v>43222</v>
      </c>
      <c r="B1029" s="61" t="s">
        <v>635</v>
      </c>
      <c r="C1029">
        <v>4</v>
      </c>
      <c r="D1029">
        <v>1</v>
      </c>
    </row>
    <row r="1030" spans="1:4" ht="15.5" x14ac:dyDescent="0.35">
      <c r="A1030" s="2">
        <v>43222</v>
      </c>
      <c r="B1030" s="61" t="s">
        <v>636</v>
      </c>
      <c r="C1030">
        <v>0</v>
      </c>
      <c r="D1030">
        <v>1</v>
      </c>
    </row>
    <row r="1031" spans="1:4" ht="15.5" x14ac:dyDescent="0.35">
      <c r="A1031" s="2">
        <v>43222</v>
      </c>
      <c r="B1031" s="61" t="s">
        <v>637</v>
      </c>
      <c r="C1031">
        <v>0</v>
      </c>
    </row>
    <row r="1032" spans="1:4" ht="15.5" x14ac:dyDescent="0.35">
      <c r="A1032" s="2">
        <v>43222</v>
      </c>
      <c r="B1032" s="61" t="s">
        <v>638</v>
      </c>
      <c r="C1032">
        <v>1</v>
      </c>
    </row>
    <row r="1033" spans="1:4" ht="15.5" x14ac:dyDescent="0.35">
      <c r="A1033" s="2">
        <v>43222</v>
      </c>
      <c r="B1033" s="61" t="s">
        <v>639</v>
      </c>
      <c r="C1033">
        <v>2</v>
      </c>
    </row>
    <row r="1034" spans="1:4" s="4" customFormat="1" ht="15.5" x14ac:dyDescent="0.35">
      <c r="A1034" s="3">
        <v>43222</v>
      </c>
      <c r="B1034" s="62" t="s">
        <v>20</v>
      </c>
      <c r="C1034" s="4">
        <v>60</v>
      </c>
    </row>
    <row r="1035" spans="1:4" ht="15.5" x14ac:dyDescent="0.35">
      <c r="A1035" s="2">
        <v>43227</v>
      </c>
      <c r="B1035" s="61" t="s">
        <v>29</v>
      </c>
      <c r="C1035" s="10">
        <v>110</v>
      </c>
    </row>
    <row r="1036" spans="1:4" ht="15.5" x14ac:dyDescent="0.35">
      <c r="A1036" s="2">
        <v>43227</v>
      </c>
      <c r="B1036" s="61" t="s">
        <v>610</v>
      </c>
      <c r="C1036">
        <v>6</v>
      </c>
    </row>
    <row r="1037" spans="1:4" ht="15.5" x14ac:dyDescent="0.35">
      <c r="A1037" s="2">
        <v>43227</v>
      </c>
      <c r="B1037" s="61" t="s">
        <v>611</v>
      </c>
      <c r="C1037">
        <v>7</v>
      </c>
      <c r="D1037">
        <v>1</v>
      </c>
    </row>
    <row r="1038" spans="1:4" ht="15.5" x14ac:dyDescent="0.35">
      <c r="A1038" s="2">
        <v>43227</v>
      </c>
      <c r="B1038" s="61" t="s">
        <v>612</v>
      </c>
      <c r="C1038">
        <v>6</v>
      </c>
      <c r="D1038">
        <v>1</v>
      </c>
    </row>
    <row r="1039" spans="1:4" ht="15.5" x14ac:dyDescent="0.35">
      <c r="A1039" s="2">
        <v>43227</v>
      </c>
      <c r="B1039" s="61" t="s">
        <v>38</v>
      </c>
      <c r="C1039" s="8">
        <f>(73/0.2869)+59</f>
        <v>313.44405716277447</v>
      </c>
    </row>
    <row r="1040" spans="1:4" ht="15.5" x14ac:dyDescent="0.35">
      <c r="A1040" s="2">
        <v>43227</v>
      </c>
      <c r="B1040" s="61" t="s">
        <v>614</v>
      </c>
      <c r="C1040">
        <v>11</v>
      </c>
    </row>
    <row r="1041" spans="1:4" ht="15.5" x14ac:dyDescent="0.35">
      <c r="A1041" s="2">
        <v>43227</v>
      </c>
      <c r="B1041" s="61" t="s">
        <v>615</v>
      </c>
      <c r="C1041">
        <v>8</v>
      </c>
    </row>
    <row r="1042" spans="1:4" ht="15.5" x14ac:dyDescent="0.35">
      <c r="A1042" s="2">
        <v>43227</v>
      </c>
      <c r="B1042" s="61" t="s">
        <v>616</v>
      </c>
      <c r="C1042">
        <v>5</v>
      </c>
    </row>
    <row r="1043" spans="1:4" ht="15.5" x14ac:dyDescent="0.35">
      <c r="A1043" s="2">
        <v>43227</v>
      </c>
      <c r="B1043" s="61" t="s">
        <v>640</v>
      </c>
      <c r="C1043">
        <v>1</v>
      </c>
    </row>
    <row r="1044" spans="1:4" ht="15.5" x14ac:dyDescent="0.35">
      <c r="A1044" s="2">
        <v>43227</v>
      </c>
      <c r="B1044" s="61" t="s">
        <v>641</v>
      </c>
      <c r="C1044">
        <v>2</v>
      </c>
    </row>
    <row r="1045" spans="1:4" ht="15.5" x14ac:dyDescent="0.35">
      <c r="A1045" s="2">
        <v>43227</v>
      </c>
      <c r="B1045" s="61" t="s">
        <v>642</v>
      </c>
      <c r="C1045">
        <v>2</v>
      </c>
      <c r="D1045">
        <v>1</v>
      </c>
    </row>
    <row r="1046" spans="1:4" ht="15.5" x14ac:dyDescent="0.35">
      <c r="A1046" s="2">
        <v>43227</v>
      </c>
      <c r="B1046" s="61" t="s">
        <v>622</v>
      </c>
      <c r="C1046">
        <v>2</v>
      </c>
    </row>
    <row r="1047" spans="1:4" ht="15.5" x14ac:dyDescent="0.35">
      <c r="A1047" s="2">
        <v>43227</v>
      </c>
      <c r="B1047" s="61" t="s">
        <v>623</v>
      </c>
      <c r="C1047">
        <v>2</v>
      </c>
    </row>
    <row r="1048" spans="1:4" ht="15.5" x14ac:dyDescent="0.35">
      <c r="A1048" s="2">
        <v>43227</v>
      </c>
      <c r="B1048" s="61" t="s">
        <v>624</v>
      </c>
      <c r="C1048">
        <v>3</v>
      </c>
      <c r="D1048">
        <v>1</v>
      </c>
    </row>
    <row r="1049" spans="1:4" ht="15.5" x14ac:dyDescent="0.35">
      <c r="A1049" s="2">
        <v>43227</v>
      </c>
      <c r="B1049" s="61" t="s">
        <v>626</v>
      </c>
      <c r="C1049">
        <v>2</v>
      </c>
    </row>
    <row r="1050" spans="1:4" ht="15.5" x14ac:dyDescent="0.35">
      <c r="A1050" s="2">
        <v>43227</v>
      </c>
      <c r="B1050" s="61" t="s">
        <v>627</v>
      </c>
      <c r="C1050">
        <v>1</v>
      </c>
      <c r="D1050">
        <v>1</v>
      </c>
    </row>
    <row r="1051" spans="1:4" ht="15.5" x14ac:dyDescent="0.35">
      <c r="A1051" s="2">
        <v>43227</v>
      </c>
      <c r="B1051" s="61" t="s">
        <v>628</v>
      </c>
      <c r="C1051">
        <v>0</v>
      </c>
    </row>
    <row r="1052" spans="1:4" ht="15.5" x14ac:dyDescent="0.35">
      <c r="A1052" s="2">
        <v>43227</v>
      </c>
      <c r="B1052" s="61" t="s">
        <v>630</v>
      </c>
      <c r="C1052">
        <v>0</v>
      </c>
    </row>
    <row r="1053" spans="1:4" ht="15.5" x14ac:dyDescent="0.35">
      <c r="A1053" s="2">
        <v>43227</v>
      </c>
      <c r="B1053" s="61" t="s">
        <v>631</v>
      </c>
      <c r="C1053">
        <v>7</v>
      </c>
    </row>
    <row r="1054" spans="1:4" ht="15.5" x14ac:dyDescent="0.35">
      <c r="A1054" s="2">
        <v>43227</v>
      </c>
      <c r="B1054" s="61" t="s">
        <v>632</v>
      </c>
      <c r="C1054">
        <v>6</v>
      </c>
    </row>
    <row r="1055" spans="1:4" ht="15.5" x14ac:dyDescent="0.35">
      <c r="A1055" s="2">
        <v>43227</v>
      </c>
      <c r="B1055" s="61" t="s">
        <v>634</v>
      </c>
      <c r="C1055">
        <v>1</v>
      </c>
      <c r="D1055">
        <v>1</v>
      </c>
    </row>
    <row r="1056" spans="1:4" ht="15.5" x14ac:dyDescent="0.35">
      <c r="A1056" s="2">
        <v>43227</v>
      </c>
      <c r="B1056" s="61" t="s">
        <v>635</v>
      </c>
      <c r="C1056">
        <v>2</v>
      </c>
      <c r="D1056">
        <v>1</v>
      </c>
    </row>
    <row r="1057" spans="1:4" ht="15.5" x14ac:dyDescent="0.35">
      <c r="A1057" s="2">
        <v>43227</v>
      </c>
      <c r="B1057" s="61" t="s">
        <v>636</v>
      </c>
      <c r="C1057">
        <v>1</v>
      </c>
    </row>
    <row r="1058" spans="1:4" ht="15.5" x14ac:dyDescent="0.35">
      <c r="A1058" s="2">
        <v>43227</v>
      </c>
      <c r="B1058" s="61" t="s">
        <v>637</v>
      </c>
      <c r="C1058">
        <v>2</v>
      </c>
      <c r="D1058">
        <v>1</v>
      </c>
    </row>
    <row r="1059" spans="1:4" ht="15.5" x14ac:dyDescent="0.35">
      <c r="A1059" s="2">
        <v>43227</v>
      </c>
      <c r="B1059" s="61" t="s">
        <v>638</v>
      </c>
      <c r="C1059">
        <v>2</v>
      </c>
    </row>
    <row r="1060" spans="1:4" s="4" customFormat="1" ht="15.5" x14ac:dyDescent="0.35">
      <c r="A1060" s="3">
        <v>43227</v>
      </c>
      <c r="B1060" s="62" t="s">
        <v>639</v>
      </c>
      <c r="C1060" s="4">
        <v>1</v>
      </c>
    </row>
    <row r="1061" spans="1:4" ht="15.5" x14ac:dyDescent="0.35">
      <c r="A1061" s="2">
        <v>43234</v>
      </c>
      <c r="B1061" s="61" t="s">
        <v>29</v>
      </c>
      <c r="C1061" s="8">
        <f>(586/0.26996)+79</f>
        <v>2249.6919543636095</v>
      </c>
      <c r="D1061">
        <v>8</v>
      </c>
    </row>
    <row r="1062" spans="1:4" ht="15.5" x14ac:dyDescent="0.35">
      <c r="A1062" s="2">
        <v>43234</v>
      </c>
      <c r="B1062" s="61" t="s">
        <v>610</v>
      </c>
      <c r="C1062">
        <v>19</v>
      </c>
    </row>
    <row r="1063" spans="1:4" ht="15.5" x14ac:dyDescent="0.35">
      <c r="A1063" s="2">
        <v>43234</v>
      </c>
      <c r="B1063" s="61" t="s">
        <v>611</v>
      </c>
      <c r="C1063">
        <v>22</v>
      </c>
    </row>
    <row r="1064" spans="1:4" ht="15.5" x14ac:dyDescent="0.35">
      <c r="A1064" s="2">
        <v>43234</v>
      </c>
      <c r="B1064" s="61" t="s">
        <v>612</v>
      </c>
      <c r="C1064">
        <v>5</v>
      </c>
    </row>
    <row r="1065" spans="1:4" ht="15.5" x14ac:dyDescent="0.35">
      <c r="A1065" s="2">
        <v>43234</v>
      </c>
      <c r="B1065" s="61" t="s">
        <v>38</v>
      </c>
      <c r="C1065" s="8">
        <f>(1392/0.27286)+119</f>
        <v>5220.5172615993552</v>
      </c>
      <c r="D1065">
        <v>8</v>
      </c>
    </row>
    <row r="1066" spans="1:4" ht="15.5" x14ac:dyDescent="0.35">
      <c r="A1066" s="2">
        <v>43234</v>
      </c>
      <c r="B1066" s="61" t="s">
        <v>614</v>
      </c>
      <c r="C1066">
        <v>8</v>
      </c>
    </row>
    <row r="1067" spans="1:4" ht="15.5" x14ac:dyDescent="0.35">
      <c r="A1067" s="2">
        <v>43234</v>
      </c>
      <c r="B1067" s="61" t="s">
        <v>615</v>
      </c>
      <c r="C1067">
        <v>39</v>
      </c>
      <c r="D1067">
        <v>2</v>
      </c>
    </row>
    <row r="1068" spans="1:4" ht="15.5" x14ac:dyDescent="0.35">
      <c r="A1068" s="2">
        <v>43234</v>
      </c>
      <c r="B1068" s="61" t="s">
        <v>616</v>
      </c>
      <c r="C1068">
        <v>31</v>
      </c>
    </row>
    <row r="1069" spans="1:4" ht="15.5" x14ac:dyDescent="0.35">
      <c r="A1069" s="2">
        <v>43234</v>
      </c>
      <c r="B1069" s="61" t="s">
        <v>640</v>
      </c>
      <c r="C1069">
        <v>20</v>
      </c>
    </row>
    <row r="1070" spans="1:4" ht="15.5" x14ac:dyDescent="0.35">
      <c r="A1070" s="2">
        <v>43234</v>
      </c>
      <c r="B1070" s="61" t="s">
        <v>641</v>
      </c>
      <c r="C1070">
        <v>25</v>
      </c>
    </row>
    <row r="1071" spans="1:4" ht="15.5" x14ac:dyDescent="0.35">
      <c r="A1071" s="2">
        <v>43234</v>
      </c>
      <c r="B1071" s="61" t="s">
        <v>642</v>
      </c>
      <c r="C1071">
        <v>21</v>
      </c>
    </row>
    <row r="1072" spans="1:4" ht="15.5" x14ac:dyDescent="0.35">
      <c r="A1072" s="2">
        <v>43234</v>
      </c>
      <c r="B1072" s="61" t="s">
        <v>622</v>
      </c>
      <c r="C1072">
        <v>23</v>
      </c>
    </row>
    <row r="1073" spans="1:4" ht="15.5" x14ac:dyDescent="0.35">
      <c r="A1073" s="2">
        <v>43234</v>
      </c>
      <c r="B1073" s="61" t="s">
        <v>623</v>
      </c>
      <c r="C1073">
        <v>13</v>
      </c>
      <c r="D1073">
        <v>1</v>
      </c>
    </row>
    <row r="1074" spans="1:4" ht="15.5" x14ac:dyDescent="0.35">
      <c r="A1074" s="2">
        <v>43234</v>
      </c>
      <c r="B1074" s="61" t="s">
        <v>624</v>
      </c>
      <c r="C1074">
        <v>19</v>
      </c>
    </row>
    <row r="1075" spans="1:4" ht="15.5" x14ac:dyDescent="0.35">
      <c r="A1075" s="2">
        <v>43234</v>
      </c>
      <c r="B1075" s="61" t="s">
        <v>626</v>
      </c>
      <c r="C1075">
        <v>14</v>
      </c>
      <c r="D1075">
        <v>1</v>
      </c>
    </row>
    <row r="1076" spans="1:4" ht="15.5" x14ac:dyDescent="0.35">
      <c r="A1076" s="2">
        <v>43234</v>
      </c>
      <c r="B1076" s="61" t="s">
        <v>627</v>
      </c>
      <c r="C1076">
        <v>22</v>
      </c>
      <c r="D1076">
        <v>1</v>
      </c>
    </row>
    <row r="1077" spans="1:4" ht="15.5" x14ac:dyDescent="0.35">
      <c r="A1077" s="2">
        <v>43234</v>
      </c>
      <c r="B1077" s="61" t="s">
        <v>628</v>
      </c>
      <c r="C1077">
        <v>11</v>
      </c>
      <c r="D1077">
        <v>1</v>
      </c>
    </row>
    <row r="1078" spans="1:4" ht="15.5" x14ac:dyDescent="0.35">
      <c r="A1078" s="2">
        <v>43234</v>
      </c>
      <c r="B1078" s="61" t="s">
        <v>630</v>
      </c>
      <c r="C1078">
        <v>28</v>
      </c>
      <c r="D1078">
        <v>2</v>
      </c>
    </row>
    <row r="1079" spans="1:4" ht="15.5" x14ac:dyDescent="0.35">
      <c r="A1079" s="2">
        <v>43234</v>
      </c>
      <c r="B1079" s="61" t="s">
        <v>631</v>
      </c>
      <c r="C1079">
        <v>35</v>
      </c>
      <c r="D1079">
        <v>1</v>
      </c>
    </row>
    <row r="1080" spans="1:4" ht="15.5" x14ac:dyDescent="0.35">
      <c r="A1080" s="2">
        <v>43234</v>
      </c>
      <c r="B1080" s="61" t="s">
        <v>632</v>
      </c>
      <c r="C1080">
        <v>35</v>
      </c>
    </row>
    <row r="1081" spans="1:4" ht="15.5" x14ac:dyDescent="0.35">
      <c r="A1081" s="2">
        <v>43234</v>
      </c>
      <c r="B1081" s="61" t="s">
        <v>634</v>
      </c>
      <c r="C1081">
        <v>2</v>
      </c>
      <c r="D1081">
        <v>3</v>
      </c>
    </row>
    <row r="1082" spans="1:4" ht="15.5" x14ac:dyDescent="0.35">
      <c r="A1082" s="2">
        <v>43234</v>
      </c>
      <c r="B1082" s="61" t="s">
        <v>635</v>
      </c>
      <c r="C1082">
        <v>3</v>
      </c>
    </row>
    <row r="1083" spans="1:4" ht="15.5" x14ac:dyDescent="0.35">
      <c r="A1083" s="2">
        <v>43234</v>
      </c>
      <c r="B1083" s="61" t="s">
        <v>636</v>
      </c>
      <c r="C1083">
        <v>3</v>
      </c>
      <c r="D1083">
        <v>1</v>
      </c>
    </row>
    <row r="1084" spans="1:4" ht="15.5" x14ac:dyDescent="0.35">
      <c r="A1084" s="2">
        <v>43234</v>
      </c>
      <c r="B1084" s="61" t="s">
        <v>637</v>
      </c>
      <c r="C1084">
        <v>1</v>
      </c>
      <c r="D1084">
        <v>1</v>
      </c>
    </row>
    <row r="1085" spans="1:4" ht="15.5" x14ac:dyDescent="0.35">
      <c r="A1085" s="2">
        <v>43234</v>
      </c>
      <c r="B1085" s="61" t="s">
        <v>638</v>
      </c>
      <c r="C1085">
        <v>0</v>
      </c>
    </row>
    <row r="1086" spans="1:4" ht="15.5" x14ac:dyDescent="0.35">
      <c r="A1086" s="13">
        <v>43234</v>
      </c>
      <c r="B1086" s="9" t="s">
        <v>639</v>
      </c>
      <c r="C1086" s="5">
        <v>1</v>
      </c>
    </row>
    <row r="1087" spans="1:4" s="4" customFormat="1" ht="15.5" x14ac:dyDescent="0.35">
      <c r="A1087" s="3">
        <v>43235</v>
      </c>
      <c r="B1087" s="62" t="s">
        <v>20</v>
      </c>
      <c r="C1087" s="4">
        <v>38</v>
      </c>
    </row>
    <row r="1088" spans="1:4" ht="15.5" x14ac:dyDescent="0.35">
      <c r="A1088" s="2">
        <v>43242</v>
      </c>
      <c r="B1088" s="61" t="s">
        <v>29</v>
      </c>
      <c r="C1088" s="80">
        <f>(124/0.27)+73</f>
        <v>532.25925925925924</v>
      </c>
      <c r="D1088">
        <v>2</v>
      </c>
    </row>
    <row r="1089" spans="1:4" ht="15.5" x14ac:dyDescent="0.35">
      <c r="A1089" s="2">
        <v>43242</v>
      </c>
      <c r="B1089" s="61" t="s">
        <v>610</v>
      </c>
      <c r="C1089">
        <v>14</v>
      </c>
      <c r="D1089">
        <v>1</v>
      </c>
    </row>
    <row r="1090" spans="1:4" ht="15.5" x14ac:dyDescent="0.35">
      <c r="A1090" s="2">
        <v>43242</v>
      </c>
      <c r="B1090" s="61" t="s">
        <v>611</v>
      </c>
      <c r="C1090">
        <v>28</v>
      </c>
      <c r="D1090">
        <v>3</v>
      </c>
    </row>
    <row r="1091" spans="1:4" ht="15.5" x14ac:dyDescent="0.35">
      <c r="A1091" s="2">
        <v>43242</v>
      </c>
      <c r="B1091" s="61" t="s">
        <v>612</v>
      </c>
      <c r="C1091">
        <v>26</v>
      </c>
    </row>
    <row r="1092" spans="1:4" ht="15.5" x14ac:dyDescent="0.35">
      <c r="A1092" s="2">
        <v>43242</v>
      </c>
      <c r="B1092" s="61" t="s">
        <v>38</v>
      </c>
      <c r="C1092" s="80">
        <f>(401/0.27)+50</f>
        <v>1535.185185185185</v>
      </c>
      <c r="D1092">
        <v>3</v>
      </c>
    </row>
    <row r="1093" spans="1:4" ht="15.5" x14ac:dyDescent="0.35">
      <c r="A1093" s="2">
        <v>43242</v>
      </c>
      <c r="B1093" s="61" t="s">
        <v>614</v>
      </c>
      <c r="C1093">
        <v>38</v>
      </c>
    </row>
    <row r="1094" spans="1:4" ht="15.5" x14ac:dyDescent="0.35">
      <c r="A1094" s="2">
        <v>43242</v>
      </c>
      <c r="B1094" s="61" t="s">
        <v>615</v>
      </c>
      <c r="C1094">
        <v>54</v>
      </c>
    </row>
    <row r="1095" spans="1:4" ht="15.5" x14ac:dyDescent="0.35">
      <c r="A1095" s="2">
        <v>43242</v>
      </c>
      <c r="B1095" s="61" t="s">
        <v>616</v>
      </c>
    </row>
    <row r="1096" spans="1:4" ht="15.5" x14ac:dyDescent="0.35">
      <c r="A1096" s="2">
        <v>43242</v>
      </c>
      <c r="B1096" s="61" t="s">
        <v>640</v>
      </c>
      <c r="C1096">
        <v>26</v>
      </c>
    </row>
    <row r="1097" spans="1:4" ht="15.5" x14ac:dyDescent="0.35">
      <c r="A1097" s="2">
        <v>43242</v>
      </c>
      <c r="B1097" s="61" t="s">
        <v>641</v>
      </c>
      <c r="C1097">
        <v>42</v>
      </c>
      <c r="D1097">
        <v>3</v>
      </c>
    </row>
    <row r="1098" spans="1:4" ht="15.5" x14ac:dyDescent="0.35">
      <c r="A1098" s="2">
        <v>43242</v>
      </c>
      <c r="B1098" s="61" t="s">
        <v>642</v>
      </c>
      <c r="C1098">
        <v>36</v>
      </c>
    </row>
    <row r="1099" spans="1:4" ht="15.5" x14ac:dyDescent="0.35">
      <c r="A1099" s="2">
        <v>43242</v>
      </c>
      <c r="B1099" s="61" t="s">
        <v>622</v>
      </c>
      <c r="C1099">
        <v>19</v>
      </c>
      <c r="D1099">
        <v>2</v>
      </c>
    </row>
    <row r="1100" spans="1:4" ht="15.5" x14ac:dyDescent="0.35">
      <c r="A1100" s="2">
        <v>43242</v>
      </c>
      <c r="B1100" s="61" t="s">
        <v>623</v>
      </c>
      <c r="C1100">
        <v>35</v>
      </c>
      <c r="D1100">
        <v>2</v>
      </c>
    </row>
    <row r="1101" spans="1:4" ht="15.5" x14ac:dyDescent="0.35">
      <c r="A1101" s="2">
        <v>43242</v>
      </c>
      <c r="B1101" s="61" t="s">
        <v>624</v>
      </c>
      <c r="C1101">
        <v>30</v>
      </c>
    </row>
    <row r="1102" spans="1:4" ht="15.5" x14ac:dyDescent="0.35">
      <c r="A1102" s="2">
        <v>43242</v>
      </c>
      <c r="B1102" s="61" t="s">
        <v>626</v>
      </c>
      <c r="C1102">
        <v>18</v>
      </c>
      <c r="D1102">
        <v>2</v>
      </c>
    </row>
    <row r="1103" spans="1:4" ht="15.5" x14ac:dyDescent="0.35">
      <c r="A1103" s="2">
        <v>43242</v>
      </c>
      <c r="B1103" s="61" t="s">
        <v>627</v>
      </c>
      <c r="C1103">
        <v>43</v>
      </c>
      <c r="D1103">
        <v>3</v>
      </c>
    </row>
    <row r="1104" spans="1:4" ht="15.5" x14ac:dyDescent="0.35">
      <c r="A1104" s="2">
        <v>43242</v>
      </c>
      <c r="B1104" s="61" t="s">
        <v>628</v>
      </c>
      <c r="C1104">
        <v>31</v>
      </c>
    </row>
    <row r="1105" spans="1:4" ht="15.5" x14ac:dyDescent="0.35">
      <c r="A1105" s="2">
        <v>43242</v>
      </c>
      <c r="B1105" s="61" t="s">
        <v>630</v>
      </c>
      <c r="C1105">
        <v>46</v>
      </c>
      <c r="D1105">
        <v>2</v>
      </c>
    </row>
    <row r="1106" spans="1:4" ht="15.5" x14ac:dyDescent="0.35">
      <c r="A1106" s="2">
        <v>43242</v>
      </c>
      <c r="B1106" s="61" t="s">
        <v>631</v>
      </c>
      <c r="C1106">
        <v>63</v>
      </c>
      <c r="D1106">
        <v>2</v>
      </c>
    </row>
    <row r="1107" spans="1:4" ht="15.5" x14ac:dyDescent="0.35">
      <c r="A1107" s="2">
        <v>43242</v>
      </c>
      <c r="B1107" s="61" t="s">
        <v>632</v>
      </c>
      <c r="C1107">
        <v>74</v>
      </c>
      <c r="D1107">
        <v>1</v>
      </c>
    </row>
    <row r="1108" spans="1:4" ht="15.5" x14ac:dyDescent="0.35">
      <c r="A1108" s="2">
        <v>43242</v>
      </c>
      <c r="B1108" s="61" t="s">
        <v>634</v>
      </c>
      <c r="C1108">
        <v>0</v>
      </c>
      <c r="D1108">
        <v>1</v>
      </c>
    </row>
    <row r="1109" spans="1:4" ht="15.5" x14ac:dyDescent="0.35">
      <c r="A1109" s="2">
        <v>43242</v>
      </c>
      <c r="B1109" s="61" t="s">
        <v>635</v>
      </c>
      <c r="C1109">
        <v>0</v>
      </c>
      <c r="D1109">
        <v>1</v>
      </c>
    </row>
    <row r="1110" spans="1:4" ht="15.5" x14ac:dyDescent="0.35">
      <c r="A1110" s="2">
        <v>43242</v>
      </c>
      <c r="B1110" s="61" t="s">
        <v>636</v>
      </c>
      <c r="C1110">
        <v>12</v>
      </c>
      <c r="D1110">
        <v>2</v>
      </c>
    </row>
    <row r="1111" spans="1:4" ht="15.5" x14ac:dyDescent="0.35">
      <c r="A1111" s="2">
        <v>43242</v>
      </c>
      <c r="B1111" s="61" t="s">
        <v>637</v>
      </c>
      <c r="C1111">
        <v>0</v>
      </c>
    </row>
    <row r="1112" spans="1:4" ht="15.5" x14ac:dyDescent="0.35">
      <c r="A1112" s="2">
        <v>43242</v>
      </c>
      <c r="B1112" s="61" t="s">
        <v>638</v>
      </c>
      <c r="C1112">
        <v>0</v>
      </c>
    </row>
    <row r="1113" spans="1:4" s="4" customFormat="1" ht="15.5" x14ac:dyDescent="0.35">
      <c r="A1113" s="3">
        <v>43242</v>
      </c>
      <c r="B1113" s="62" t="s">
        <v>639</v>
      </c>
      <c r="C1113" s="4">
        <v>0</v>
      </c>
    </row>
    <row r="1114" spans="1:4" ht="15.5" x14ac:dyDescent="0.35">
      <c r="A1114" s="2">
        <v>43248</v>
      </c>
      <c r="B1114" s="61" t="s">
        <v>29</v>
      </c>
      <c r="C1114" s="10">
        <v>72</v>
      </c>
      <c r="D1114">
        <v>1</v>
      </c>
    </row>
    <row r="1115" spans="1:4" ht="15.5" x14ac:dyDescent="0.35">
      <c r="A1115" s="2">
        <v>43248</v>
      </c>
      <c r="B1115" s="61" t="s">
        <v>610</v>
      </c>
      <c r="C1115">
        <v>6</v>
      </c>
      <c r="D1115">
        <v>2</v>
      </c>
    </row>
    <row r="1116" spans="1:4" ht="15.5" x14ac:dyDescent="0.35">
      <c r="A1116" s="2">
        <v>43248</v>
      </c>
      <c r="B1116" s="61" t="s">
        <v>611</v>
      </c>
      <c r="C1116">
        <v>6</v>
      </c>
      <c r="D1116">
        <v>1</v>
      </c>
    </row>
    <row r="1117" spans="1:4" ht="15.5" x14ac:dyDescent="0.35">
      <c r="A1117" s="2">
        <v>43248</v>
      </c>
      <c r="B1117" s="61" t="s">
        <v>612</v>
      </c>
      <c r="C1117">
        <v>6</v>
      </c>
      <c r="D1117">
        <v>2</v>
      </c>
    </row>
    <row r="1118" spans="1:4" ht="15.5" x14ac:dyDescent="0.35">
      <c r="A1118" s="2">
        <v>43248</v>
      </c>
      <c r="B1118" s="61" t="s">
        <v>38</v>
      </c>
      <c r="C1118">
        <v>86</v>
      </c>
      <c r="D1118">
        <v>1</v>
      </c>
    </row>
    <row r="1119" spans="1:4" ht="15.5" x14ac:dyDescent="0.35">
      <c r="A1119" s="2">
        <v>43248</v>
      </c>
      <c r="B1119" s="61" t="s">
        <v>614</v>
      </c>
      <c r="C1119">
        <v>15</v>
      </c>
    </row>
    <row r="1120" spans="1:4" ht="15.5" x14ac:dyDescent="0.35">
      <c r="A1120" s="2">
        <v>43248</v>
      </c>
      <c r="B1120" s="61" t="s">
        <v>615</v>
      </c>
      <c r="C1120">
        <v>15</v>
      </c>
    </row>
    <row r="1121" spans="1:4" ht="15.5" x14ac:dyDescent="0.35">
      <c r="A1121" s="2">
        <v>43248</v>
      </c>
      <c r="B1121" s="61" t="s">
        <v>616</v>
      </c>
      <c r="C1121">
        <v>13</v>
      </c>
    </row>
    <row r="1122" spans="1:4" ht="15.5" x14ac:dyDescent="0.35">
      <c r="A1122" s="2">
        <v>43248</v>
      </c>
      <c r="B1122" s="61" t="s">
        <v>640</v>
      </c>
      <c r="C1122">
        <v>9</v>
      </c>
    </row>
    <row r="1123" spans="1:4" ht="15.5" x14ac:dyDescent="0.35">
      <c r="A1123" s="2">
        <v>43248</v>
      </c>
      <c r="B1123" s="61" t="s">
        <v>641</v>
      </c>
      <c r="C1123">
        <v>10</v>
      </c>
      <c r="D1123">
        <v>1</v>
      </c>
    </row>
    <row r="1124" spans="1:4" ht="15.5" x14ac:dyDescent="0.35">
      <c r="A1124" s="2">
        <v>43248</v>
      </c>
      <c r="B1124" s="61" t="s">
        <v>642</v>
      </c>
      <c r="C1124">
        <v>10</v>
      </c>
    </row>
    <row r="1125" spans="1:4" ht="15.5" x14ac:dyDescent="0.35">
      <c r="A1125" s="2">
        <v>43248</v>
      </c>
      <c r="B1125" s="61" t="s">
        <v>622</v>
      </c>
      <c r="C1125">
        <v>10</v>
      </c>
    </row>
    <row r="1126" spans="1:4" ht="15.5" x14ac:dyDescent="0.35">
      <c r="A1126" s="2">
        <v>43248</v>
      </c>
      <c r="B1126" s="61" t="s">
        <v>623</v>
      </c>
      <c r="C1126">
        <v>12</v>
      </c>
    </row>
    <row r="1127" spans="1:4" ht="15.5" x14ac:dyDescent="0.35">
      <c r="A1127" s="2">
        <v>43248</v>
      </c>
      <c r="B1127" s="61" t="s">
        <v>624</v>
      </c>
      <c r="C1127">
        <v>5</v>
      </c>
    </row>
    <row r="1128" spans="1:4" ht="15.5" x14ac:dyDescent="0.35">
      <c r="A1128" s="2">
        <v>43248</v>
      </c>
      <c r="B1128" s="61" t="s">
        <v>626</v>
      </c>
      <c r="C1128">
        <v>1</v>
      </c>
    </row>
    <row r="1129" spans="1:4" ht="15.5" x14ac:dyDescent="0.35">
      <c r="A1129" s="2">
        <v>43248</v>
      </c>
      <c r="B1129" s="61" t="s">
        <v>627</v>
      </c>
      <c r="C1129">
        <v>9</v>
      </c>
    </row>
    <row r="1130" spans="1:4" ht="15.5" x14ac:dyDescent="0.35">
      <c r="A1130" s="2">
        <v>43248</v>
      </c>
      <c r="B1130" s="61" t="s">
        <v>628</v>
      </c>
      <c r="C1130">
        <v>12</v>
      </c>
    </row>
    <row r="1131" spans="1:4" ht="15.5" x14ac:dyDescent="0.35">
      <c r="A1131" s="2">
        <v>43248</v>
      </c>
      <c r="B1131" s="61" t="s">
        <v>630</v>
      </c>
      <c r="C1131">
        <v>16</v>
      </c>
    </row>
    <row r="1132" spans="1:4" ht="15.5" x14ac:dyDescent="0.35">
      <c r="A1132" s="2">
        <v>43248</v>
      </c>
      <c r="B1132" s="61" t="s">
        <v>631</v>
      </c>
      <c r="C1132">
        <v>15</v>
      </c>
    </row>
    <row r="1133" spans="1:4" ht="15.5" x14ac:dyDescent="0.35">
      <c r="A1133" s="2">
        <v>43248</v>
      </c>
      <c r="B1133" s="61" t="s">
        <v>632</v>
      </c>
      <c r="C1133">
        <v>31</v>
      </c>
    </row>
    <row r="1134" spans="1:4" ht="15.5" x14ac:dyDescent="0.35">
      <c r="A1134" s="2">
        <v>43248</v>
      </c>
      <c r="B1134" s="61" t="s">
        <v>634</v>
      </c>
      <c r="C1134">
        <v>2</v>
      </c>
      <c r="D1134">
        <v>3</v>
      </c>
    </row>
    <row r="1135" spans="1:4" ht="15.5" x14ac:dyDescent="0.35">
      <c r="A1135" s="2">
        <v>43248</v>
      </c>
      <c r="B1135" s="61" t="s">
        <v>635</v>
      </c>
      <c r="C1135">
        <v>2</v>
      </c>
      <c r="D1135">
        <v>3</v>
      </c>
    </row>
    <row r="1136" spans="1:4" ht="15.5" x14ac:dyDescent="0.35">
      <c r="A1136" s="2">
        <v>43248</v>
      </c>
      <c r="B1136" s="61" t="s">
        <v>636</v>
      </c>
      <c r="C1136">
        <v>5</v>
      </c>
      <c r="D1136">
        <v>1</v>
      </c>
    </row>
    <row r="1137" spans="1:4" ht="15.5" x14ac:dyDescent="0.35">
      <c r="A1137" s="2">
        <v>43248</v>
      </c>
      <c r="B1137" s="61" t="s">
        <v>637</v>
      </c>
      <c r="C1137">
        <v>0</v>
      </c>
    </row>
    <row r="1138" spans="1:4" ht="15.5" x14ac:dyDescent="0.35">
      <c r="A1138" s="2">
        <v>43248</v>
      </c>
      <c r="B1138" s="61" t="s">
        <v>638</v>
      </c>
      <c r="C1138">
        <v>0</v>
      </c>
    </row>
    <row r="1139" spans="1:4" s="4" customFormat="1" ht="15.5" x14ac:dyDescent="0.35">
      <c r="A1139" s="3">
        <v>43248</v>
      </c>
      <c r="B1139" s="62" t="s">
        <v>639</v>
      </c>
      <c r="C1139" s="4">
        <v>1</v>
      </c>
    </row>
    <row r="1141" spans="1:4" x14ac:dyDescent="0.35">
      <c r="C1141">
        <f>SUM(C768:C1139)</f>
        <v>45399.117524465379</v>
      </c>
      <c r="D1141">
        <f>SUM(D768:D1139)</f>
        <v>182</v>
      </c>
    </row>
    <row r="1142" spans="1:4" x14ac:dyDescent="0.35">
      <c r="C1142" s="8">
        <f>C1118+C1114+C1092+C1088+C1065+C1061+C1039+C1035+C1012+C1008+C1007+C1006+C1005+C1004+C1003+C1002+C1001+C1000+C977+C973+C972+C971+C948+C944+C943+C942+C941+C940+C939+C938+C915+C911+C886+C882+C881+C880+C879+C878+C877+C876+C826+C910+C909</f>
        <v>42419.117524465386</v>
      </c>
      <c r="D1142" s="8">
        <f>D1118+D1114+D1092+D1088+D1065+D1061+D1039+D1035+D1012+D1008+D1007+D1006+D1005+D1004+D1003+D1002+D1001+D1000+D977+D973+D972+D971+D948+D944+D943+D942+D941+D940+D939+D938+D915+D911+D886+D882+D881+D880+D879+D878+D877+D876+D826</f>
        <v>70</v>
      </c>
    </row>
    <row r="1143" spans="1:4" x14ac:dyDescent="0.35">
      <c r="C1143">
        <f>SUM(C1087+C1034+C999+C970+C937+C908+C875+C848)</f>
        <v>1025</v>
      </c>
      <c r="D1143">
        <f>SUM(D1087+D1034+D999+D970+D937+D908+D875+D848)</f>
        <v>2</v>
      </c>
    </row>
    <row r="1144" spans="1:4" x14ac:dyDescent="0.35">
      <c r="C1144" s="8">
        <f>C1141-C1142-C1143</f>
        <v>1954.9999999999927</v>
      </c>
      <c r="D1144" s="8">
        <f>D1141-D1142-D1143</f>
        <v>110</v>
      </c>
    </row>
    <row r="1146" spans="1:4" x14ac:dyDescent="0.35">
      <c r="C1146">
        <f>SUM(C410:C767)</f>
        <v>68019</v>
      </c>
    </row>
    <row r="1147" spans="1:4" x14ac:dyDescent="0.35">
      <c r="C1147">
        <f>SUM(C3:C409)</f>
        <v>24332</v>
      </c>
    </row>
    <row r="1151" spans="1:4" x14ac:dyDescent="0.35">
      <c r="C1151" t="s">
        <v>166</v>
      </c>
      <c r="D1151" t="s">
        <v>167</v>
      </c>
    </row>
    <row r="1152" spans="1:4" x14ac:dyDescent="0.35">
      <c r="B1152" s="60" t="s">
        <v>962</v>
      </c>
      <c r="C1152">
        <f>C3+C8+C36+C41+C69+C74+C102+C107+C135+C140+C168+C173+C207+C212+C240+C245+C279+C283+C306+C310+C332+C336+C358+C362+C384</f>
        <v>23677</v>
      </c>
      <c r="D1152">
        <f>D3+D8+D36+D41+D69+D74+D102+D107+D135+D140+D168+D173+D207+D212+D240+D245+D279+D283+D306+D310+D332+D336+D358+D362+D384</f>
        <v>514</v>
      </c>
    </row>
    <row r="1153" spans="2:4" x14ac:dyDescent="0.35">
      <c r="B1153" s="60" t="s">
        <v>963</v>
      </c>
      <c r="C1153">
        <f>C416+C439+C443+C466+C467+C468+C472+C495+C496+C497+C498+C499+C503+C526+C527+C528+C532+C555+C556+C557+C561+C584+C588+C611+C615+C638+C642+C664+C668+C690+C694+C716+C720+C742+C746</f>
        <v>66963</v>
      </c>
      <c r="D1153">
        <f>D416+D439+D443+D466+D467+D468+D472+D495+D496+D497+D498+D499+D503+D526+D527+D528+D532+D555+D556+D557+D561+D584+D588+D611+D615+D638+D642+D664+D668+D690+D694+D716+D720+D742+D746+D412</f>
        <v>162</v>
      </c>
    </row>
    <row r="1154" spans="2:4" x14ac:dyDescent="0.35">
      <c r="B1154" s="60" t="s">
        <v>964</v>
      </c>
      <c r="C1154" s="8">
        <f>C826+C876+C877+C878+C879+C880+C881+C882+C886+C909+C910+C911+C915+C938+C939+C940+C941+C942+C943+C944+C948+C971+C972+C973+C977+C1000+C1001+C1002+C1003+C1004+C1005+C1006+C1007+C1008+C1012+C1035+C1039+C1061+C1065+C1088+C1092+C1114+C1118</f>
        <v>42419.117524465379</v>
      </c>
      <c r="D1154" s="8">
        <f>D826+D876+D877+D878+D879+D880+D881+D882+D886+D909+D910+D911+D915+D938+D939+D940+D941+D942+D943+D944+D948+D971+D972+D973+D977+D1000+D1001+D1002+D1003+D1004+D1005+D1006+D1007+D1008+D1012+D1035+D1039+D1061+D1065+D1088+D1092+D1114+D1118</f>
        <v>74</v>
      </c>
    </row>
  </sheetData>
  <dataConsolidate/>
  <mergeCells count="21">
    <mergeCell ref="C404:C406"/>
    <mergeCell ref="D404:D406"/>
    <mergeCell ref="C407:C409"/>
    <mergeCell ref="D407:D409"/>
    <mergeCell ref="D381:D383"/>
    <mergeCell ref="C381:C383"/>
    <mergeCell ref="C401:C403"/>
    <mergeCell ref="C392:C394"/>
    <mergeCell ref="D392:D394"/>
    <mergeCell ref="C395:C397"/>
    <mergeCell ref="D395:D397"/>
    <mergeCell ref="C334:C335"/>
    <mergeCell ref="D334:D335"/>
    <mergeCell ref="C337:C339"/>
    <mergeCell ref="D337:D339"/>
    <mergeCell ref="C398:C400"/>
    <mergeCell ref="D398:D400"/>
    <mergeCell ref="C385:C387"/>
    <mergeCell ref="D385:D387"/>
    <mergeCell ref="C389:C391"/>
    <mergeCell ref="D389:D39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874"/>
  <sheetViews>
    <sheetView workbookViewId="0">
      <pane xSplit="3" ySplit="1" topLeftCell="D854" activePane="bottomRight" state="frozen"/>
      <selection pane="topRight" activeCell="D1" sqref="D1"/>
      <selection pane="bottomLeft" activeCell="A2" sqref="A2"/>
      <selection pane="bottomRight" activeCell="H1" sqref="H1"/>
    </sheetView>
  </sheetViews>
  <sheetFormatPr defaultRowHeight="14.5" x14ac:dyDescent="0.35"/>
  <cols>
    <col min="1" max="1" width="10.7265625" bestFit="1" customWidth="1"/>
    <col min="2" max="2" width="12.7265625" customWidth="1"/>
    <col min="4" max="4" width="14.54296875" customWidth="1"/>
    <col min="5" max="5" width="12.453125" customWidth="1"/>
    <col min="6" max="8" width="14.81640625" customWidth="1"/>
    <col min="9" max="9" width="16.453125" customWidth="1"/>
    <col min="12" max="15" width="10.7265625" customWidth="1"/>
    <col min="17" max="23" width="11.26953125" customWidth="1"/>
    <col min="24" max="24" width="13.26953125" customWidth="1"/>
    <col min="28" max="28" width="12.81640625" customWidth="1"/>
    <col min="51" max="51" width="11.7265625" customWidth="1"/>
  </cols>
  <sheetData>
    <row r="1" spans="1:85" x14ac:dyDescent="0.35">
      <c r="A1" t="s">
        <v>24</v>
      </c>
      <c r="B1" t="s">
        <v>25</v>
      </c>
      <c r="C1" t="s">
        <v>1</v>
      </c>
      <c r="D1" t="s">
        <v>22</v>
      </c>
      <c r="E1" t="s">
        <v>26</v>
      </c>
      <c r="F1" t="s">
        <v>76</v>
      </c>
      <c r="G1" t="s">
        <v>106</v>
      </c>
      <c r="H1" t="s">
        <v>180</v>
      </c>
      <c r="I1" t="s">
        <v>154</v>
      </c>
      <c r="J1" t="s">
        <v>27</v>
      </c>
      <c r="K1" t="s">
        <v>201</v>
      </c>
      <c r="L1" t="s">
        <v>961</v>
      </c>
      <c r="M1" t="s">
        <v>181</v>
      </c>
      <c r="N1" t="s">
        <v>97</v>
      </c>
      <c r="O1" t="s">
        <v>445</v>
      </c>
      <c r="P1" t="s">
        <v>62</v>
      </c>
      <c r="Q1" t="s">
        <v>199</v>
      </c>
      <c r="R1" t="s">
        <v>317</v>
      </c>
      <c r="S1" t="s">
        <v>401</v>
      </c>
      <c r="T1" t="s">
        <v>446</v>
      </c>
      <c r="U1" t="s">
        <v>654</v>
      </c>
      <c r="V1" t="s">
        <v>794</v>
      </c>
      <c r="W1" t="s">
        <v>655</v>
      </c>
      <c r="X1" t="s">
        <v>28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 t="s">
        <v>61</v>
      </c>
      <c r="AZ1" t="s">
        <v>595</v>
      </c>
      <c r="BA1" t="s">
        <v>410</v>
      </c>
      <c r="BB1" t="s">
        <v>61</v>
      </c>
      <c r="BD1" t="s">
        <v>409</v>
      </c>
      <c r="BE1" t="s">
        <v>410</v>
      </c>
    </row>
    <row r="2" spans="1:85" x14ac:dyDescent="0.35">
      <c r="A2" s="2">
        <v>42441</v>
      </c>
      <c r="B2" s="2" t="s">
        <v>69</v>
      </c>
      <c r="C2">
        <v>1</v>
      </c>
      <c r="D2">
        <v>1</v>
      </c>
      <c r="X2">
        <v>1</v>
      </c>
      <c r="Y2">
        <f>SUM(D2,D11,D20,D29)</f>
        <v>3</v>
      </c>
      <c r="AB2" s="2">
        <v>42441</v>
      </c>
      <c r="AC2">
        <v>3</v>
      </c>
      <c r="AD2">
        <v>1</v>
      </c>
      <c r="AE2">
        <v>1</v>
      </c>
      <c r="AF2">
        <v>0</v>
      </c>
      <c r="AG2">
        <v>1</v>
      </c>
      <c r="AH2">
        <v>0</v>
      </c>
      <c r="AI2">
        <v>3</v>
      </c>
      <c r="AJ2">
        <v>15</v>
      </c>
      <c r="AK2">
        <v>6</v>
      </c>
      <c r="AL2">
        <f>SUM(AC2:AK2)</f>
        <v>30</v>
      </c>
      <c r="AY2" s="2">
        <v>42441</v>
      </c>
      <c r="AZ2">
        <f>SUM(AC2:AD2,AJ2:AK2)</f>
        <v>25</v>
      </c>
      <c r="BA2">
        <f>SUM(AE2:AI2)</f>
        <v>5</v>
      </c>
      <c r="BB2">
        <f>SUM(AZ2:BA2)</f>
        <v>30</v>
      </c>
      <c r="BD2" s="7">
        <f>AZ2/4/4</f>
        <v>1.5625</v>
      </c>
      <c r="BE2" s="7">
        <f>BA2/5/4</f>
        <v>0.25</v>
      </c>
    </row>
    <row r="3" spans="1:85" x14ac:dyDescent="0.35">
      <c r="A3" s="2"/>
      <c r="B3" s="2"/>
      <c r="C3">
        <v>2</v>
      </c>
      <c r="D3">
        <v>0</v>
      </c>
      <c r="X3">
        <v>2</v>
      </c>
      <c r="Y3">
        <f t="shared" ref="Y3:Y9" si="0">SUM(D3,D12,D21,D30)</f>
        <v>1</v>
      </c>
      <c r="AB3" s="2">
        <v>42447</v>
      </c>
      <c r="AC3">
        <v>6</v>
      </c>
      <c r="AD3">
        <v>2</v>
      </c>
      <c r="AE3">
        <v>0</v>
      </c>
      <c r="AF3">
        <v>2</v>
      </c>
      <c r="AG3">
        <v>1</v>
      </c>
      <c r="AH3">
        <v>1</v>
      </c>
      <c r="AI3">
        <v>0</v>
      </c>
      <c r="AJ3">
        <v>3</v>
      </c>
      <c r="AK3">
        <v>2</v>
      </c>
      <c r="AL3">
        <f t="shared" ref="AL3:AL8" si="1">SUM(AC3:AK3)</f>
        <v>17</v>
      </c>
      <c r="AY3" s="2">
        <v>42447</v>
      </c>
      <c r="AZ3">
        <f t="shared" ref="AZ3:AZ9" si="2">SUM(AC3:AD3,AJ3:AK3)</f>
        <v>13</v>
      </c>
      <c r="BA3">
        <f t="shared" ref="BA3:BA9" si="3">SUM(AE3:AI3)</f>
        <v>4</v>
      </c>
      <c r="BB3">
        <f t="shared" ref="BB3:BB33" si="4">SUM(AZ3:BA3)</f>
        <v>17</v>
      </c>
      <c r="BD3" s="7">
        <f t="shared" ref="BD3:BD9" si="5">AZ3/4/4</f>
        <v>0.8125</v>
      </c>
      <c r="BE3" s="7">
        <f t="shared" ref="BE3:BE9" si="6">BA3/5/4</f>
        <v>0.2</v>
      </c>
    </row>
    <row r="4" spans="1:85" x14ac:dyDescent="0.35">
      <c r="C4">
        <v>3</v>
      </c>
      <c r="D4">
        <v>0</v>
      </c>
      <c r="E4">
        <v>1</v>
      </c>
      <c r="X4">
        <v>3</v>
      </c>
      <c r="Y4">
        <f t="shared" si="0"/>
        <v>1</v>
      </c>
      <c r="AB4" s="2">
        <v>42454</v>
      </c>
      <c r="AC4">
        <v>10</v>
      </c>
      <c r="AD4">
        <v>2</v>
      </c>
      <c r="AE4">
        <v>1</v>
      </c>
      <c r="AF4">
        <v>1</v>
      </c>
      <c r="AG4">
        <v>0</v>
      </c>
      <c r="AH4">
        <v>1</v>
      </c>
      <c r="AI4">
        <v>6</v>
      </c>
      <c r="AJ4">
        <v>21</v>
      </c>
      <c r="AK4">
        <v>10</v>
      </c>
      <c r="AL4">
        <f t="shared" si="1"/>
        <v>52</v>
      </c>
      <c r="AY4" s="2">
        <v>42454</v>
      </c>
      <c r="AZ4">
        <f t="shared" si="2"/>
        <v>43</v>
      </c>
      <c r="BA4">
        <f t="shared" si="3"/>
        <v>9</v>
      </c>
      <c r="BB4">
        <f t="shared" si="4"/>
        <v>52</v>
      </c>
      <c r="BD4" s="7">
        <f t="shared" si="5"/>
        <v>2.6875</v>
      </c>
      <c r="BE4" s="7">
        <f t="shared" si="6"/>
        <v>0.45</v>
      </c>
      <c r="CG4" s="45" t="s">
        <v>608</v>
      </c>
    </row>
    <row r="5" spans="1:85" x14ac:dyDescent="0.35">
      <c r="C5">
        <v>4</v>
      </c>
      <c r="D5">
        <v>0</v>
      </c>
      <c r="J5">
        <v>1</v>
      </c>
      <c r="X5">
        <v>4</v>
      </c>
      <c r="Y5">
        <f t="shared" si="0"/>
        <v>0</v>
      </c>
      <c r="AB5" s="2">
        <v>42461</v>
      </c>
      <c r="AC5">
        <v>1</v>
      </c>
      <c r="AD5">
        <v>4</v>
      </c>
      <c r="AE5">
        <v>1</v>
      </c>
      <c r="AF5">
        <v>0</v>
      </c>
      <c r="AG5">
        <v>2</v>
      </c>
      <c r="AH5">
        <v>0</v>
      </c>
      <c r="AI5">
        <v>3</v>
      </c>
      <c r="AJ5">
        <v>2</v>
      </c>
      <c r="AK5">
        <v>3</v>
      </c>
      <c r="AL5">
        <f t="shared" si="1"/>
        <v>16</v>
      </c>
      <c r="AY5" s="2">
        <v>42461</v>
      </c>
      <c r="AZ5">
        <f t="shared" si="2"/>
        <v>10</v>
      </c>
      <c r="BA5">
        <f t="shared" si="3"/>
        <v>6</v>
      </c>
      <c r="BB5">
        <f t="shared" si="4"/>
        <v>16</v>
      </c>
      <c r="BD5" s="7">
        <f t="shared" si="5"/>
        <v>0.625</v>
      </c>
      <c r="BE5" s="7">
        <f t="shared" si="6"/>
        <v>0.3</v>
      </c>
    </row>
    <row r="6" spans="1:85" x14ac:dyDescent="0.35">
      <c r="C6">
        <v>5</v>
      </c>
      <c r="D6">
        <v>0</v>
      </c>
      <c r="X6">
        <v>5</v>
      </c>
      <c r="Y6">
        <f t="shared" si="0"/>
        <v>1</v>
      </c>
      <c r="AB6" s="2">
        <v>42468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f t="shared" si="1"/>
        <v>2</v>
      </c>
      <c r="AY6" s="2">
        <v>42468</v>
      </c>
      <c r="AZ6">
        <f t="shared" si="2"/>
        <v>2</v>
      </c>
      <c r="BA6">
        <f t="shared" si="3"/>
        <v>0</v>
      </c>
      <c r="BB6">
        <f t="shared" si="4"/>
        <v>2</v>
      </c>
      <c r="BD6" s="7">
        <f t="shared" si="5"/>
        <v>0.125</v>
      </c>
      <c r="BE6" s="7">
        <f t="shared" si="6"/>
        <v>0</v>
      </c>
    </row>
    <row r="7" spans="1:85" x14ac:dyDescent="0.35">
      <c r="C7">
        <v>6</v>
      </c>
      <c r="D7">
        <v>0</v>
      </c>
      <c r="X7">
        <v>6</v>
      </c>
      <c r="Y7">
        <f t="shared" si="0"/>
        <v>0</v>
      </c>
      <c r="AB7" s="2">
        <v>42475</v>
      </c>
      <c r="AC7">
        <v>2</v>
      </c>
      <c r="AD7">
        <v>2</v>
      </c>
      <c r="AE7">
        <v>0</v>
      </c>
      <c r="AF7">
        <v>0</v>
      </c>
      <c r="AG7">
        <v>2</v>
      </c>
      <c r="AH7">
        <v>2</v>
      </c>
      <c r="AI7">
        <v>1</v>
      </c>
      <c r="AJ7">
        <v>3</v>
      </c>
      <c r="AK7">
        <v>1</v>
      </c>
      <c r="AL7">
        <f t="shared" si="1"/>
        <v>13</v>
      </c>
      <c r="AY7" s="2">
        <v>42475</v>
      </c>
      <c r="AZ7">
        <f t="shared" si="2"/>
        <v>8</v>
      </c>
      <c r="BA7">
        <f t="shared" si="3"/>
        <v>5</v>
      </c>
      <c r="BB7">
        <f t="shared" si="4"/>
        <v>13</v>
      </c>
      <c r="BD7" s="7">
        <f t="shared" si="5"/>
        <v>0.5</v>
      </c>
      <c r="BE7" s="7">
        <f t="shared" si="6"/>
        <v>0.25</v>
      </c>
    </row>
    <row r="8" spans="1:85" x14ac:dyDescent="0.35">
      <c r="C8">
        <v>7</v>
      </c>
      <c r="D8">
        <v>2</v>
      </c>
      <c r="E8">
        <v>1</v>
      </c>
      <c r="X8">
        <v>7</v>
      </c>
      <c r="Y8">
        <f t="shared" si="0"/>
        <v>3</v>
      </c>
      <c r="AB8" s="2">
        <v>42482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f t="shared" si="1"/>
        <v>2</v>
      </c>
      <c r="AY8" s="2">
        <v>42482</v>
      </c>
      <c r="AZ8">
        <f t="shared" si="2"/>
        <v>2</v>
      </c>
      <c r="BA8">
        <f t="shared" si="3"/>
        <v>0</v>
      </c>
      <c r="BB8">
        <f t="shared" si="4"/>
        <v>2</v>
      </c>
      <c r="BD8" s="7">
        <f t="shared" si="5"/>
        <v>0.125</v>
      </c>
      <c r="BE8" s="7">
        <f t="shared" si="6"/>
        <v>0</v>
      </c>
    </row>
    <row r="9" spans="1:85" x14ac:dyDescent="0.35">
      <c r="C9">
        <v>8</v>
      </c>
      <c r="D9">
        <v>10</v>
      </c>
      <c r="X9">
        <v>8</v>
      </c>
      <c r="Y9">
        <f t="shared" si="0"/>
        <v>15</v>
      </c>
      <c r="AB9" s="2">
        <v>42490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Y9" s="2">
        <v>42490</v>
      </c>
      <c r="AZ9">
        <f t="shared" si="2"/>
        <v>0</v>
      </c>
      <c r="BA9">
        <f t="shared" si="3"/>
        <v>0</v>
      </c>
      <c r="BB9">
        <f t="shared" si="4"/>
        <v>0</v>
      </c>
      <c r="BD9" s="7">
        <f t="shared" si="5"/>
        <v>0</v>
      </c>
      <c r="BE9" s="7">
        <f t="shared" si="6"/>
        <v>0</v>
      </c>
    </row>
    <row r="10" spans="1:85" x14ac:dyDescent="0.35">
      <c r="C10">
        <v>9</v>
      </c>
      <c r="D10">
        <v>2</v>
      </c>
      <c r="X10">
        <v>9</v>
      </c>
      <c r="Y10">
        <f>SUM(D10,D19,D28,D37)</f>
        <v>6</v>
      </c>
      <c r="AC10" t="s">
        <v>168</v>
      </c>
      <c r="AD10" t="s">
        <v>146</v>
      </c>
      <c r="AE10" t="s">
        <v>147</v>
      </c>
      <c r="AF10" t="s">
        <v>148</v>
      </c>
      <c r="AG10" t="s">
        <v>149</v>
      </c>
      <c r="AH10" t="s">
        <v>150</v>
      </c>
      <c r="AI10" t="s">
        <v>151</v>
      </c>
      <c r="AJ10" t="s">
        <v>152</v>
      </c>
      <c r="AK10" t="s">
        <v>169</v>
      </c>
      <c r="BD10" s="7"/>
      <c r="BE10" s="7"/>
    </row>
    <row r="11" spans="1:85" x14ac:dyDescent="0.35">
      <c r="C11">
        <v>1</v>
      </c>
      <c r="D11">
        <v>1</v>
      </c>
      <c r="AB11" t="s">
        <v>61</v>
      </c>
      <c r="AC11">
        <f>SUM(AC2:AC8)</f>
        <v>23</v>
      </c>
      <c r="AD11">
        <f t="shared" ref="AD11:AL11" si="7">SUM(AD2:AD8)</f>
        <v>11</v>
      </c>
      <c r="AE11">
        <f t="shared" si="7"/>
        <v>3</v>
      </c>
      <c r="AF11">
        <f t="shared" si="7"/>
        <v>3</v>
      </c>
      <c r="AG11">
        <f t="shared" si="7"/>
        <v>6</v>
      </c>
      <c r="AH11">
        <f t="shared" si="7"/>
        <v>4</v>
      </c>
      <c r="AI11">
        <f t="shared" si="7"/>
        <v>13</v>
      </c>
      <c r="AJ11">
        <f t="shared" si="7"/>
        <v>45</v>
      </c>
      <c r="AK11">
        <f t="shared" si="7"/>
        <v>24</v>
      </c>
      <c r="AL11">
        <f t="shared" si="7"/>
        <v>132</v>
      </c>
      <c r="BD11" s="7"/>
      <c r="BE11" s="7"/>
    </row>
    <row r="12" spans="1:85" x14ac:dyDescent="0.35">
      <c r="C12">
        <v>2</v>
      </c>
      <c r="D12">
        <v>0</v>
      </c>
      <c r="BD12" s="7"/>
      <c r="BE12" s="7"/>
    </row>
    <row r="13" spans="1:85" x14ac:dyDescent="0.35">
      <c r="C13">
        <v>3</v>
      </c>
      <c r="D13">
        <v>1</v>
      </c>
      <c r="BD13" s="7"/>
      <c r="BE13" s="7"/>
    </row>
    <row r="14" spans="1:85" x14ac:dyDescent="0.35">
      <c r="C14">
        <v>4</v>
      </c>
      <c r="D14">
        <v>0</v>
      </c>
      <c r="BD14" s="7"/>
      <c r="BE14" s="7"/>
    </row>
    <row r="15" spans="1:85" x14ac:dyDescent="0.35">
      <c r="C15">
        <v>5</v>
      </c>
      <c r="D15">
        <v>0</v>
      </c>
      <c r="BD15" s="7"/>
      <c r="BE15" s="7"/>
    </row>
    <row r="16" spans="1:85" x14ac:dyDescent="0.35">
      <c r="C16">
        <v>6</v>
      </c>
      <c r="D16">
        <v>0</v>
      </c>
      <c r="BD16" s="7"/>
      <c r="BE16" s="7"/>
    </row>
    <row r="17" spans="3:57" x14ac:dyDescent="0.35">
      <c r="C17">
        <v>7</v>
      </c>
      <c r="D17">
        <v>1</v>
      </c>
      <c r="BD17" s="7"/>
      <c r="BE17" s="7"/>
    </row>
    <row r="18" spans="3:57" x14ac:dyDescent="0.35">
      <c r="C18">
        <v>8</v>
      </c>
      <c r="D18">
        <v>3</v>
      </c>
      <c r="BD18" s="7"/>
      <c r="BE18" s="7"/>
    </row>
    <row r="19" spans="3:57" x14ac:dyDescent="0.35">
      <c r="C19">
        <v>9</v>
      </c>
      <c r="D19">
        <v>3</v>
      </c>
      <c r="BD19" s="7"/>
      <c r="BE19" s="7"/>
    </row>
    <row r="20" spans="3:57" x14ac:dyDescent="0.35">
      <c r="C20">
        <v>1</v>
      </c>
      <c r="D20">
        <v>0</v>
      </c>
      <c r="BD20" s="7"/>
      <c r="BE20" s="7"/>
    </row>
    <row r="21" spans="3:57" x14ac:dyDescent="0.35">
      <c r="C21">
        <v>2</v>
      </c>
      <c r="D21">
        <v>0</v>
      </c>
      <c r="J21">
        <v>1</v>
      </c>
      <c r="BD21" s="7"/>
      <c r="BE21" s="7"/>
    </row>
    <row r="22" spans="3:57" x14ac:dyDescent="0.35">
      <c r="C22">
        <v>3</v>
      </c>
      <c r="D22">
        <v>0</v>
      </c>
      <c r="BD22" s="7"/>
      <c r="BE22" s="7"/>
    </row>
    <row r="23" spans="3:57" x14ac:dyDescent="0.35">
      <c r="C23">
        <v>4</v>
      </c>
      <c r="D23">
        <v>0</v>
      </c>
      <c r="BD23" s="7"/>
      <c r="BE23" s="7"/>
    </row>
    <row r="24" spans="3:57" x14ac:dyDescent="0.35">
      <c r="C24">
        <v>5</v>
      </c>
      <c r="D24">
        <v>0</v>
      </c>
      <c r="BD24" s="7"/>
      <c r="BE24" s="7"/>
    </row>
    <row r="25" spans="3:57" x14ac:dyDescent="0.35">
      <c r="C25">
        <v>6</v>
      </c>
      <c r="D25">
        <v>0</v>
      </c>
      <c r="BD25" s="7"/>
      <c r="BE25" s="7"/>
    </row>
    <row r="26" spans="3:57" x14ac:dyDescent="0.35">
      <c r="C26">
        <v>7</v>
      </c>
      <c r="D26">
        <v>0</v>
      </c>
      <c r="E26">
        <v>1</v>
      </c>
      <c r="BD26" s="7"/>
      <c r="BE26" s="7"/>
    </row>
    <row r="27" spans="3:57" x14ac:dyDescent="0.35">
      <c r="C27">
        <v>8</v>
      </c>
      <c r="D27">
        <v>1</v>
      </c>
      <c r="E27">
        <v>2</v>
      </c>
      <c r="AB27" s="2">
        <v>42798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f>SUM(AC27:AK27)</f>
        <v>0</v>
      </c>
      <c r="AY27" s="2">
        <v>42798</v>
      </c>
      <c r="AZ27">
        <f t="shared" ref="AZ27:AZ33" si="8">SUM(AC27:AD27,AJ27:AK27)</f>
        <v>0</v>
      </c>
      <c r="BA27">
        <f t="shared" ref="BA27:BA33" si="9">SUM(AE27:AI27)</f>
        <v>0</v>
      </c>
      <c r="BB27">
        <f t="shared" si="4"/>
        <v>0</v>
      </c>
      <c r="BD27" s="7">
        <f t="shared" ref="BD27:BD34" si="10">AZ27/4/4</f>
        <v>0</v>
      </c>
      <c r="BE27" s="7">
        <f t="shared" ref="BE27:BE34" si="11">BA27/5/4</f>
        <v>0</v>
      </c>
    </row>
    <row r="28" spans="3:57" x14ac:dyDescent="0.35">
      <c r="C28">
        <v>9</v>
      </c>
      <c r="D28">
        <v>0</v>
      </c>
      <c r="AB28" s="2">
        <v>42804</v>
      </c>
      <c r="AC28">
        <v>6</v>
      </c>
      <c r="AD28">
        <v>2</v>
      </c>
      <c r="AE28">
        <v>3</v>
      </c>
      <c r="AF28">
        <v>4</v>
      </c>
      <c r="AG28">
        <v>2</v>
      </c>
      <c r="AH28">
        <v>1</v>
      </c>
      <c r="AI28">
        <v>4</v>
      </c>
      <c r="AJ28">
        <v>8</v>
      </c>
      <c r="AK28">
        <v>7</v>
      </c>
      <c r="AL28">
        <f t="shared" ref="AL28:AL34" si="12">SUM(AC28:AK28)</f>
        <v>37</v>
      </c>
      <c r="AY28" s="2">
        <v>42804</v>
      </c>
      <c r="AZ28">
        <f t="shared" si="8"/>
        <v>23</v>
      </c>
      <c r="BA28">
        <f t="shared" si="9"/>
        <v>14</v>
      </c>
      <c r="BB28">
        <f t="shared" si="4"/>
        <v>37</v>
      </c>
      <c r="BD28" s="7">
        <f t="shared" si="10"/>
        <v>1.4375</v>
      </c>
      <c r="BE28" s="7">
        <f t="shared" si="11"/>
        <v>0.7</v>
      </c>
    </row>
    <row r="29" spans="3:57" x14ac:dyDescent="0.35">
      <c r="C29">
        <v>1</v>
      </c>
      <c r="D29">
        <v>1</v>
      </c>
      <c r="E29">
        <v>1</v>
      </c>
      <c r="AB29" s="2">
        <v>42812</v>
      </c>
      <c r="AC29">
        <v>17</v>
      </c>
      <c r="AD29">
        <v>8</v>
      </c>
      <c r="AE29">
        <v>15</v>
      </c>
      <c r="AF29">
        <v>10</v>
      </c>
      <c r="AG29">
        <v>17</v>
      </c>
      <c r="AH29">
        <v>12</v>
      </c>
      <c r="AI29">
        <v>12</v>
      </c>
      <c r="AJ29">
        <v>14</v>
      </c>
      <c r="AK29">
        <v>29</v>
      </c>
      <c r="AL29">
        <f t="shared" si="12"/>
        <v>134</v>
      </c>
      <c r="AY29" s="2">
        <v>42812</v>
      </c>
      <c r="AZ29">
        <f t="shared" si="8"/>
        <v>68</v>
      </c>
      <c r="BA29">
        <f t="shared" si="9"/>
        <v>66</v>
      </c>
      <c r="BB29">
        <f t="shared" si="4"/>
        <v>134</v>
      </c>
      <c r="BD29" s="7">
        <f t="shared" si="10"/>
        <v>4.25</v>
      </c>
      <c r="BE29" s="7">
        <f t="shared" si="11"/>
        <v>3.3</v>
      </c>
    </row>
    <row r="30" spans="3:57" x14ac:dyDescent="0.35">
      <c r="C30">
        <v>2</v>
      </c>
      <c r="D30">
        <v>1</v>
      </c>
      <c r="K30">
        <v>1</v>
      </c>
      <c r="AB30" s="2">
        <v>42818</v>
      </c>
      <c r="AC30">
        <v>5</v>
      </c>
      <c r="AD30">
        <v>6</v>
      </c>
      <c r="AE30">
        <v>8</v>
      </c>
      <c r="AF30">
        <v>6</v>
      </c>
      <c r="AG30">
        <v>13</v>
      </c>
      <c r="AH30">
        <v>12</v>
      </c>
      <c r="AI30">
        <v>3</v>
      </c>
      <c r="AJ30">
        <v>3</v>
      </c>
      <c r="AK30">
        <v>7</v>
      </c>
      <c r="AL30">
        <f t="shared" si="12"/>
        <v>63</v>
      </c>
      <c r="AY30" s="2">
        <v>42818</v>
      </c>
      <c r="AZ30">
        <f t="shared" si="8"/>
        <v>21</v>
      </c>
      <c r="BA30">
        <f t="shared" si="9"/>
        <v>42</v>
      </c>
      <c r="BB30">
        <f t="shared" si="4"/>
        <v>63</v>
      </c>
      <c r="BD30" s="7">
        <f t="shared" si="10"/>
        <v>1.3125</v>
      </c>
      <c r="BE30" s="7">
        <f t="shared" si="11"/>
        <v>2.1</v>
      </c>
    </row>
    <row r="31" spans="3:57" x14ac:dyDescent="0.35">
      <c r="C31">
        <v>3</v>
      </c>
      <c r="D31">
        <v>0</v>
      </c>
      <c r="AB31" s="2">
        <v>42826</v>
      </c>
      <c r="AC31">
        <v>3</v>
      </c>
      <c r="AD31">
        <v>5</v>
      </c>
      <c r="AE31">
        <v>3</v>
      </c>
      <c r="AF31">
        <v>6</v>
      </c>
      <c r="AG31">
        <v>2</v>
      </c>
      <c r="AH31">
        <v>3</v>
      </c>
      <c r="AI31">
        <v>7</v>
      </c>
      <c r="AJ31">
        <v>5</v>
      </c>
      <c r="AK31">
        <v>2</v>
      </c>
      <c r="AL31">
        <f t="shared" si="12"/>
        <v>36</v>
      </c>
      <c r="AY31" s="2">
        <v>42826</v>
      </c>
      <c r="AZ31">
        <f t="shared" si="8"/>
        <v>15</v>
      </c>
      <c r="BA31">
        <f t="shared" si="9"/>
        <v>21</v>
      </c>
      <c r="BB31">
        <f t="shared" si="4"/>
        <v>36</v>
      </c>
      <c r="BD31" s="7">
        <f t="shared" si="10"/>
        <v>0.9375</v>
      </c>
      <c r="BE31" s="7">
        <f t="shared" si="11"/>
        <v>1.05</v>
      </c>
    </row>
    <row r="32" spans="3:57" x14ac:dyDescent="0.35">
      <c r="C32">
        <v>4</v>
      </c>
      <c r="D32">
        <v>0</v>
      </c>
      <c r="E32">
        <v>1</v>
      </c>
      <c r="AB32" s="2">
        <v>42832</v>
      </c>
      <c r="AC32">
        <v>3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0</v>
      </c>
      <c r="AK32">
        <v>7</v>
      </c>
      <c r="AL32">
        <f t="shared" si="12"/>
        <v>20</v>
      </c>
      <c r="AY32" s="2">
        <v>42832</v>
      </c>
      <c r="AZ32">
        <f t="shared" si="8"/>
        <v>12</v>
      </c>
      <c r="BA32">
        <f t="shared" si="9"/>
        <v>8</v>
      </c>
      <c r="BB32">
        <f t="shared" si="4"/>
        <v>20</v>
      </c>
      <c r="BD32" s="7">
        <f t="shared" si="10"/>
        <v>0.75</v>
      </c>
      <c r="BE32" s="7">
        <f t="shared" si="11"/>
        <v>0.4</v>
      </c>
    </row>
    <row r="33" spans="1:57" x14ac:dyDescent="0.35">
      <c r="C33">
        <v>5</v>
      </c>
      <c r="D33">
        <v>1</v>
      </c>
      <c r="AB33" s="2">
        <v>42840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f t="shared" si="12"/>
        <v>8</v>
      </c>
      <c r="AY33" s="2">
        <v>42840</v>
      </c>
      <c r="AZ33">
        <f t="shared" si="8"/>
        <v>2</v>
      </c>
      <c r="BA33">
        <f t="shared" si="9"/>
        <v>6</v>
      </c>
      <c r="BB33">
        <f t="shared" si="4"/>
        <v>8</v>
      </c>
      <c r="BD33" s="7">
        <f t="shared" si="10"/>
        <v>0.125</v>
      </c>
      <c r="BE33" s="7">
        <f t="shared" si="11"/>
        <v>0.3</v>
      </c>
    </row>
    <row r="34" spans="1:57" x14ac:dyDescent="0.35">
      <c r="C34">
        <v>6</v>
      </c>
      <c r="D34">
        <v>0</v>
      </c>
      <c r="AB34" s="2">
        <v>42847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f t="shared" si="12"/>
        <v>4</v>
      </c>
      <c r="AY34" s="2">
        <v>42847</v>
      </c>
      <c r="AZ34">
        <f t="shared" ref="AZ34" si="13">SUM(AC34:AD34,AJ34:AK34)</f>
        <v>1</v>
      </c>
      <c r="BA34">
        <f t="shared" ref="BA34" si="14">SUM(AE34:AI34)</f>
        <v>3</v>
      </c>
      <c r="BB34">
        <f t="shared" ref="BB34" si="15">SUM(AZ34:BA34)</f>
        <v>4</v>
      </c>
      <c r="BD34" s="7">
        <f t="shared" si="10"/>
        <v>6.25E-2</v>
      </c>
      <c r="BE34" s="7">
        <f t="shared" si="11"/>
        <v>0.15</v>
      </c>
    </row>
    <row r="35" spans="1:57" x14ac:dyDescent="0.35">
      <c r="C35">
        <v>7</v>
      </c>
      <c r="D35">
        <v>0</v>
      </c>
      <c r="AC35" t="s">
        <v>168</v>
      </c>
      <c r="AD35" t="s">
        <v>146</v>
      </c>
      <c r="AE35" t="s">
        <v>147</v>
      </c>
      <c r="AF35" t="s">
        <v>148</v>
      </c>
      <c r="AG35" t="s">
        <v>149</v>
      </c>
      <c r="AH35" t="s">
        <v>150</v>
      </c>
      <c r="AI35" t="s">
        <v>151</v>
      </c>
      <c r="AJ35" t="s">
        <v>152</v>
      </c>
      <c r="AK35" t="s">
        <v>169</v>
      </c>
      <c r="BD35" s="7"/>
      <c r="BE35" s="7"/>
    </row>
    <row r="36" spans="1:57" x14ac:dyDescent="0.35">
      <c r="C36">
        <v>8</v>
      </c>
      <c r="D36">
        <v>1</v>
      </c>
      <c r="E36">
        <v>3</v>
      </c>
      <c r="AB36" t="s">
        <v>61</v>
      </c>
      <c r="AC36">
        <f>SUM(AC27:AC34)</f>
        <v>35</v>
      </c>
      <c r="AD36">
        <f t="shared" ref="AD36:AK36" si="16">SUM(AD27:AD34)</f>
        <v>23</v>
      </c>
      <c r="AE36">
        <f t="shared" si="16"/>
        <v>33</v>
      </c>
      <c r="AF36">
        <f t="shared" si="16"/>
        <v>29</v>
      </c>
      <c r="AG36">
        <f t="shared" si="16"/>
        <v>37</v>
      </c>
      <c r="AH36">
        <f t="shared" si="16"/>
        <v>31</v>
      </c>
      <c r="AI36">
        <f t="shared" si="16"/>
        <v>30</v>
      </c>
      <c r="AJ36">
        <f t="shared" si="16"/>
        <v>31</v>
      </c>
      <c r="AK36">
        <f t="shared" si="16"/>
        <v>53</v>
      </c>
      <c r="BD36" s="7"/>
      <c r="BE36" s="7"/>
    </row>
    <row r="37" spans="1:57" x14ac:dyDescent="0.35">
      <c r="C37">
        <v>9</v>
      </c>
      <c r="D37">
        <v>1</v>
      </c>
      <c r="G37" s="7"/>
      <c r="H37" s="42"/>
      <c r="BD37" s="7"/>
      <c r="BE37" s="7"/>
    </row>
    <row r="38" spans="1:57" s="30" customFormat="1" x14ac:dyDescent="0.35">
      <c r="A38" s="29">
        <v>42447</v>
      </c>
      <c r="B38" s="30" t="s">
        <v>60</v>
      </c>
      <c r="C38" s="30">
        <v>1</v>
      </c>
      <c r="D38" s="30">
        <v>0</v>
      </c>
      <c r="E38" s="30">
        <v>2</v>
      </c>
      <c r="X38" s="30">
        <v>1</v>
      </c>
      <c r="Y38" s="30">
        <f>SUM(D38,D47,D56,D65)</f>
        <v>6</v>
      </c>
      <c r="AZ38"/>
      <c r="BA38"/>
      <c r="BB38"/>
      <c r="BD38" s="7"/>
      <c r="BE38" s="7"/>
    </row>
    <row r="39" spans="1:57" x14ac:dyDescent="0.35">
      <c r="C39">
        <v>2</v>
      </c>
      <c r="D39">
        <v>0</v>
      </c>
      <c r="E39">
        <v>2</v>
      </c>
      <c r="X39">
        <v>2</v>
      </c>
      <c r="Y39">
        <f t="shared" ref="Y39:Y45" si="17">SUM(D39,D48,D57,D66)</f>
        <v>2</v>
      </c>
      <c r="BD39" s="7"/>
      <c r="BE39" s="7"/>
    </row>
    <row r="40" spans="1:57" x14ac:dyDescent="0.35">
      <c r="C40">
        <v>3</v>
      </c>
      <c r="D40">
        <v>0</v>
      </c>
      <c r="E40">
        <v>2</v>
      </c>
      <c r="X40">
        <v>3</v>
      </c>
      <c r="Y40">
        <f t="shared" si="17"/>
        <v>0</v>
      </c>
      <c r="BD40" s="7"/>
      <c r="BE40" s="7"/>
    </row>
    <row r="41" spans="1:57" x14ac:dyDescent="0.35">
      <c r="C41">
        <v>4</v>
      </c>
      <c r="D41">
        <v>0</v>
      </c>
      <c r="E41">
        <v>3</v>
      </c>
      <c r="X41">
        <v>4</v>
      </c>
      <c r="Y41">
        <f t="shared" si="17"/>
        <v>2</v>
      </c>
      <c r="BD41" s="7"/>
      <c r="BE41" s="7"/>
    </row>
    <row r="42" spans="1:57" x14ac:dyDescent="0.35">
      <c r="C42">
        <v>5</v>
      </c>
      <c r="D42">
        <v>0</v>
      </c>
      <c r="E42">
        <v>1</v>
      </c>
      <c r="X42">
        <v>5</v>
      </c>
      <c r="Y42">
        <f t="shared" si="17"/>
        <v>1</v>
      </c>
      <c r="BD42" s="7"/>
      <c r="BE42" s="7"/>
    </row>
    <row r="43" spans="1:57" x14ac:dyDescent="0.35">
      <c r="C43">
        <v>6</v>
      </c>
      <c r="D43">
        <v>1</v>
      </c>
      <c r="X43">
        <v>6</v>
      </c>
      <c r="Y43">
        <f t="shared" si="17"/>
        <v>1</v>
      </c>
      <c r="BD43" s="7"/>
      <c r="BE43" s="7"/>
    </row>
    <row r="44" spans="1:57" x14ac:dyDescent="0.35">
      <c r="C44">
        <v>7</v>
      </c>
      <c r="D44">
        <v>0</v>
      </c>
      <c r="E44">
        <v>2</v>
      </c>
      <c r="X44">
        <v>7</v>
      </c>
      <c r="Y44">
        <f t="shared" si="17"/>
        <v>0</v>
      </c>
      <c r="BD44" s="7"/>
      <c r="BE44" s="7"/>
    </row>
    <row r="45" spans="1:57" x14ac:dyDescent="0.35">
      <c r="C45">
        <v>8</v>
      </c>
      <c r="D45">
        <v>0</v>
      </c>
      <c r="X45">
        <v>8</v>
      </c>
      <c r="Y45">
        <f t="shared" si="17"/>
        <v>3</v>
      </c>
    </row>
    <row r="46" spans="1:57" x14ac:dyDescent="0.35">
      <c r="C46">
        <v>9</v>
      </c>
      <c r="D46">
        <v>0</v>
      </c>
      <c r="E46">
        <v>1</v>
      </c>
      <c r="L46" s="12">
        <v>1</v>
      </c>
      <c r="M46" s="12"/>
      <c r="N46" s="12"/>
      <c r="O46" s="12"/>
      <c r="X46">
        <v>9</v>
      </c>
      <c r="Y46">
        <f>SUM(D46,D55,D64,D73)</f>
        <v>2</v>
      </c>
    </row>
    <row r="47" spans="1:57" x14ac:dyDescent="0.35">
      <c r="C47">
        <v>1</v>
      </c>
      <c r="D47">
        <v>1</v>
      </c>
      <c r="E47">
        <v>1</v>
      </c>
      <c r="L47" s="12"/>
      <c r="M47" s="12"/>
      <c r="N47" s="12"/>
      <c r="O47" s="12"/>
    </row>
    <row r="48" spans="1:57" x14ac:dyDescent="0.35">
      <c r="C48">
        <v>2</v>
      </c>
      <c r="D48">
        <v>2</v>
      </c>
      <c r="L48" s="12"/>
      <c r="M48" s="12"/>
      <c r="N48" s="12"/>
      <c r="O48" s="12"/>
    </row>
    <row r="49" spans="3:57" x14ac:dyDescent="0.35">
      <c r="C49">
        <v>3</v>
      </c>
      <c r="D49">
        <v>0</v>
      </c>
      <c r="E49">
        <v>2</v>
      </c>
      <c r="L49" s="12"/>
      <c r="M49" s="12"/>
      <c r="N49" s="12"/>
      <c r="O49" s="12"/>
    </row>
    <row r="50" spans="3:57" x14ac:dyDescent="0.35">
      <c r="C50">
        <v>4</v>
      </c>
      <c r="D50">
        <v>0</v>
      </c>
      <c r="E50">
        <v>2</v>
      </c>
      <c r="L50" s="12"/>
      <c r="M50" s="12"/>
      <c r="N50" s="12"/>
      <c r="O50" s="12"/>
    </row>
    <row r="51" spans="3:57" x14ac:dyDescent="0.35">
      <c r="C51">
        <v>5</v>
      </c>
      <c r="D51">
        <v>0</v>
      </c>
      <c r="L51" s="12"/>
      <c r="M51" s="12"/>
      <c r="N51" s="12"/>
      <c r="O51" s="12"/>
    </row>
    <row r="52" spans="3:57" x14ac:dyDescent="0.35">
      <c r="C52">
        <v>6</v>
      </c>
      <c r="D52">
        <v>0</v>
      </c>
      <c r="L52" s="12"/>
      <c r="M52" s="12"/>
      <c r="N52" s="12"/>
      <c r="O52" s="12"/>
    </row>
    <row r="53" spans="3:57" x14ac:dyDescent="0.35">
      <c r="C53">
        <v>7</v>
      </c>
      <c r="D53">
        <v>0</v>
      </c>
      <c r="L53" s="12">
        <v>1</v>
      </c>
      <c r="M53" s="12"/>
      <c r="N53" s="12"/>
      <c r="O53" s="12"/>
    </row>
    <row r="54" spans="3:57" x14ac:dyDescent="0.35">
      <c r="C54">
        <v>8</v>
      </c>
      <c r="D54">
        <v>1</v>
      </c>
      <c r="L54" s="12"/>
      <c r="M54" s="12"/>
      <c r="N54" s="12"/>
      <c r="O54" s="12"/>
    </row>
    <row r="55" spans="3:57" x14ac:dyDescent="0.35">
      <c r="C55">
        <v>9</v>
      </c>
      <c r="D55">
        <v>0</v>
      </c>
      <c r="E55">
        <v>1</v>
      </c>
      <c r="L55" s="12"/>
      <c r="M55" s="12"/>
      <c r="N55" s="12"/>
      <c r="O55" s="12"/>
    </row>
    <row r="56" spans="3:57" x14ac:dyDescent="0.35">
      <c r="C56">
        <v>1</v>
      </c>
      <c r="D56">
        <v>3</v>
      </c>
      <c r="L56" s="12"/>
      <c r="M56" s="12"/>
      <c r="N56" s="12"/>
      <c r="O56" s="12"/>
    </row>
    <row r="57" spans="3:57" x14ac:dyDescent="0.35">
      <c r="C57">
        <v>2</v>
      </c>
      <c r="D57">
        <v>0</v>
      </c>
      <c r="E57">
        <v>2</v>
      </c>
      <c r="L57" s="12"/>
      <c r="M57" s="12"/>
      <c r="N57" s="12"/>
      <c r="O57" s="12"/>
    </row>
    <row r="58" spans="3:57" x14ac:dyDescent="0.35">
      <c r="C58">
        <v>3</v>
      </c>
      <c r="D58">
        <v>0</v>
      </c>
      <c r="E58">
        <v>1</v>
      </c>
      <c r="L58" s="12"/>
      <c r="M58" s="12"/>
      <c r="N58" s="12"/>
      <c r="O58" s="12"/>
    </row>
    <row r="59" spans="3:57" x14ac:dyDescent="0.35">
      <c r="C59">
        <v>4</v>
      </c>
      <c r="D59">
        <v>1</v>
      </c>
      <c r="E59">
        <v>2</v>
      </c>
      <c r="L59" s="12">
        <v>1</v>
      </c>
      <c r="M59" s="12"/>
      <c r="N59" s="12"/>
      <c r="O59" s="12"/>
      <c r="AB59" s="2">
        <v>43179</v>
      </c>
      <c r="AC59">
        <v>3</v>
      </c>
      <c r="AD59">
        <v>3</v>
      </c>
      <c r="AE59">
        <v>2</v>
      </c>
      <c r="AF59">
        <v>1</v>
      </c>
      <c r="AG59">
        <v>0</v>
      </c>
      <c r="AH59">
        <v>1</v>
      </c>
      <c r="AI59">
        <v>4</v>
      </c>
      <c r="AJ59">
        <v>2</v>
      </c>
      <c r="AK59">
        <v>1</v>
      </c>
      <c r="AL59">
        <f>SUM(AC59:AK59)</f>
        <v>17</v>
      </c>
      <c r="AY59" s="2">
        <v>43179</v>
      </c>
      <c r="AZ59">
        <f t="shared" ref="AZ59:AZ66" si="18">SUM(AC59:AD59,AJ59:AK59)</f>
        <v>9</v>
      </c>
      <c r="BA59">
        <f t="shared" ref="BA59:BA66" si="19">SUM(AE59:AI59)</f>
        <v>8</v>
      </c>
      <c r="BB59">
        <f t="shared" ref="BB59:BB66" si="20">SUM(AZ59:BA59)</f>
        <v>17</v>
      </c>
      <c r="BD59" s="7">
        <f t="shared" ref="BD59:BD66" si="21">AZ59/4/4</f>
        <v>0.5625</v>
      </c>
      <c r="BE59" s="7">
        <f t="shared" ref="BE59:BE66" si="22">BA59/5/4</f>
        <v>0.4</v>
      </c>
    </row>
    <row r="60" spans="3:57" x14ac:dyDescent="0.35">
      <c r="C60">
        <v>5</v>
      </c>
      <c r="D60">
        <v>0</v>
      </c>
      <c r="E60">
        <v>4</v>
      </c>
      <c r="AB60" s="2">
        <v>43186</v>
      </c>
      <c r="AC60">
        <v>30</v>
      </c>
      <c r="AD60">
        <v>38</v>
      </c>
      <c r="AE60">
        <v>51</v>
      </c>
      <c r="AF60">
        <v>31</v>
      </c>
      <c r="AG60">
        <v>25</v>
      </c>
      <c r="AH60">
        <v>26</v>
      </c>
      <c r="AI60">
        <v>37</v>
      </c>
      <c r="AJ60">
        <v>35</v>
      </c>
      <c r="AK60">
        <v>34</v>
      </c>
      <c r="AL60">
        <f t="shared" ref="AL60:AL66" si="23">SUM(AC60:AK60)</f>
        <v>307</v>
      </c>
      <c r="AY60" s="2">
        <v>43186</v>
      </c>
      <c r="AZ60">
        <f t="shared" si="18"/>
        <v>137</v>
      </c>
      <c r="BA60">
        <f t="shared" si="19"/>
        <v>170</v>
      </c>
      <c r="BB60">
        <f t="shared" si="20"/>
        <v>307</v>
      </c>
      <c r="BD60" s="7">
        <f t="shared" si="21"/>
        <v>8.5625</v>
      </c>
      <c r="BE60" s="7">
        <f t="shared" si="22"/>
        <v>8.5</v>
      </c>
    </row>
    <row r="61" spans="3:57" x14ac:dyDescent="0.35">
      <c r="C61">
        <v>6</v>
      </c>
      <c r="D61">
        <v>0</v>
      </c>
      <c r="E61">
        <v>1</v>
      </c>
      <c r="AB61" s="2">
        <v>43193</v>
      </c>
      <c r="AC61">
        <v>37</v>
      </c>
      <c r="AD61">
        <v>10</v>
      </c>
      <c r="AE61">
        <v>13</v>
      </c>
      <c r="AF61">
        <v>22</v>
      </c>
      <c r="AG61">
        <v>9</v>
      </c>
      <c r="AH61">
        <v>18</v>
      </c>
      <c r="AI61">
        <v>30</v>
      </c>
      <c r="AJ61">
        <v>25</v>
      </c>
      <c r="AK61">
        <v>42</v>
      </c>
      <c r="AL61">
        <f t="shared" si="23"/>
        <v>206</v>
      </c>
      <c r="AY61" s="2">
        <v>43193</v>
      </c>
      <c r="AZ61">
        <f t="shared" si="18"/>
        <v>114</v>
      </c>
      <c r="BA61">
        <f t="shared" si="19"/>
        <v>92</v>
      </c>
      <c r="BB61">
        <f t="shared" si="20"/>
        <v>206</v>
      </c>
      <c r="BD61" s="7">
        <f t="shared" si="21"/>
        <v>7.125</v>
      </c>
      <c r="BE61" s="7">
        <f t="shared" si="22"/>
        <v>4.5999999999999996</v>
      </c>
    </row>
    <row r="62" spans="3:57" x14ac:dyDescent="0.35">
      <c r="C62">
        <v>7</v>
      </c>
      <c r="D62">
        <v>0</v>
      </c>
      <c r="AB62" s="2">
        <v>43199</v>
      </c>
      <c r="AC62">
        <v>6</v>
      </c>
      <c r="AD62">
        <v>5</v>
      </c>
      <c r="AE62">
        <v>7</v>
      </c>
      <c r="AF62">
        <v>12</v>
      </c>
      <c r="AG62">
        <v>9</v>
      </c>
      <c r="AH62">
        <v>18</v>
      </c>
      <c r="AI62">
        <v>14</v>
      </c>
      <c r="AJ62">
        <v>6</v>
      </c>
      <c r="AK62">
        <v>21</v>
      </c>
      <c r="AL62">
        <f t="shared" si="23"/>
        <v>98</v>
      </c>
      <c r="AY62" s="2">
        <v>43199</v>
      </c>
      <c r="AZ62">
        <f t="shared" si="18"/>
        <v>38</v>
      </c>
      <c r="BA62">
        <f t="shared" si="19"/>
        <v>60</v>
      </c>
      <c r="BB62">
        <f t="shared" si="20"/>
        <v>98</v>
      </c>
      <c r="BD62" s="7">
        <f t="shared" si="21"/>
        <v>2.375</v>
      </c>
      <c r="BE62" s="7">
        <f t="shared" si="22"/>
        <v>3</v>
      </c>
    </row>
    <row r="63" spans="3:57" x14ac:dyDescent="0.35">
      <c r="C63">
        <v>8</v>
      </c>
      <c r="D63">
        <v>1</v>
      </c>
      <c r="E63">
        <v>2</v>
      </c>
      <c r="AB63" s="2">
        <v>43206</v>
      </c>
      <c r="AC63">
        <v>31</v>
      </c>
      <c r="AD63">
        <v>16</v>
      </c>
      <c r="AE63">
        <v>11</v>
      </c>
      <c r="AF63">
        <v>22</v>
      </c>
      <c r="AG63">
        <v>15</v>
      </c>
      <c r="AH63">
        <v>25</v>
      </c>
      <c r="AI63">
        <v>24</v>
      </c>
      <c r="AJ63">
        <v>8</v>
      </c>
      <c r="AK63">
        <v>24</v>
      </c>
      <c r="AL63">
        <f t="shared" si="23"/>
        <v>176</v>
      </c>
      <c r="AY63" s="2">
        <v>43206</v>
      </c>
      <c r="AZ63">
        <f t="shared" si="18"/>
        <v>79</v>
      </c>
      <c r="BA63">
        <f t="shared" si="19"/>
        <v>97</v>
      </c>
      <c r="BB63">
        <f t="shared" si="20"/>
        <v>176</v>
      </c>
      <c r="BD63" s="7">
        <f t="shared" si="21"/>
        <v>4.9375</v>
      </c>
      <c r="BE63" s="7">
        <f t="shared" si="22"/>
        <v>4.8499999999999996</v>
      </c>
    </row>
    <row r="64" spans="3:57" x14ac:dyDescent="0.35">
      <c r="C64">
        <v>9</v>
      </c>
      <c r="D64">
        <v>2</v>
      </c>
      <c r="E64">
        <v>1</v>
      </c>
      <c r="P64">
        <v>1</v>
      </c>
      <c r="AB64" s="2">
        <v>43214</v>
      </c>
      <c r="AC64">
        <v>13</v>
      </c>
      <c r="AD64">
        <v>8</v>
      </c>
      <c r="AE64">
        <v>12</v>
      </c>
      <c r="AF64">
        <v>11</v>
      </c>
      <c r="AG64">
        <v>15</v>
      </c>
      <c r="AH64">
        <v>14</v>
      </c>
      <c r="AI64">
        <v>16</v>
      </c>
      <c r="AJ64">
        <v>12</v>
      </c>
      <c r="AK64">
        <v>22</v>
      </c>
      <c r="AL64">
        <f t="shared" si="23"/>
        <v>123</v>
      </c>
      <c r="AY64" s="2">
        <v>43214</v>
      </c>
      <c r="AZ64">
        <f t="shared" si="18"/>
        <v>55</v>
      </c>
      <c r="BA64">
        <f t="shared" si="19"/>
        <v>68</v>
      </c>
      <c r="BB64">
        <f t="shared" si="20"/>
        <v>123</v>
      </c>
      <c r="BD64" s="7">
        <f t="shared" si="21"/>
        <v>3.4375</v>
      </c>
      <c r="BE64" s="7">
        <f t="shared" si="22"/>
        <v>3.4</v>
      </c>
    </row>
    <row r="65" spans="1:57" x14ac:dyDescent="0.35">
      <c r="C65">
        <v>1</v>
      </c>
      <c r="D65">
        <v>2</v>
      </c>
      <c r="E65">
        <v>1</v>
      </c>
      <c r="AB65" s="2">
        <v>43222</v>
      </c>
      <c r="AC65">
        <v>14</v>
      </c>
      <c r="AD65">
        <v>10</v>
      </c>
      <c r="AE65">
        <v>4</v>
      </c>
      <c r="AF65">
        <v>5</v>
      </c>
      <c r="AG65">
        <v>1</v>
      </c>
      <c r="AH65">
        <v>1</v>
      </c>
      <c r="AI65">
        <v>6</v>
      </c>
      <c r="AJ65">
        <v>7</v>
      </c>
      <c r="AK65">
        <v>12</v>
      </c>
      <c r="AL65">
        <f t="shared" si="23"/>
        <v>60</v>
      </c>
      <c r="AY65" s="2">
        <v>43222</v>
      </c>
      <c r="AZ65">
        <f t="shared" si="18"/>
        <v>43</v>
      </c>
      <c r="BA65">
        <f t="shared" si="19"/>
        <v>17</v>
      </c>
      <c r="BB65">
        <f t="shared" si="20"/>
        <v>60</v>
      </c>
      <c r="BD65" s="7">
        <f t="shared" si="21"/>
        <v>2.6875</v>
      </c>
      <c r="BE65" s="7">
        <f t="shared" si="22"/>
        <v>0.85</v>
      </c>
    </row>
    <row r="66" spans="1:57" x14ac:dyDescent="0.35">
      <c r="C66">
        <v>2</v>
      </c>
      <c r="D66">
        <v>0</v>
      </c>
      <c r="E66">
        <v>4</v>
      </c>
      <c r="AB66" s="2">
        <v>43235</v>
      </c>
      <c r="AC66">
        <v>9</v>
      </c>
      <c r="AD66">
        <v>0</v>
      </c>
      <c r="AE66">
        <v>0</v>
      </c>
      <c r="AF66">
        <v>5</v>
      </c>
      <c r="AG66">
        <v>1</v>
      </c>
      <c r="AH66">
        <v>8</v>
      </c>
      <c r="AI66">
        <v>3</v>
      </c>
      <c r="AJ66">
        <v>8</v>
      </c>
      <c r="AK66">
        <v>6</v>
      </c>
      <c r="AL66">
        <f t="shared" si="23"/>
        <v>40</v>
      </c>
      <c r="AY66" s="2">
        <v>43235</v>
      </c>
      <c r="AZ66">
        <f t="shared" si="18"/>
        <v>23</v>
      </c>
      <c r="BA66">
        <f t="shared" si="19"/>
        <v>17</v>
      </c>
      <c r="BB66">
        <f t="shared" si="20"/>
        <v>40</v>
      </c>
      <c r="BD66" s="7">
        <f t="shared" si="21"/>
        <v>1.4375</v>
      </c>
      <c r="BE66" s="7">
        <f t="shared" si="22"/>
        <v>0.85</v>
      </c>
    </row>
    <row r="67" spans="1:57" x14ac:dyDescent="0.35">
      <c r="C67">
        <v>3</v>
      </c>
      <c r="D67">
        <v>0</v>
      </c>
      <c r="E67">
        <v>3</v>
      </c>
      <c r="AC67" t="s">
        <v>168</v>
      </c>
      <c r="AD67" t="s">
        <v>146</v>
      </c>
      <c r="AE67" t="s">
        <v>147</v>
      </c>
      <c r="AF67" t="s">
        <v>148</v>
      </c>
      <c r="AG67" t="s">
        <v>149</v>
      </c>
      <c r="AH67" t="s">
        <v>150</v>
      </c>
      <c r="AI67" t="s">
        <v>151</v>
      </c>
      <c r="AJ67" t="s">
        <v>152</v>
      </c>
      <c r="AK67" t="s">
        <v>169</v>
      </c>
    </row>
    <row r="68" spans="1:57" x14ac:dyDescent="0.35">
      <c r="C68">
        <v>4</v>
      </c>
      <c r="D68">
        <v>1</v>
      </c>
      <c r="E68">
        <v>3</v>
      </c>
      <c r="AB68" t="s">
        <v>61</v>
      </c>
      <c r="AC68">
        <f>SUM(AC59:AC66)</f>
        <v>143</v>
      </c>
      <c r="AD68">
        <f t="shared" ref="AD68:AK68" si="24">SUM(AD59:AD66)</f>
        <v>90</v>
      </c>
      <c r="AE68">
        <f t="shared" si="24"/>
        <v>100</v>
      </c>
      <c r="AF68">
        <f t="shared" si="24"/>
        <v>109</v>
      </c>
      <c r="AG68">
        <f t="shared" si="24"/>
        <v>75</v>
      </c>
      <c r="AH68">
        <f t="shared" si="24"/>
        <v>111</v>
      </c>
      <c r="AI68">
        <f t="shared" si="24"/>
        <v>134</v>
      </c>
      <c r="AJ68">
        <f t="shared" si="24"/>
        <v>103</v>
      </c>
      <c r="AK68">
        <f t="shared" si="24"/>
        <v>162</v>
      </c>
    </row>
    <row r="69" spans="1:57" x14ac:dyDescent="0.35">
      <c r="C69">
        <v>5</v>
      </c>
      <c r="D69">
        <v>1</v>
      </c>
    </row>
    <row r="70" spans="1:57" x14ac:dyDescent="0.35">
      <c r="C70">
        <v>6</v>
      </c>
      <c r="D70">
        <v>0</v>
      </c>
      <c r="E70">
        <v>2</v>
      </c>
    </row>
    <row r="71" spans="1:57" x14ac:dyDescent="0.35">
      <c r="C71">
        <v>7</v>
      </c>
      <c r="D71">
        <v>0</v>
      </c>
      <c r="E71">
        <v>2</v>
      </c>
    </row>
    <row r="72" spans="1:57" x14ac:dyDescent="0.35">
      <c r="C72">
        <v>8</v>
      </c>
      <c r="D72">
        <v>1</v>
      </c>
      <c r="E72">
        <v>1</v>
      </c>
    </row>
    <row r="73" spans="1:57" x14ac:dyDescent="0.35">
      <c r="C73">
        <v>9</v>
      </c>
      <c r="D73">
        <v>0</v>
      </c>
      <c r="E73">
        <v>1</v>
      </c>
      <c r="G73" s="7"/>
    </row>
    <row r="74" spans="1:57" s="30" customFormat="1" x14ac:dyDescent="0.35">
      <c r="A74" s="29">
        <v>42454</v>
      </c>
      <c r="B74" s="30" t="s">
        <v>68</v>
      </c>
      <c r="C74" s="30">
        <v>1</v>
      </c>
      <c r="D74" s="30">
        <v>4</v>
      </c>
      <c r="E74" s="30">
        <v>2</v>
      </c>
      <c r="X74" s="30">
        <v>1</v>
      </c>
      <c r="Y74" s="30">
        <f>SUM(D74,D83,D92,D101)</f>
        <v>10</v>
      </c>
    </row>
    <row r="75" spans="1:57" x14ac:dyDescent="0.35">
      <c r="C75">
        <v>2</v>
      </c>
      <c r="D75">
        <v>1</v>
      </c>
      <c r="E75">
        <v>4</v>
      </c>
      <c r="L75">
        <v>1</v>
      </c>
      <c r="X75">
        <v>2</v>
      </c>
      <c r="Y75">
        <f t="shared" ref="Y75:Y81" si="25">SUM(D75,D84,D93,D102)</f>
        <v>2</v>
      </c>
    </row>
    <row r="76" spans="1:57" x14ac:dyDescent="0.35">
      <c r="C76">
        <v>3</v>
      </c>
      <c r="D76">
        <v>0</v>
      </c>
      <c r="E76">
        <v>1</v>
      </c>
      <c r="X76">
        <v>3</v>
      </c>
      <c r="Y76">
        <f t="shared" si="25"/>
        <v>1</v>
      </c>
    </row>
    <row r="77" spans="1:57" x14ac:dyDescent="0.35">
      <c r="C77">
        <v>4</v>
      </c>
      <c r="D77">
        <v>0</v>
      </c>
      <c r="E77">
        <v>6</v>
      </c>
      <c r="X77">
        <v>4</v>
      </c>
      <c r="Y77">
        <f t="shared" si="25"/>
        <v>1</v>
      </c>
    </row>
    <row r="78" spans="1:57" x14ac:dyDescent="0.35">
      <c r="C78">
        <v>5</v>
      </c>
      <c r="D78">
        <v>0</v>
      </c>
      <c r="E78">
        <v>1</v>
      </c>
      <c r="X78">
        <v>5</v>
      </c>
      <c r="Y78">
        <f t="shared" si="25"/>
        <v>0</v>
      </c>
    </row>
    <row r="79" spans="1:57" x14ac:dyDescent="0.35">
      <c r="C79">
        <v>6</v>
      </c>
      <c r="D79">
        <v>0</v>
      </c>
      <c r="E79">
        <v>4</v>
      </c>
      <c r="L79">
        <v>1</v>
      </c>
      <c r="X79">
        <v>6</v>
      </c>
      <c r="Y79">
        <f t="shared" si="25"/>
        <v>1</v>
      </c>
    </row>
    <row r="80" spans="1:57" x14ac:dyDescent="0.35">
      <c r="C80">
        <v>7</v>
      </c>
      <c r="D80">
        <v>0</v>
      </c>
      <c r="E80">
        <v>2</v>
      </c>
      <c r="X80">
        <v>7</v>
      </c>
      <c r="Y80">
        <f t="shared" si="25"/>
        <v>6</v>
      </c>
    </row>
    <row r="81" spans="3:37" x14ac:dyDescent="0.35">
      <c r="C81">
        <v>8</v>
      </c>
      <c r="D81">
        <v>7</v>
      </c>
      <c r="E81">
        <v>1</v>
      </c>
      <c r="X81">
        <v>8</v>
      </c>
      <c r="Y81">
        <f t="shared" si="25"/>
        <v>21</v>
      </c>
    </row>
    <row r="82" spans="3:37" x14ac:dyDescent="0.35">
      <c r="C82">
        <v>9</v>
      </c>
      <c r="D82">
        <v>4</v>
      </c>
      <c r="E82">
        <v>2</v>
      </c>
      <c r="P82">
        <v>2</v>
      </c>
      <c r="X82">
        <v>9</v>
      </c>
      <c r="Y82">
        <f>SUM(D82,D91,D100,D109)</f>
        <v>10</v>
      </c>
    </row>
    <row r="83" spans="3:37" x14ac:dyDescent="0.35">
      <c r="C83">
        <v>1</v>
      </c>
      <c r="D83">
        <v>2</v>
      </c>
      <c r="E83">
        <v>1</v>
      </c>
    </row>
    <row r="84" spans="3:37" x14ac:dyDescent="0.35">
      <c r="C84">
        <v>2</v>
      </c>
      <c r="D84">
        <v>1</v>
      </c>
      <c r="E84">
        <v>3</v>
      </c>
    </row>
    <row r="85" spans="3:37" x14ac:dyDescent="0.35">
      <c r="C85">
        <v>3</v>
      </c>
      <c r="D85">
        <v>0</v>
      </c>
      <c r="E85">
        <v>2</v>
      </c>
    </row>
    <row r="86" spans="3:37" x14ac:dyDescent="0.35">
      <c r="C86">
        <v>4</v>
      </c>
      <c r="D86">
        <v>0</v>
      </c>
      <c r="E86">
        <v>4</v>
      </c>
      <c r="AC86" t="s">
        <v>168</v>
      </c>
      <c r="AD86" t="s">
        <v>146</v>
      </c>
      <c r="AE86" t="s">
        <v>147</v>
      </c>
      <c r="AF86" t="s">
        <v>148</v>
      </c>
      <c r="AG86" t="s">
        <v>149</v>
      </c>
      <c r="AH86" t="s">
        <v>150</v>
      </c>
      <c r="AI86" t="s">
        <v>151</v>
      </c>
      <c r="AJ86" t="s">
        <v>152</v>
      </c>
      <c r="AK86" t="s">
        <v>169</v>
      </c>
    </row>
    <row r="87" spans="3:37" x14ac:dyDescent="0.35">
      <c r="C87">
        <v>5</v>
      </c>
      <c r="D87">
        <v>0</v>
      </c>
      <c r="E87">
        <v>3</v>
      </c>
      <c r="AB87">
        <v>2016</v>
      </c>
      <c r="AC87">
        <v>23</v>
      </c>
      <c r="AD87">
        <v>11</v>
      </c>
      <c r="AE87">
        <v>3</v>
      </c>
      <c r="AF87">
        <v>3</v>
      </c>
      <c r="AG87">
        <v>6</v>
      </c>
      <c r="AH87">
        <v>4</v>
      </c>
      <c r="AI87">
        <v>13</v>
      </c>
      <c r="AJ87">
        <v>45</v>
      </c>
      <c r="AK87">
        <v>24</v>
      </c>
    </row>
    <row r="88" spans="3:37" x14ac:dyDescent="0.35">
      <c r="C88">
        <v>6</v>
      </c>
      <c r="D88">
        <v>0</v>
      </c>
      <c r="E88">
        <v>3</v>
      </c>
      <c r="AB88">
        <v>2017</v>
      </c>
      <c r="AC88">
        <v>35</v>
      </c>
      <c r="AD88">
        <v>23</v>
      </c>
      <c r="AE88">
        <v>33</v>
      </c>
      <c r="AF88">
        <v>29</v>
      </c>
      <c r="AG88">
        <v>37</v>
      </c>
      <c r="AH88">
        <v>31</v>
      </c>
      <c r="AI88">
        <v>30</v>
      </c>
      <c r="AJ88">
        <v>31</v>
      </c>
      <c r="AK88">
        <v>53</v>
      </c>
    </row>
    <row r="89" spans="3:37" x14ac:dyDescent="0.35">
      <c r="C89">
        <v>7</v>
      </c>
      <c r="D89">
        <v>0</v>
      </c>
      <c r="E89">
        <v>1</v>
      </c>
      <c r="AB89">
        <v>2018</v>
      </c>
      <c r="AC89">
        <v>143</v>
      </c>
      <c r="AD89">
        <v>90</v>
      </c>
      <c r="AE89">
        <v>100</v>
      </c>
      <c r="AF89">
        <v>109</v>
      </c>
      <c r="AG89">
        <v>75</v>
      </c>
      <c r="AH89">
        <v>111</v>
      </c>
      <c r="AI89">
        <v>134</v>
      </c>
      <c r="AJ89">
        <v>103</v>
      </c>
      <c r="AK89">
        <v>162</v>
      </c>
    </row>
    <row r="90" spans="3:37" x14ac:dyDescent="0.35">
      <c r="C90">
        <v>8</v>
      </c>
      <c r="D90">
        <v>7</v>
      </c>
      <c r="E90">
        <v>2</v>
      </c>
    </row>
    <row r="91" spans="3:37" x14ac:dyDescent="0.35">
      <c r="C91">
        <v>9</v>
      </c>
      <c r="D91">
        <v>1</v>
      </c>
      <c r="E91">
        <v>2</v>
      </c>
      <c r="P91">
        <v>1</v>
      </c>
    </row>
    <row r="92" spans="3:37" x14ac:dyDescent="0.35">
      <c r="C92">
        <v>1</v>
      </c>
      <c r="D92">
        <v>2</v>
      </c>
      <c r="E92">
        <v>1</v>
      </c>
    </row>
    <row r="93" spans="3:37" x14ac:dyDescent="0.35">
      <c r="C93">
        <v>2</v>
      </c>
      <c r="D93">
        <v>0</v>
      </c>
      <c r="E93">
        <v>0</v>
      </c>
    </row>
    <row r="94" spans="3:37" x14ac:dyDescent="0.35">
      <c r="C94">
        <v>3</v>
      </c>
      <c r="D94">
        <v>1</v>
      </c>
      <c r="E94">
        <v>2</v>
      </c>
    </row>
    <row r="95" spans="3:37" x14ac:dyDescent="0.35">
      <c r="C95">
        <v>4</v>
      </c>
      <c r="D95">
        <v>0</v>
      </c>
      <c r="E95">
        <v>1</v>
      </c>
    </row>
    <row r="96" spans="3:37" x14ac:dyDescent="0.35">
      <c r="C96">
        <v>5</v>
      </c>
      <c r="D96">
        <v>0</v>
      </c>
      <c r="E96">
        <v>1</v>
      </c>
      <c r="L96">
        <v>1</v>
      </c>
    </row>
    <row r="97" spans="1:25" x14ac:dyDescent="0.35">
      <c r="C97">
        <v>6</v>
      </c>
      <c r="D97">
        <v>1</v>
      </c>
      <c r="E97">
        <v>3</v>
      </c>
    </row>
    <row r="98" spans="1:25" x14ac:dyDescent="0.35">
      <c r="C98">
        <v>7</v>
      </c>
      <c r="D98">
        <v>5</v>
      </c>
      <c r="E98">
        <v>2</v>
      </c>
    </row>
    <row r="99" spans="1:25" x14ac:dyDescent="0.35">
      <c r="C99">
        <v>8</v>
      </c>
      <c r="D99">
        <v>6</v>
      </c>
      <c r="E99">
        <v>1</v>
      </c>
      <c r="P99">
        <v>1</v>
      </c>
    </row>
    <row r="100" spans="1:25" x14ac:dyDescent="0.35">
      <c r="C100">
        <v>9</v>
      </c>
      <c r="D100">
        <v>4</v>
      </c>
      <c r="E100">
        <v>2</v>
      </c>
      <c r="F100">
        <v>1</v>
      </c>
    </row>
    <row r="101" spans="1:25" x14ac:dyDescent="0.35">
      <c r="C101">
        <v>1</v>
      </c>
      <c r="D101">
        <v>2</v>
      </c>
      <c r="E101">
        <v>1</v>
      </c>
    </row>
    <row r="102" spans="1:25" x14ac:dyDescent="0.35">
      <c r="C102">
        <v>2</v>
      </c>
      <c r="D102">
        <v>0</v>
      </c>
      <c r="E102">
        <v>1</v>
      </c>
    </row>
    <row r="103" spans="1:25" x14ac:dyDescent="0.35">
      <c r="C103">
        <v>3</v>
      </c>
      <c r="D103">
        <v>0</v>
      </c>
    </row>
    <row r="104" spans="1:25" x14ac:dyDescent="0.35">
      <c r="C104">
        <v>4</v>
      </c>
      <c r="D104">
        <v>1</v>
      </c>
    </row>
    <row r="105" spans="1:25" x14ac:dyDescent="0.35">
      <c r="C105">
        <v>5</v>
      </c>
      <c r="D105">
        <v>0</v>
      </c>
      <c r="E105">
        <v>1</v>
      </c>
    </row>
    <row r="106" spans="1:25" x14ac:dyDescent="0.35">
      <c r="C106">
        <v>6</v>
      </c>
      <c r="D106">
        <v>0</v>
      </c>
      <c r="E106">
        <v>1</v>
      </c>
    </row>
    <row r="107" spans="1:25" x14ac:dyDescent="0.35">
      <c r="C107">
        <v>7</v>
      </c>
      <c r="D107">
        <v>1</v>
      </c>
      <c r="F107">
        <v>1</v>
      </c>
    </row>
    <row r="108" spans="1:25" x14ac:dyDescent="0.35">
      <c r="C108">
        <v>8</v>
      </c>
      <c r="D108">
        <v>1</v>
      </c>
    </row>
    <row r="109" spans="1:25" x14ac:dyDescent="0.35">
      <c r="C109">
        <v>9</v>
      </c>
      <c r="D109">
        <v>1</v>
      </c>
      <c r="G109" s="7"/>
    </row>
    <row r="110" spans="1:25" s="30" customFormat="1" x14ac:dyDescent="0.35">
      <c r="A110" s="29">
        <v>42461</v>
      </c>
      <c r="B110" s="30" t="s">
        <v>95</v>
      </c>
      <c r="C110" s="30">
        <v>1</v>
      </c>
      <c r="D110" s="30">
        <v>1</v>
      </c>
      <c r="E110" s="30">
        <v>11</v>
      </c>
      <c r="X110" s="30">
        <v>1</v>
      </c>
      <c r="Y110" s="30">
        <v>1</v>
      </c>
    </row>
    <row r="111" spans="1:25" x14ac:dyDescent="0.35">
      <c r="C111">
        <v>2</v>
      </c>
      <c r="D111">
        <v>0</v>
      </c>
      <c r="E111">
        <v>1</v>
      </c>
      <c r="X111">
        <v>2</v>
      </c>
      <c r="Y111">
        <v>4</v>
      </c>
    </row>
    <row r="112" spans="1:25" x14ac:dyDescent="0.35">
      <c r="C112">
        <v>3</v>
      </c>
      <c r="D112">
        <v>0</v>
      </c>
      <c r="X112">
        <v>3</v>
      </c>
      <c r="Y112">
        <v>1</v>
      </c>
    </row>
    <row r="113" spans="3:25" x14ac:dyDescent="0.35">
      <c r="C113">
        <v>4</v>
      </c>
      <c r="D113">
        <v>0</v>
      </c>
      <c r="E113">
        <v>6</v>
      </c>
      <c r="X113">
        <v>4</v>
      </c>
      <c r="Y113">
        <v>0</v>
      </c>
    </row>
    <row r="114" spans="3:25" x14ac:dyDescent="0.35">
      <c r="C114">
        <v>5</v>
      </c>
      <c r="D114">
        <v>0</v>
      </c>
      <c r="E114">
        <v>1</v>
      </c>
      <c r="X114">
        <v>5</v>
      </c>
      <c r="Y114">
        <v>2</v>
      </c>
    </row>
    <row r="115" spans="3:25" x14ac:dyDescent="0.35">
      <c r="C115">
        <v>6</v>
      </c>
      <c r="D115">
        <v>0</v>
      </c>
      <c r="E115">
        <v>4</v>
      </c>
      <c r="X115">
        <v>6</v>
      </c>
      <c r="Y115">
        <v>0</v>
      </c>
    </row>
    <row r="116" spans="3:25" x14ac:dyDescent="0.35">
      <c r="C116">
        <v>7</v>
      </c>
      <c r="D116">
        <v>1</v>
      </c>
      <c r="E116">
        <v>1</v>
      </c>
      <c r="X116">
        <v>7</v>
      </c>
      <c r="Y116">
        <v>3</v>
      </c>
    </row>
    <row r="117" spans="3:25" x14ac:dyDescent="0.35">
      <c r="C117">
        <v>8</v>
      </c>
      <c r="D117">
        <v>1</v>
      </c>
      <c r="E117">
        <v>1</v>
      </c>
      <c r="X117">
        <v>8</v>
      </c>
      <c r="Y117">
        <v>2</v>
      </c>
    </row>
    <row r="118" spans="3:25" x14ac:dyDescent="0.35">
      <c r="C118">
        <v>9</v>
      </c>
      <c r="D118">
        <v>1</v>
      </c>
      <c r="X118">
        <v>9</v>
      </c>
      <c r="Y118">
        <v>3</v>
      </c>
    </row>
    <row r="119" spans="3:25" x14ac:dyDescent="0.35">
      <c r="C119">
        <v>1</v>
      </c>
      <c r="D119">
        <v>0</v>
      </c>
      <c r="E119">
        <v>1</v>
      </c>
    </row>
    <row r="120" spans="3:25" x14ac:dyDescent="0.35">
      <c r="C120">
        <v>2</v>
      </c>
      <c r="D120">
        <v>1</v>
      </c>
    </row>
    <row r="121" spans="3:25" x14ac:dyDescent="0.35">
      <c r="C121">
        <v>3</v>
      </c>
      <c r="D121">
        <v>0</v>
      </c>
      <c r="E121">
        <v>4</v>
      </c>
      <c r="G121">
        <v>1</v>
      </c>
    </row>
    <row r="122" spans="3:25" x14ac:dyDescent="0.35">
      <c r="C122">
        <v>4</v>
      </c>
      <c r="D122">
        <v>0</v>
      </c>
      <c r="E122">
        <v>2</v>
      </c>
    </row>
    <row r="123" spans="3:25" x14ac:dyDescent="0.35">
      <c r="C123">
        <v>5</v>
      </c>
      <c r="D123">
        <v>1</v>
      </c>
      <c r="E123">
        <v>2</v>
      </c>
    </row>
    <row r="124" spans="3:25" x14ac:dyDescent="0.35">
      <c r="C124">
        <v>6</v>
      </c>
      <c r="D124">
        <v>0</v>
      </c>
      <c r="E124">
        <v>1</v>
      </c>
    </row>
    <row r="125" spans="3:25" x14ac:dyDescent="0.35">
      <c r="C125">
        <v>7</v>
      </c>
      <c r="D125">
        <v>0</v>
      </c>
      <c r="E125">
        <v>2</v>
      </c>
    </row>
    <row r="126" spans="3:25" x14ac:dyDescent="0.35">
      <c r="C126">
        <v>8</v>
      </c>
      <c r="D126">
        <v>0</v>
      </c>
    </row>
    <row r="127" spans="3:25" x14ac:dyDescent="0.35">
      <c r="C127">
        <v>9</v>
      </c>
      <c r="D127">
        <v>1</v>
      </c>
    </row>
    <row r="128" spans="3:25" x14ac:dyDescent="0.35">
      <c r="C128">
        <v>1</v>
      </c>
      <c r="D128">
        <v>0</v>
      </c>
      <c r="E128">
        <v>1</v>
      </c>
    </row>
    <row r="129" spans="3:14" x14ac:dyDescent="0.35">
      <c r="C129">
        <v>2</v>
      </c>
      <c r="D129">
        <v>1</v>
      </c>
      <c r="E129">
        <v>1</v>
      </c>
      <c r="L129">
        <v>1</v>
      </c>
    </row>
    <row r="130" spans="3:14" x14ac:dyDescent="0.35">
      <c r="C130">
        <v>3</v>
      </c>
      <c r="D130">
        <v>1</v>
      </c>
    </row>
    <row r="131" spans="3:14" x14ac:dyDescent="0.35">
      <c r="C131">
        <v>4</v>
      </c>
      <c r="D131">
        <v>0</v>
      </c>
      <c r="E131">
        <v>2</v>
      </c>
    </row>
    <row r="132" spans="3:14" x14ac:dyDescent="0.35">
      <c r="C132">
        <v>5</v>
      </c>
      <c r="D132">
        <v>0</v>
      </c>
      <c r="E132">
        <v>4</v>
      </c>
    </row>
    <row r="133" spans="3:14" x14ac:dyDescent="0.35">
      <c r="C133">
        <v>6</v>
      </c>
      <c r="D133">
        <v>0</v>
      </c>
      <c r="E133">
        <v>1</v>
      </c>
      <c r="L133">
        <v>1</v>
      </c>
    </row>
    <row r="134" spans="3:14" x14ac:dyDescent="0.35">
      <c r="C134">
        <v>7</v>
      </c>
      <c r="D134">
        <v>1</v>
      </c>
      <c r="E134">
        <v>1</v>
      </c>
    </row>
    <row r="135" spans="3:14" x14ac:dyDescent="0.35">
      <c r="C135">
        <v>8</v>
      </c>
      <c r="D135">
        <v>1</v>
      </c>
      <c r="E135">
        <v>2</v>
      </c>
    </row>
    <row r="136" spans="3:14" x14ac:dyDescent="0.35">
      <c r="C136">
        <v>9</v>
      </c>
      <c r="D136">
        <v>0</v>
      </c>
      <c r="E136">
        <v>1</v>
      </c>
    </row>
    <row r="137" spans="3:14" x14ac:dyDescent="0.35">
      <c r="C137">
        <v>1</v>
      </c>
      <c r="D137">
        <v>0</v>
      </c>
      <c r="E137">
        <v>4</v>
      </c>
    </row>
    <row r="138" spans="3:14" x14ac:dyDescent="0.35">
      <c r="C138">
        <v>2</v>
      </c>
      <c r="D138">
        <v>2</v>
      </c>
      <c r="E138">
        <v>1</v>
      </c>
    </row>
    <row r="139" spans="3:14" x14ac:dyDescent="0.35">
      <c r="C139">
        <v>3</v>
      </c>
      <c r="D139">
        <v>0</v>
      </c>
      <c r="E139">
        <v>2</v>
      </c>
    </row>
    <row r="140" spans="3:14" x14ac:dyDescent="0.35">
      <c r="C140">
        <v>4</v>
      </c>
      <c r="D140">
        <v>0</v>
      </c>
      <c r="E140">
        <v>0</v>
      </c>
      <c r="N140">
        <v>1</v>
      </c>
    </row>
    <row r="141" spans="3:14" x14ac:dyDescent="0.35">
      <c r="C141">
        <v>5</v>
      </c>
      <c r="D141">
        <v>1</v>
      </c>
      <c r="E141">
        <v>2</v>
      </c>
    </row>
    <row r="142" spans="3:14" x14ac:dyDescent="0.35">
      <c r="C142">
        <v>6</v>
      </c>
      <c r="D142">
        <v>0</v>
      </c>
      <c r="E142">
        <v>1</v>
      </c>
    </row>
    <row r="143" spans="3:14" x14ac:dyDescent="0.35">
      <c r="C143">
        <v>7</v>
      </c>
      <c r="D143">
        <v>1</v>
      </c>
      <c r="E143">
        <v>1</v>
      </c>
    </row>
    <row r="144" spans="3:14" x14ac:dyDescent="0.35">
      <c r="C144">
        <v>8</v>
      </c>
      <c r="D144">
        <v>0</v>
      </c>
    </row>
    <row r="145" spans="1:25" x14ac:dyDescent="0.35">
      <c r="C145">
        <v>9</v>
      </c>
      <c r="D145">
        <v>1</v>
      </c>
      <c r="E145">
        <v>1</v>
      </c>
      <c r="G145" s="7"/>
    </row>
    <row r="146" spans="1:25" s="30" customFormat="1" x14ac:dyDescent="0.35">
      <c r="A146" s="29">
        <v>42468</v>
      </c>
      <c r="B146" s="30" t="s">
        <v>96</v>
      </c>
      <c r="C146" s="30">
        <v>1</v>
      </c>
      <c r="D146" s="30">
        <v>0</v>
      </c>
      <c r="E146" s="30">
        <v>1</v>
      </c>
      <c r="O146" s="30">
        <v>1</v>
      </c>
      <c r="X146" s="30">
        <v>1</v>
      </c>
      <c r="Y146" s="30">
        <v>0</v>
      </c>
    </row>
    <row r="147" spans="1:25" x14ac:dyDescent="0.35">
      <c r="C147">
        <v>2</v>
      </c>
      <c r="D147">
        <v>0</v>
      </c>
      <c r="E147">
        <v>2</v>
      </c>
      <c r="X147">
        <v>2</v>
      </c>
      <c r="Y147">
        <v>0</v>
      </c>
    </row>
    <row r="148" spans="1:25" x14ac:dyDescent="0.35">
      <c r="C148">
        <v>3</v>
      </c>
      <c r="D148">
        <v>0</v>
      </c>
      <c r="E148">
        <v>0</v>
      </c>
      <c r="X148">
        <v>3</v>
      </c>
      <c r="Y148">
        <v>0</v>
      </c>
    </row>
    <row r="149" spans="1:25" x14ac:dyDescent="0.35">
      <c r="C149">
        <v>4</v>
      </c>
      <c r="D149">
        <v>0</v>
      </c>
      <c r="E149">
        <v>0</v>
      </c>
      <c r="X149">
        <v>4</v>
      </c>
      <c r="Y149">
        <v>0</v>
      </c>
    </row>
    <row r="150" spans="1:25" x14ac:dyDescent="0.35">
      <c r="C150">
        <v>5</v>
      </c>
      <c r="D150">
        <v>0</v>
      </c>
      <c r="E150">
        <v>2</v>
      </c>
      <c r="X150">
        <v>5</v>
      </c>
      <c r="Y150">
        <v>0</v>
      </c>
    </row>
    <row r="151" spans="1:25" x14ac:dyDescent="0.35">
      <c r="C151">
        <v>6</v>
      </c>
      <c r="D151">
        <v>0</v>
      </c>
      <c r="E151">
        <v>1</v>
      </c>
      <c r="X151">
        <v>6</v>
      </c>
      <c r="Y151">
        <v>0</v>
      </c>
    </row>
    <row r="152" spans="1:25" x14ac:dyDescent="0.35">
      <c r="C152">
        <v>7</v>
      </c>
      <c r="D152">
        <v>0</v>
      </c>
      <c r="E152">
        <v>0</v>
      </c>
      <c r="X152">
        <v>7</v>
      </c>
      <c r="Y152">
        <v>0</v>
      </c>
    </row>
    <row r="153" spans="1:25" x14ac:dyDescent="0.35">
      <c r="C153">
        <v>8</v>
      </c>
      <c r="D153">
        <v>0</v>
      </c>
      <c r="E153">
        <v>1</v>
      </c>
      <c r="F153">
        <v>1</v>
      </c>
      <c r="X153">
        <v>8</v>
      </c>
      <c r="Y153">
        <v>0</v>
      </c>
    </row>
    <row r="154" spans="1:25" x14ac:dyDescent="0.35">
      <c r="C154">
        <v>9</v>
      </c>
      <c r="D154">
        <v>0</v>
      </c>
      <c r="E154">
        <v>3</v>
      </c>
      <c r="F154">
        <v>1</v>
      </c>
      <c r="X154">
        <v>9</v>
      </c>
      <c r="Y154">
        <v>2</v>
      </c>
    </row>
    <row r="155" spans="1:25" x14ac:dyDescent="0.35">
      <c r="C155">
        <v>1</v>
      </c>
      <c r="D155">
        <v>0</v>
      </c>
      <c r="E155">
        <v>1</v>
      </c>
    </row>
    <row r="156" spans="1:25" x14ac:dyDescent="0.35">
      <c r="C156">
        <v>2</v>
      </c>
      <c r="D156">
        <v>0</v>
      </c>
      <c r="E156">
        <v>0</v>
      </c>
    </row>
    <row r="157" spans="1:25" x14ac:dyDescent="0.35">
      <c r="C157">
        <v>3</v>
      </c>
      <c r="D157">
        <v>0</v>
      </c>
      <c r="E157">
        <v>2</v>
      </c>
    </row>
    <row r="158" spans="1:25" x14ac:dyDescent="0.35">
      <c r="C158">
        <v>4</v>
      </c>
      <c r="D158">
        <v>0</v>
      </c>
      <c r="E158">
        <v>1</v>
      </c>
    </row>
    <row r="159" spans="1:25" x14ac:dyDescent="0.35">
      <c r="C159">
        <v>5</v>
      </c>
      <c r="D159">
        <v>0</v>
      </c>
      <c r="E159">
        <v>3</v>
      </c>
    </row>
    <row r="160" spans="1:25" x14ac:dyDescent="0.35">
      <c r="C160">
        <v>6</v>
      </c>
      <c r="D160">
        <v>0</v>
      </c>
      <c r="E160">
        <v>0</v>
      </c>
    </row>
    <row r="161" spans="3:5" x14ac:dyDescent="0.35">
      <c r="C161">
        <v>7</v>
      </c>
      <c r="D161">
        <v>0</v>
      </c>
      <c r="E161">
        <v>4</v>
      </c>
    </row>
    <row r="162" spans="3:5" x14ac:dyDescent="0.35">
      <c r="C162">
        <v>8</v>
      </c>
      <c r="D162">
        <v>0</v>
      </c>
      <c r="E162">
        <v>2</v>
      </c>
    </row>
    <row r="163" spans="3:5" x14ac:dyDescent="0.35">
      <c r="C163">
        <v>9</v>
      </c>
      <c r="D163">
        <v>0</v>
      </c>
      <c r="E163">
        <v>1</v>
      </c>
    </row>
    <row r="164" spans="3:5" x14ac:dyDescent="0.35">
      <c r="C164">
        <v>1</v>
      </c>
      <c r="D164">
        <v>0</v>
      </c>
      <c r="E164">
        <v>2</v>
      </c>
    </row>
    <row r="165" spans="3:5" x14ac:dyDescent="0.35">
      <c r="C165">
        <v>2</v>
      </c>
      <c r="D165">
        <v>0</v>
      </c>
      <c r="E165">
        <v>2</v>
      </c>
    </row>
    <row r="166" spans="3:5" x14ac:dyDescent="0.35">
      <c r="C166">
        <v>3</v>
      </c>
      <c r="D166">
        <v>0</v>
      </c>
      <c r="E166">
        <v>1</v>
      </c>
    </row>
    <row r="167" spans="3:5" x14ac:dyDescent="0.35">
      <c r="C167">
        <v>4</v>
      </c>
      <c r="D167">
        <v>0</v>
      </c>
      <c r="E167">
        <v>1</v>
      </c>
    </row>
    <row r="168" spans="3:5" x14ac:dyDescent="0.35">
      <c r="C168">
        <v>5</v>
      </c>
      <c r="D168">
        <v>0</v>
      </c>
      <c r="E168">
        <v>1</v>
      </c>
    </row>
    <row r="169" spans="3:5" x14ac:dyDescent="0.35">
      <c r="C169">
        <v>6</v>
      </c>
      <c r="D169">
        <v>0</v>
      </c>
      <c r="E169">
        <v>0</v>
      </c>
    </row>
    <row r="170" spans="3:5" x14ac:dyDescent="0.35">
      <c r="C170">
        <v>7</v>
      </c>
      <c r="D170">
        <v>0</v>
      </c>
      <c r="E170">
        <v>0</v>
      </c>
    </row>
    <row r="171" spans="3:5" x14ac:dyDescent="0.35">
      <c r="C171">
        <v>8</v>
      </c>
      <c r="D171">
        <v>0</v>
      </c>
      <c r="E171">
        <v>2</v>
      </c>
    </row>
    <row r="172" spans="3:5" x14ac:dyDescent="0.35">
      <c r="C172">
        <v>9</v>
      </c>
      <c r="D172">
        <v>2</v>
      </c>
      <c r="E172">
        <v>2</v>
      </c>
    </row>
    <row r="173" spans="3:5" x14ac:dyDescent="0.35">
      <c r="C173">
        <v>1</v>
      </c>
      <c r="D173">
        <v>0</v>
      </c>
      <c r="E173">
        <v>2</v>
      </c>
    </row>
    <row r="174" spans="3:5" x14ac:dyDescent="0.35">
      <c r="C174">
        <v>2</v>
      </c>
      <c r="D174">
        <v>0</v>
      </c>
      <c r="E174">
        <v>0</v>
      </c>
    </row>
    <row r="175" spans="3:5" x14ac:dyDescent="0.35">
      <c r="C175">
        <v>3</v>
      </c>
      <c r="D175">
        <v>0</v>
      </c>
      <c r="E175">
        <v>2</v>
      </c>
    </row>
    <row r="176" spans="3:5" x14ac:dyDescent="0.35">
      <c r="C176">
        <v>4</v>
      </c>
      <c r="D176">
        <v>0</v>
      </c>
      <c r="E176">
        <v>1</v>
      </c>
    </row>
    <row r="177" spans="1:25" x14ac:dyDescent="0.35">
      <c r="C177">
        <v>5</v>
      </c>
      <c r="D177">
        <v>0</v>
      </c>
      <c r="E177">
        <v>0</v>
      </c>
    </row>
    <row r="178" spans="1:25" x14ac:dyDescent="0.35">
      <c r="C178">
        <v>6</v>
      </c>
      <c r="D178">
        <v>0</v>
      </c>
      <c r="E178">
        <v>0</v>
      </c>
    </row>
    <row r="179" spans="1:25" x14ac:dyDescent="0.35">
      <c r="C179">
        <v>7</v>
      </c>
      <c r="D179">
        <v>0</v>
      </c>
      <c r="E179">
        <v>2</v>
      </c>
    </row>
    <row r="180" spans="1:25" x14ac:dyDescent="0.35">
      <c r="C180">
        <v>8</v>
      </c>
      <c r="D180">
        <v>0</v>
      </c>
      <c r="E180">
        <v>1</v>
      </c>
    </row>
    <row r="181" spans="1:25" x14ac:dyDescent="0.35">
      <c r="C181">
        <v>9</v>
      </c>
      <c r="D181">
        <v>0</v>
      </c>
      <c r="E181">
        <v>0</v>
      </c>
      <c r="G181" s="7"/>
    </row>
    <row r="182" spans="1:25" s="30" customFormat="1" x14ac:dyDescent="0.35">
      <c r="A182" s="29">
        <v>42475</v>
      </c>
      <c r="B182" s="30" t="s">
        <v>108</v>
      </c>
      <c r="C182" s="30">
        <v>1</v>
      </c>
      <c r="D182" s="30">
        <v>0</v>
      </c>
      <c r="E182" s="30">
        <v>1</v>
      </c>
      <c r="X182" s="30">
        <v>1</v>
      </c>
      <c r="Y182" s="30">
        <v>2</v>
      </c>
    </row>
    <row r="183" spans="1:25" x14ac:dyDescent="0.35">
      <c r="C183">
        <v>2</v>
      </c>
      <c r="D183">
        <v>1</v>
      </c>
      <c r="E183">
        <v>3</v>
      </c>
      <c r="X183">
        <v>2</v>
      </c>
      <c r="Y183">
        <v>2</v>
      </c>
    </row>
    <row r="184" spans="1:25" x14ac:dyDescent="0.35">
      <c r="C184">
        <v>3</v>
      </c>
      <c r="D184">
        <v>0</v>
      </c>
      <c r="E184">
        <v>0</v>
      </c>
      <c r="X184">
        <v>3</v>
      </c>
      <c r="Y184">
        <v>0</v>
      </c>
    </row>
    <row r="185" spans="1:25" x14ac:dyDescent="0.35">
      <c r="C185">
        <v>4</v>
      </c>
      <c r="D185">
        <v>0</v>
      </c>
      <c r="E185">
        <v>2</v>
      </c>
      <c r="X185">
        <v>4</v>
      </c>
      <c r="Y185">
        <v>0</v>
      </c>
    </row>
    <row r="186" spans="1:25" x14ac:dyDescent="0.35">
      <c r="C186">
        <v>5</v>
      </c>
      <c r="D186">
        <v>0</v>
      </c>
      <c r="E186">
        <v>0</v>
      </c>
      <c r="X186">
        <v>5</v>
      </c>
      <c r="Y186">
        <v>2</v>
      </c>
    </row>
    <row r="187" spans="1:25" x14ac:dyDescent="0.35">
      <c r="C187">
        <v>6</v>
      </c>
      <c r="D187">
        <v>0</v>
      </c>
      <c r="E187">
        <v>1</v>
      </c>
      <c r="X187">
        <v>6</v>
      </c>
      <c r="Y187">
        <v>2</v>
      </c>
    </row>
    <row r="188" spans="1:25" x14ac:dyDescent="0.35">
      <c r="C188">
        <v>7</v>
      </c>
      <c r="D188">
        <v>0</v>
      </c>
      <c r="E188">
        <v>3</v>
      </c>
      <c r="X188">
        <v>7</v>
      </c>
      <c r="Y188">
        <v>1</v>
      </c>
    </row>
    <row r="189" spans="1:25" x14ac:dyDescent="0.35">
      <c r="C189">
        <v>8</v>
      </c>
      <c r="D189">
        <v>2</v>
      </c>
      <c r="E189">
        <v>0</v>
      </c>
      <c r="X189">
        <v>8</v>
      </c>
      <c r="Y189">
        <v>3</v>
      </c>
    </row>
    <row r="190" spans="1:25" x14ac:dyDescent="0.35">
      <c r="C190">
        <v>9</v>
      </c>
      <c r="D190">
        <v>0</v>
      </c>
      <c r="E190">
        <v>4</v>
      </c>
      <c r="X190">
        <v>9</v>
      </c>
      <c r="Y190">
        <v>1</v>
      </c>
    </row>
    <row r="191" spans="1:25" x14ac:dyDescent="0.35">
      <c r="C191">
        <v>1</v>
      </c>
      <c r="D191">
        <v>1</v>
      </c>
      <c r="E191">
        <v>2</v>
      </c>
    </row>
    <row r="192" spans="1:25" x14ac:dyDescent="0.35">
      <c r="C192">
        <v>2</v>
      </c>
      <c r="D192">
        <v>1</v>
      </c>
      <c r="E192">
        <v>2</v>
      </c>
    </row>
    <row r="193" spans="3:6" x14ac:dyDescent="0.35">
      <c r="C193">
        <v>3</v>
      </c>
      <c r="D193">
        <v>0</v>
      </c>
      <c r="E193">
        <v>1</v>
      </c>
    </row>
    <row r="194" spans="3:6" x14ac:dyDescent="0.35">
      <c r="C194">
        <v>4</v>
      </c>
      <c r="D194">
        <v>0</v>
      </c>
      <c r="E194">
        <v>1</v>
      </c>
    </row>
    <row r="195" spans="3:6" x14ac:dyDescent="0.35">
      <c r="C195">
        <v>5</v>
      </c>
      <c r="D195">
        <v>0</v>
      </c>
      <c r="E195">
        <v>3</v>
      </c>
    </row>
    <row r="196" spans="3:6" x14ac:dyDescent="0.35">
      <c r="C196">
        <v>6</v>
      </c>
      <c r="D196">
        <v>0</v>
      </c>
      <c r="E196">
        <v>0</v>
      </c>
      <c r="F196">
        <v>1</v>
      </c>
    </row>
    <row r="197" spans="3:6" x14ac:dyDescent="0.35">
      <c r="C197">
        <v>7</v>
      </c>
      <c r="D197">
        <v>1</v>
      </c>
      <c r="E197">
        <v>5</v>
      </c>
    </row>
    <row r="198" spans="3:6" x14ac:dyDescent="0.35">
      <c r="C198">
        <v>8</v>
      </c>
      <c r="D198">
        <v>0</v>
      </c>
      <c r="E198">
        <v>1</v>
      </c>
    </row>
    <row r="199" spans="3:6" x14ac:dyDescent="0.35">
      <c r="C199">
        <v>9</v>
      </c>
      <c r="D199">
        <v>0</v>
      </c>
      <c r="E199">
        <v>4</v>
      </c>
    </row>
    <row r="200" spans="3:6" x14ac:dyDescent="0.35">
      <c r="C200">
        <v>1</v>
      </c>
      <c r="D200">
        <v>1</v>
      </c>
      <c r="E200">
        <v>2</v>
      </c>
    </row>
    <row r="201" spans="3:6" x14ac:dyDescent="0.35">
      <c r="C201">
        <v>2</v>
      </c>
      <c r="D201">
        <v>0</v>
      </c>
      <c r="E201">
        <v>0</v>
      </c>
    </row>
    <row r="202" spans="3:6" x14ac:dyDescent="0.35">
      <c r="C202">
        <v>3</v>
      </c>
      <c r="D202">
        <v>0</v>
      </c>
      <c r="E202">
        <v>4</v>
      </c>
    </row>
    <row r="203" spans="3:6" x14ac:dyDescent="0.35">
      <c r="C203">
        <v>4</v>
      </c>
      <c r="D203">
        <v>0</v>
      </c>
      <c r="E203">
        <v>2</v>
      </c>
    </row>
    <row r="204" spans="3:6" x14ac:dyDescent="0.35">
      <c r="C204">
        <v>5</v>
      </c>
      <c r="D204">
        <v>0</v>
      </c>
      <c r="E204">
        <v>0</v>
      </c>
    </row>
    <row r="205" spans="3:6" x14ac:dyDescent="0.35">
      <c r="C205">
        <v>6</v>
      </c>
      <c r="D205">
        <v>2</v>
      </c>
      <c r="E205">
        <v>0</v>
      </c>
    </row>
    <row r="206" spans="3:6" x14ac:dyDescent="0.35">
      <c r="C206">
        <v>7</v>
      </c>
      <c r="D206">
        <v>0</v>
      </c>
      <c r="E206">
        <v>2</v>
      </c>
    </row>
    <row r="207" spans="3:6" x14ac:dyDescent="0.35">
      <c r="C207">
        <v>8</v>
      </c>
      <c r="D207">
        <v>0</v>
      </c>
      <c r="E207">
        <v>5</v>
      </c>
    </row>
    <row r="208" spans="3:6" x14ac:dyDescent="0.35">
      <c r="C208">
        <v>9</v>
      </c>
      <c r="D208">
        <v>0</v>
      </c>
      <c r="E208">
        <v>3</v>
      </c>
    </row>
    <row r="209" spans="1:25" x14ac:dyDescent="0.35">
      <c r="C209">
        <v>1</v>
      </c>
      <c r="D209">
        <v>0</v>
      </c>
      <c r="E209">
        <v>2</v>
      </c>
      <c r="F209">
        <v>1</v>
      </c>
      <c r="L209">
        <v>1</v>
      </c>
    </row>
    <row r="210" spans="1:25" x14ac:dyDescent="0.35">
      <c r="C210">
        <v>2</v>
      </c>
      <c r="D210">
        <v>0</v>
      </c>
      <c r="E210">
        <v>1</v>
      </c>
    </row>
    <row r="211" spans="1:25" x14ac:dyDescent="0.35">
      <c r="C211">
        <v>3</v>
      </c>
      <c r="D211">
        <v>0</v>
      </c>
      <c r="E211">
        <v>4</v>
      </c>
    </row>
    <row r="212" spans="1:25" x14ac:dyDescent="0.35">
      <c r="C212">
        <v>4</v>
      </c>
      <c r="D212">
        <v>0</v>
      </c>
      <c r="E212">
        <v>3</v>
      </c>
    </row>
    <row r="213" spans="1:25" x14ac:dyDescent="0.35">
      <c r="C213">
        <v>5</v>
      </c>
      <c r="D213">
        <v>2</v>
      </c>
      <c r="E213">
        <v>4</v>
      </c>
    </row>
    <row r="214" spans="1:25" x14ac:dyDescent="0.35">
      <c r="C214">
        <v>6</v>
      </c>
      <c r="D214">
        <v>0</v>
      </c>
      <c r="E214">
        <v>4</v>
      </c>
    </row>
    <row r="215" spans="1:25" x14ac:dyDescent="0.35">
      <c r="C215">
        <v>7</v>
      </c>
      <c r="D215">
        <v>0</v>
      </c>
      <c r="E215">
        <v>4</v>
      </c>
    </row>
    <row r="216" spans="1:25" x14ac:dyDescent="0.35">
      <c r="C216">
        <v>8</v>
      </c>
      <c r="D216">
        <v>1</v>
      </c>
      <c r="E216">
        <v>3</v>
      </c>
    </row>
    <row r="217" spans="1:25" s="4" customFormat="1" x14ac:dyDescent="0.35">
      <c r="C217" s="4">
        <v>9</v>
      </c>
      <c r="D217" s="4">
        <v>1</v>
      </c>
      <c r="E217" s="4">
        <v>2</v>
      </c>
      <c r="G217" s="7"/>
    </row>
    <row r="218" spans="1:25" s="5" customFormat="1" x14ac:dyDescent="0.35">
      <c r="A218" s="13">
        <v>42482</v>
      </c>
      <c r="B218" s="5" t="s">
        <v>153</v>
      </c>
      <c r="C218" s="5">
        <v>1</v>
      </c>
      <c r="D218" s="5">
        <v>0</v>
      </c>
      <c r="E218" s="10">
        <v>4</v>
      </c>
      <c r="I218" s="10">
        <v>1</v>
      </c>
      <c r="X218">
        <v>1</v>
      </c>
      <c r="Y218">
        <f>SUM(D218,D227,D236,D245)</f>
        <v>1</v>
      </c>
    </row>
    <row r="219" spans="1:25" x14ac:dyDescent="0.35">
      <c r="C219">
        <v>2</v>
      </c>
      <c r="D219" s="10">
        <v>0</v>
      </c>
      <c r="E219" s="10">
        <v>5</v>
      </c>
      <c r="X219">
        <v>2</v>
      </c>
      <c r="Y219">
        <f t="shared" ref="Y219:Y225" si="26">SUM(D219,D228,D237,D246)</f>
        <v>0</v>
      </c>
    </row>
    <row r="220" spans="1:25" x14ac:dyDescent="0.35">
      <c r="C220">
        <v>3</v>
      </c>
      <c r="D220" s="5">
        <v>0</v>
      </c>
      <c r="E220">
        <v>8</v>
      </c>
      <c r="X220">
        <v>3</v>
      </c>
      <c r="Y220">
        <f t="shared" si="26"/>
        <v>0</v>
      </c>
    </row>
    <row r="221" spans="1:25" x14ac:dyDescent="0.35">
      <c r="C221">
        <v>4</v>
      </c>
      <c r="D221" s="10">
        <v>0</v>
      </c>
      <c r="E221">
        <v>7</v>
      </c>
      <c r="O221">
        <v>1</v>
      </c>
      <c r="X221">
        <v>4</v>
      </c>
      <c r="Y221">
        <f t="shared" si="26"/>
        <v>0</v>
      </c>
    </row>
    <row r="222" spans="1:25" x14ac:dyDescent="0.35">
      <c r="C222">
        <v>5</v>
      </c>
      <c r="D222" s="5">
        <v>0</v>
      </c>
      <c r="E222">
        <v>7</v>
      </c>
      <c r="X222">
        <v>5</v>
      </c>
      <c r="Y222">
        <f t="shared" si="26"/>
        <v>0</v>
      </c>
    </row>
    <row r="223" spans="1:25" x14ac:dyDescent="0.35">
      <c r="C223">
        <v>6</v>
      </c>
      <c r="D223" s="10">
        <v>0</v>
      </c>
      <c r="E223" s="8">
        <v>5</v>
      </c>
      <c r="X223">
        <v>6</v>
      </c>
      <c r="Y223">
        <f t="shared" si="26"/>
        <v>0</v>
      </c>
    </row>
    <row r="224" spans="1:25" x14ac:dyDescent="0.35">
      <c r="C224">
        <v>7</v>
      </c>
      <c r="D224" s="5">
        <v>0</v>
      </c>
      <c r="E224">
        <v>5</v>
      </c>
      <c r="X224">
        <v>7</v>
      </c>
      <c r="Y224">
        <f t="shared" si="26"/>
        <v>0</v>
      </c>
    </row>
    <row r="225" spans="3:25" x14ac:dyDescent="0.35">
      <c r="C225">
        <v>8</v>
      </c>
      <c r="D225" s="10">
        <v>0</v>
      </c>
      <c r="E225">
        <v>4</v>
      </c>
      <c r="X225">
        <v>8</v>
      </c>
      <c r="Y225">
        <f t="shared" si="26"/>
        <v>1</v>
      </c>
    </row>
    <row r="226" spans="3:25" x14ac:dyDescent="0.35">
      <c r="C226">
        <v>9</v>
      </c>
      <c r="D226" s="5">
        <v>0</v>
      </c>
      <c r="E226">
        <v>4</v>
      </c>
      <c r="X226">
        <v>9</v>
      </c>
      <c r="Y226">
        <f>SUM(D226,D235,D244,D253)</f>
        <v>0</v>
      </c>
    </row>
    <row r="227" spans="3:25" x14ac:dyDescent="0.35">
      <c r="C227">
        <v>1</v>
      </c>
      <c r="D227" s="10">
        <v>0</v>
      </c>
      <c r="E227">
        <v>8</v>
      </c>
    </row>
    <row r="228" spans="3:25" x14ac:dyDescent="0.35">
      <c r="C228">
        <v>2</v>
      </c>
      <c r="D228" s="5">
        <v>0</v>
      </c>
      <c r="E228">
        <v>3</v>
      </c>
    </row>
    <row r="229" spans="3:25" x14ac:dyDescent="0.35">
      <c r="C229">
        <v>3</v>
      </c>
      <c r="D229" s="10">
        <v>0</v>
      </c>
      <c r="E229">
        <v>3</v>
      </c>
    </row>
    <row r="230" spans="3:25" x14ac:dyDescent="0.35">
      <c r="C230">
        <v>4</v>
      </c>
      <c r="D230" s="5">
        <v>0</v>
      </c>
      <c r="E230">
        <v>7</v>
      </c>
    </row>
    <row r="231" spans="3:25" x14ac:dyDescent="0.35">
      <c r="C231">
        <v>5</v>
      </c>
      <c r="D231" s="10">
        <v>0</v>
      </c>
      <c r="E231">
        <v>8</v>
      </c>
    </row>
    <row r="232" spans="3:25" x14ac:dyDescent="0.35">
      <c r="C232">
        <v>6</v>
      </c>
      <c r="D232" s="5">
        <v>0</v>
      </c>
      <c r="E232">
        <v>4</v>
      </c>
    </row>
    <row r="233" spans="3:25" x14ac:dyDescent="0.35">
      <c r="C233">
        <v>7</v>
      </c>
      <c r="D233" s="10">
        <v>0</v>
      </c>
      <c r="E233">
        <v>8</v>
      </c>
    </row>
    <row r="234" spans="3:25" x14ac:dyDescent="0.35">
      <c r="C234">
        <v>8</v>
      </c>
      <c r="D234" s="5">
        <v>0</v>
      </c>
      <c r="E234">
        <v>9</v>
      </c>
    </row>
    <row r="235" spans="3:25" x14ac:dyDescent="0.35">
      <c r="C235">
        <v>9</v>
      </c>
      <c r="D235" s="10">
        <v>0</v>
      </c>
      <c r="E235">
        <v>3</v>
      </c>
    </row>
    <row r="236" spans="3:25" x14ac:dyDescent="0.35">
      <c r="C236">
        <v>1</v>
      </c>
      <c r="D236" s="5">
        <v>0</v>
      </c>
      <c r="E236">
        <v>8</v>
      </c>
    </row>
    <row r="237" spans="3:25" x14ac:dyDescent="0.35">
      <c r="C237">
        <v>2</v>
      </c>
      <c r="D237" s="10">
        <v>0</v>
      </c>
      <c r="E237">
        <v>2</v>
      </c>
    </row>
    <row r="238" spans="3:25" x14ac:dyDescent="0.35">
      <c r="C238">
        <v>3</v>
      </c>
      <c r="D238" s="5">
        <v>0</v>
      </c>
      <c r="E238">
        <v>3</v>
      </c>
    </row>
    <row r="239" spans="3:25" x14ac:dyDescent="0.35">
      <c r="C239">
        <v>4</v>
      </c>
      <c r="D239" s="10">
        <v>0</v>
      </c>
      <c r="E239">
        <v>6</v>
      </c>
    </row>
    <row r="240" spans="3:25" x14ac:dyDescent="0.35">
      <c r="C240">
        <v>5</v>
      </c>
      <c r="D240" s="5">
        <v>0</v>
      </c>
      <c r="E240">
        <v>5</v>
      </c>
    </row>
    <row r="241" spans="1:25" x14ac:dyDescent="0.35">
      <c r="C241">
        <v>6</v>
      </c>
      <c r="D241" s="10">
        <v>0</v>
      </c>
      <c r="E241">
        <v>5</v>
      </c>
    </row>
    <row r="242" spans="1:25" x14ac:dyDescent="0.35">
      <c r="C242">
        <v>7</v>
      </c>
      <c r="D242" s="5">
        <v>0</v>
      </c>
      <c r="E242">
        <v>6</v>
      </c>
    </row>
    <row r="243" spans="1:25" x14ac:dyDescent="0.35">
      <c r="C243">
        <v>8</v>
      </c>
      <c r="D243" s="10">
        <v>0</v>
      </c>
      <c r="E243">
        <v>2</v>
      </c>
    </row>
    <row r="244" spans="1:25" x14ac:dyDescent="0.35">
      <c r="C244">
        <v>9</v>
      </c>
      <c r="D244" s="5">
        <v>0</v>
      </c>
      <c r="E244">
        <v>4</v>
      </c>
    </row>
    <row r="245" spans="1:25" x14ac:dyDescent="0.35">
      <c r="C245">
        <v>1</v>
      </c>
      <c r="D245" s="10">
        <v>1</v>
      </c>
      <c r="E245">
        <v>8</v>
      </c>
      <c r="I245">
        <v>1</v>
      </c>
    </row>
    <row r="246" spans="1:25" x14ac:dyDescent="0.35">
      <c r="C246">
        <v>2</v>
      </c>
      <c r="D246" s="5">
        <v>0</v>
      </c>
      <c r="E246">
        <v>3</v>
      </c>
    </row>
    <row r="247" spans="1:25" x14ac:dyDescent="0.35">
      <c r="C247">
        <v>3</v>
      </c>
      <c r="D247" s="10">
        <v>0</v>
      </c>
      <c r="E247">
        <v>3</v>
      </c>
    </row>
    <row r="248" spans="1:25" x14ac:dyDescent="0.35">
      <c r="C248">
        <v>4</v>
      </c>
      <c r="D248" s="5">
        <v>0</v>
      </c>
      <c r="E248">
        <v>6</v>
      </c>
    </row>
    <row r="249" spans="1:25" x14ac:dyDescent="0.35">
      <c r="C249">
        <v>5</v>
      </c>
      <c r="D249" s="10">
        <v>0</v>
      </c>
      <c r="E249">
        <v>3</v>
      </c>
    </row>
    <row r="250" spans="1:25" x14ac:dyDescent="0.35">
      <c r="C250">
        <v>6</v>
      </c>
      <c r="D250" s="5">
        <v>0</v>
      </c>
      <c r="E250">
        <v>3</v>
      </c>
    </row>
    <row r="251" spans="1:25" x14ac:dyDescent="0.35">
      <c r="C251">
        <v>7</v>
      </c>
      <c r="D251" s="10">
        <v>0</v>
      </c>
      <c r="E251">
        <v>7</v>
      </c>
    </row>
    <row r="252" spans="1:25" x14ac:dyDescent="0.35">
      <c r="C252">
        <v>8</v>
      </c>
      <c r="D252" s="5">
        <v>1</v>
      </c>
      <c r="E252">
        <v>3</v>
      </c>
    </row>
    <row r="253" spans="1:25" s="4" customFormat="1" x14ac:dyDescent="0.35">
      <c r="C253" s="4">
        <v>9</v>
      </c>
      <c r="D253" s="11">
        <v>0</v>
      </c>
      <c r="E253" s="4">
        <v>2</v>
      </c>
      <c r="G253" s="7"/>
    </row>
    <row r="254" spans="1:25" x14ac:dyDescent="0.35">
      <c r="A254" s="2">
        <v>42490</v>
      </c>
      <c r="B254" t="s">
        <v>158</v>
      </c>
      <c r="C254">
        <v>1</v>
      </c>
      <c r="D254">
        <v>0</v>
      </c>
      <c r="E254">
        <v>40</v>
      </c>
      <c r="X254">
        <v>1</v>
      </c>
      <c r="Y254">
        <f>SUM(D254,D263,D272,D281)</f>
        <v>0</v>
      </c>
    </row>
    <row r="255" spans="1:25" x14ac:dyDescent="0.35">
      <c r="C255">
        <v>2</v>
      </c>
      <c r="D255">
        <v>0</v>
      </c>
      <c r="E255">
        <v>25</v>
      </c>
      <c r="X255">
        <v>2</v>
      </c>
      <c r="Y255">
        <f t="shared" ref="Y255:Y261" si="27">SUM(D255,D264,D273,D282)</f>
        <v>0</v>
      </c>
    </row>
    <row r="256" spans="1:25" x14ac:dyDescent="0.35">
      <c r="C256">
        <v>3</v>
      </c>
      <c r="D256">
        <v>0</v>
      </c>
      <c r="E256">
        <v>53</v>
      </c>
      <c r="X256">
        <v>3</v>
      </c>
      <c r="Y256">
        <f t="shared" si="27"/>
        <v>0</v>
      </c>
    </row>
    <row r="257" spans="3:25" x14ac:dyDescent="0.35">
      <c r="C257">
        <v>4</v>
      </c>
      <c r="D257">
        <v>0</v>
      </c>
      <c r="E257">
        <v>32</v>
      </c>
      <c r="X257">
        <v>4</v>
      </c>
      <c r="Y257">
        <f t="shared" si="27"/>
        <v>0</v>
      </c>
    </row>
    <row r="258" spans="3:25" x14ac:dyDescent="0.35">
      <c r="C258">
        <v>5</v>
      </c>
      <c r="D258">
        <v>0</v>
      </c>
      <c r="E258">
        <v>75</v>
      </c>
      <c r="X258">
        <v>5</v>
      </c>
      <c r="Y258">
        <f t="shared" si="27"/>
        <v>0</v>
      </c>
    </row>
    <row r="259" spans="3:25" x14ac:dyDescent="0.35">
      <c r="C259">
        <v>6</v>
      </c>
      <c r="D259">
        <v>0</v>
      </c>
      <c r="E259">
        <v>30</v>
      </c>
      <c r="X259">
        <v>6</v>
      </c>
      <c r="Y259">
        <f t="shared" si="27"/>
        <v>0</v>
      </c>
    </row>
    <row r="260" spans="3:25" x14ac:dyDescent="0.35">
      <c r="C260">
        <v>7</v>
      </c>
      <c r="D260">
        <v>0</v>
      </c>
      <c r="E260">
        <v>80</v>
      </c>
      <c r="L260">
        <v>1</v>
      </c>
      <c r="X260">
        <v>7</v>
      </c>
      <c r="Y260">
        <f t="shared" si="27"/>
        <v>0</v>
      </c>
    </row>
    <row r="261" spans="3:25" x14ac:dyDescent="0.35">
      <c r="C261">
        <v>8</v>
      </c>
      <c r="D261">
        <v>0</v>
      </c>
      <c r="E261">
        <v>12</v>
      </c>
      <c r="X261">
        <v>8</v>
      </c>
      <c r="Y261">
        <f t="shared" si="27"/>
        <v>0</v>
      </c>
    </row>
    <row r="262" spans="3:25" x14ac:dyDescent="0.35">
      <c r="C262">
        <v>9</v>
      </c>
      <c r="D262">
        <v>0</v>
      </c>
      <c r="E262">
        <v>18</v>
      </c>
      <c r="X262">
        <v>9</v>
      </c>
      <c r="Y262">
        <f>SUM(D262,D271,D280,D289)</f>
        <v>0</v>
      </c>
    </row>
    <row r="263" spans="3:25" x14ac:dyDescent="0.35">
      <c r="C263">
        <v>1</v>
      </c>
      <c r="D263">
        <v>0</v>
      </c>
      <c r="E263">
        <v>30</v>
      </c>
    </row>
    <row r="264" spans="3:25" x14ac:dyDescent="0.35">
      <c r="C264">
        <v>2</v>
      </c>
      <c r="D264">
        <v>0</v>
      </c>
      <c r="E264">
        <v>15</v>
      </c>
    </row>
    <row r="265" spans="3:25" x14ac:dyDescent="0.35">
      <c r="C265">
        <v>3</v>
      </c>
      <c r="D265">
        <v>0</v>
      </c>
      <c r="E265">
        <v>10</v>
      </c>
    </row>
    <row r="266" spans="3:25" x14ac:dyDescent="0.35">
      <c r="C266">
        <v>4</v>
      </c>
      <c r="D266">
        <v>0</v>
      </c>
      <c r="E266">
        <v>22</v>
      </c>
    </row>
    <row r="267" spans="3:25" x14ac:dyDescent="0.35">
      <c r="C267">
        <v>5</v>
      </c>
      <c r="D267">
        <v>0</v>
      </c>
      <c r="E267">
        <v>57</v>
      </c>
    </row>
    <row r="268" spans="3:25" x14ac:dyDescent="0.35">
      <c r="C268">
        <v>6</v>
      </c>
      <c r="D268">
        <v>0</v>
      </c>
      <c r="E268">
        <v>50</v>
      </c>
    </row>
    <row r="269" spans="3:25" x14ac:dyDescent="0.35">
      <c r="C269">
        <v>7</v>
      </c>
      <c r="D269">
        <v>0</v>
      </c>
      <c r="E269">
        <v>55</v>
      </c>
    </row>
    <row r="270" spans="3:25" x14ac:dyDescent="0.35">
      <c r="C270">
        <v>8</v>
      </c>
      <c r="D270">
        <v>0</v>
      </c>
      <c r="E270">
        <v>10</v>
      </c>
    </row>
    <row r="271" spans="3:25" x14ac:dyDescent="0.35">
      <c r="C271">
        <v>9</v>
      </c>
      <c r="D271">
        <v>0</v>
      </c>
      <c r="E271">
        <v>10</v>
      </c>
    </row>
    <row r="272" spans="3:25" x14ac:dyDescent="0.35">
      <c r="C272">
        <v>1</v>
      </c>
      <c r="D272">
        <v>0</v>
      </c>
      <c r="E272">
        <v>30</v>
      </c>
      <c r="F272">
        <v>1</v>
      </c>
    </row>
    <row r="273" spans="3:15" x14ac:dyDescent="0.35">
      <c r="C273">
        <v>2</v>
      </c>
      <c r="D273">
        <v>0</v>
      </c>
      <c r="E273">
        <v>25</v>
      </c>
    </row>
    <row r="274" spans="3:15" x14ac:dyDescent="0.35">
      <c r="C274">
        <v>3</v>
      </c>
      <c r="D274">
        <v>0</v>
      </c>
      <c r="E274">
        <v>20</v>
      </c>
    </row>
    <row r="275" spans="3:15" x14ac:dyDescent="0.35">
      <c r="C275">
        <v>4</v>
      </c>
      <c r="D275">
        <v>0</v>
      </c>
      <c r="E275">
        <v>25</v>
      </c>
    </row>
    <row r="276" spans="3:15" x14ac:dyDescent="0.35">
      <c r="C276">
        <v>5</v>
      </c>
      <c r="D276">
        <v>0</v>
      </c>
      <c r="E276">
        <v>50</v>
      </c>
    </row>
    <row r="277" spans="3:15" x14ac:dyDescent="0.35">
      <c r="C277">
        <v>6</v>
      </c>
      <c r="D277">
        <v>0</v>
      </c>
      <c r="E277">
        <v>50</v>
      </c>
    </row>
    <row r="278" spans="3:15" x14ac:dyDescent="0.35">
      <c r="C278">
        <v>7</v>
      </c>
      <c r="D278">
        <v>0</v>
      </c>
      <c r="E278">
        <v>20</v>
      </c>
    </row>
    <row r="279" spans="3:15" x14ac:dyDescent="0.35">
      <c r="C279">
        <v>8</v>
      </c>
      <c r="D279">
        <v>0</v>
      </c>
      <c r="E279">
        <v>20</v>
      </c>
    </row>
    <row r="280" spans="3:15" x14ac:dyDescent="0.35">
      <c r="C280">
        <v>9</v>
      </c>
      <c r="D280">
        <v>0</v>
      </c>
      <c r="E280">
        <v>15</v>
      </c>
    </row>
    <row r="281" spans="3:15" x14ac:dyDescent="0.35">
      <c r="C281">
        <v>1</v>
      </c>
      <c r="D281">
        <v>0</v>
      </c>
      <c r="E281">
        <v>25</v>
      </c>
      <c r="L281">
        <v>1</v>
      </c>
    </row>
    <row r="282" spans="3:15" x14ac:dyDescent="0.35">
      <c r="C282">
        <v>2</v>
      </c>
      <c r="D282">
        <v>0</v>
      </c>
      <c r="E282">
        <v>75</v>
      </c>
    </row>
    <row r="283" spans="3:15" x14ac:dyDescent="0.35">
      <c r="C283">
        <v>3</v>
      </c>
      <c r="D283">
        <v>0</v>
      </c>
      <c r="E283">
        <v>35</v>
      </c>
      <c r="O283">
        <v>1</v>
      </c>
    </row>
    <row r="284" spans="3:15" x14ac:dyDescent="0.35">
      <c r="C284">
        <v>4</v>
      </c>
      <c r="D284">
        <v>0</v>
      </c>
      <c r="E284">
        <v>80</v>
      </c>
    </row>
    <row r="285" spans="3:15" x14ac:dyDescent="0.35">
      <c r="C285">
        <v>5</v>
      </c>
      <c r="D285">
        <v>0</v>
      </c>
      <c r="E285">
        <v>70</v>
      </c>
    </row>
    <row r="286" spans="3:15" x14ac:dyDescent="0.35">
      <c r="C286">
        <v>6</v>
      </c>
      <c r="D286">
        <v>0</v>
      </c>
      <c r="E286">
        <v>35</v>
      </c>
    </row>
    <row r="287" spans="3:15" x14ac:dyDescent="0.35">
      <c r="C287">
        <v>7</v>
      </c>
      <c r="D287">
        <v>0</v>
      </c>
      <c r="E287">
        <v>60</v>
      </c>
    </row>
    <row r="288" spans="3:15" x14ac:dyDescent="0.35">
      <c r="C288">
        <v>8</v>
      </c>
      <c r="D288">
        <v>0</v>
      </c>
      <c r="E288">
        <v>60</v>
      </c>
    </row>
    <row r="289" spans="1:25" x14ac:dyDescent="0.35">
      <c r="C289">
        <v>9</v>
      </c>
      <c r="D289">
        <v>0</v>
      </c>
      <c r="E289">
        <v>65</v>
      </c>
      <c r="G289" s="7"/>
    </row>
    <row r="290" spans="1:25" x14ac:dyDescent="0.35">
      <c r="D290" s="10"/>
    </row>
    <row r="292" spans="1:25" x14ac:dyDescent="0.35">
      <c r="A292" t="s">
        <v>61</v>
      </c>
      <c r="D292">
        <f>SUM(D2:D289)</f>
        <v>132</v>
      </c>
      <c r="E292">
        <f t="shared" ref="E292:W292" si="28">SUM(E2:E289)</f>
        <v>1868</v>
      </c>
      <c r="F292">
        <f t="shared" si="28"/>
        <v>7</v>
      </c>
      <c r="G292">
        <f t="shared" si="28"/>
        <v>1</v>
      </c>
      <c r="I292">
        <f t="shared" si="28"/>
        <v>2</v>
      </c>
      <c r="J292">
        <f t="shared" si="28"/>
        <v>2</v>
      </c>
      <c r="K292">
        <f t="shared" si="28"/>
        <v>1</v>
      </c>
      <c r="L292">
        <f t="shared" si="28"/>
        <v>11</v>
      </c>
      <c r="N292">
        <f t="shared" si="28"/>
        <v>1</v>
      </c>
      <c r="O292">
        <f t="shared" si="28"/>
        <v>3</v>
      </c>
      <c r="P292">
        <f t="shared" si="28"/>
        <v>5</v>
      </c>
      <c r="Q292">
        <f t="shared" si="28"/>
        <v>0</v>
      </c>
      <c r="R292">
        <f t="shared" si="28"/>
        <v>0</v>
      </c>
      <c r="S292">
        <f t="shared" si="28"/>
        <v>0</v>
      </c>
      <c r="T292">
        <f t="shared" si="28"/>
        <v>0</v>
      </c>
      <c r="U292">
        <f t="shared" si="28"/>
        <v>0</v>
      </c>
      <c r="V292">
        <f t="shared" si="28"/>
        <v>0</v>
      </c>
      <c r="W292">
        <f t="shared" si="28"/>
        <v>0</v>
      </c>
    </row>
    <row r="293" spans="1:25" s="4" customFormat="1" x14ac:dyDescent="0.35"/>
    <row r="294" spans="1:25" x14ac:dyDescent="0.35">
      <c r="A294" s="2">
        <v>42798</v>
      </c>
      <c r="B294" t="s">
        <v>179</v>
      </c>
      <c r="C294">
        <v>1</v>
      </c>
      <c r="D294">
        <v>0</v>
      </c>
      <c r="H294">
        <v>2</v>
      </c>
      <c r="X294">
        <v>1</v>
      </c>
      <c r="Y294">
        <f>SUM(D294,D303,D312,D321)</f>
        <v>0</v>
      </c>
    </row>
    <row r="295" spans="1:25" x14ac:dyDescent="0.35">
      <c r="C295">
        <v>2</v>
      </c>
      <c r="D295">
        <v>0</v>
      </c>
      <c r="X295">
        <v>2</v>
      </c>
      <c r="Y295">
        <f t="shared" ref="Y295:Y301" si="29">SUM(D295,D304,D313,D322)</f>
        <v>0</v>
      </c>
    </row>
    <row r="296" spans="1:25" x14ac:dyDescent="0.35">
      <c r="C296">
        <v>3</v>
      </c>
      <c r="D296">
        <v>0</v>
      </c>
      <c r="H296">
        <v>1</v>
      </c>
      <c r="X296">
        <v>3</v>
      </c>
      <c r="Y296">
        <f t="shared" si="29"/>
        <v>0</v>
      </c>
    </row>
    <row r="297" spans="1:25" x14ac:dyDescent="0.35">
      <c r="C297">
        <v>4</v>
      </c>
      <c r="D297">
        <v>0</v>
      </c>
      <c r="H297">
        <v>1</v>
      </c>
      <c r="X297">
        <v>4</v>
      </c>
      <c r="Y297">
        <f t="shared" si="29"/>
        <v>0</v>
      </c>
    </row>
    <row r="298" spans="1:25" x14ac:dyDescent="0.35">
      <c r="C298">
        <v>5</v>
      </c>
      <c r="D298">
        <v>0</v>
      </c>
      <c r="M298">
        <v>1</v>
      </c>
      <c r="X298">
        <v>5</v>
      </c>
      <c r="Y298">
        <f t="shared" si="29"/>
        <v>0</v>
      </c>
    </row>
    <row r="299" spans="1:25" x14ac:dyDescent="0.35">
      <c r="C299">
        <v>6</v>
      </c>
      <c r="D299">
        <v>0</v>
      </c>
      <c r="X299">
        <v>6</v>
      </c>
      <c r="Y299">
        <f t="shared" si="29"/>
        <v>0</v>
      </c>
    </row>
    <row r="300" spans="1:25" x14ac:dyDescent="0.35">
      <c r="C300">
        <v>7</v>
      </c>
      <c r="D300">
        <v>0</v>
      </c>
      <c r="H300">
        <v>1</v>
      </c>
      <c r="X300">
        <v>7</v>
      </c>
      <c r="Y300">
        <f t="shared" si="29"/>
        <v>0</v>
      </c>
    </row>
    <row r="301" spans="1:25" x14ac:dyDescent="0.35">
      <c r="C301">
        <v>8</v>
      </c>
      <c r="D301">
        <v>0</v>
      </c>
      <c r="H301">
        <v>2</v>
      </c>
      <c r="M301">
        <v>1</v>
      </c>
      <c r="X301">
        <v>8</v>
      </c>
      <c r="Y301">
        <f t="shared" si="29"/>
        <v>0</v>
      </c>
    </row>
    <row r="302" spans="1:25" x14ac:dyDescent="0.35">
      <c r="C302">
        <v>9</v>
      </c>
      <c r="D302">
        <v>0</v>
      </c>
      <c r="H302">
        <v>2</v>
      </c>
      <c r="X302">
        <v>9</v>
      </c>
      <c r="Y302">
        <f>SUM(D302,D311,D320,D329)</f>
        <v>0</v>
      </c>
    </row>
    <row r="303" spans="1:25" x14ac:dyDescent="0.35">
      <c r="C303">
        <v>1</v>
      </c>
      <c r="D303">
        <v>0</v>
      </c>
    </row>
    <row r="304" spans="1:25" x14ac:dyDescent="0.35">
      <c r="C304">
        <v>2</v>
      </c>
      <c r="D304">
        <v>0</v>
      </c>
    </row>
    <row r="305" spans="3:8" x14ac:dyDescent="0.35">
      <c r="C305">
        <v>3</v>
      </c>
      <c r="D305">
        <v>0</v>
      </c>
    </row>
    <row r="306" spans="3:8" x14ac:dyDescent="0.35">
      <c r="C306">
        <v>4</v>
      </c>
      <c r="D306">
        <v>0</v>
      </c>
    </row>
    <row r="307" spans="3:8" x14ac:dyDescent="0.35">
      <c r="C307">
        <v>5</v>
      </c>
      <c r="D307">
        <v>0</v>
      </c>
    </row>
    <row r="308" spans="3:8" x14ac:dyDescent="0.35">
      <c r="C308">
        <v>6</v>
      </c>
      <c r="D308">
        <v>0</v>
      </c>
    </row>
    <row r="309" spans="3:8" x14ac:dyDescent="0.35">
      <c r="C309">
        <v>7</v>
      </c>
      <c r="D309">
        <v>0</v>
      </c>
    </row>
    <row r="310" spans="3:8" x14ac:dyDescent="0.35">
      <c r="C310">
        <v>8</v>
      </c>
      <c r="D310">
        <v>0</v>
      </c>
      <c r="H310">
        <v>2</v>
      </c>
    </row>
    <row r="311" spans="3:8" x14ac:dyDescent="0.35">
      <c r="C311">
        <v>9</v>
      </c>
      <c r="D311">
        <v>0</v>
      </c>
    </row>
    <row r="312" spans="3:8" x14ac:dyDescent="0.35">
      <c r="C312">
        <v>1</v>
      </c>
      <c r="D312">
        <v>0</v>
      </c>
      <c r="H312">
        <v>1</v>
      </c>
    </row>
    <row r="313" spans="3:8" x14ac:dyDescent="0.35">
      <c r="C313">
        <v>2</v>
      </c>
      <c r="D313">
        <v>0</v>
      </c>
    </row>
    <row r="314" spans="3:8" x14ac:dyDescent="0.35">
      <c r="C314">
        <v>3</v>
      </c>
      <c r="D314">
        <v>0</v>
      </c>
    </row>
    <row r="315" spans="3:8" x14ac:dyDescent="0.35">
      <c r="C315">
        <v>4</v>
      </c>
      <c r="D315">
        <v>0</v>
      </c>
    </row>
    <row r="316" spans="3:8" x14ac:dyDescent="0.35">
      <c r="C316">
        <v>5</v>
      </c>
      <c r="D316">
        <v>0</v>
      </c>
    </row>
    <row r="317" spans="3:8" x14ac:dyDescent="0.35">
      <c r="C317">
        <v>6</v>
      </c>
      <c r="D317">
        <v>0</v>
      </c>
    </row>
    <row r="318" spans="3:8" x14ac:dyDescent="0.35">
      <c r="C318">
        <v>7</v>
      </c>
      <c r="D318">
        <v>0</v>
      </c>
    </row>
    <row r="319" spans="3:8" x14ac:dyDescent="0.35">
      <c r="C319">
        <v>8</v>
      </c>
      <c r="D319">
        <v>0</v>
      </c>
      <c r="H319">
        <v>1</v>
      </c>
    </row>
    <row r="320" spans="3:8" x14ac:dyDescent="0.35">
      <c r="C320">
        <v>9</v>
      </c>
      <c r="D320">
        <v>0</v>
      </c>
    </row>
    <row r="321" spans="1:25" x14ac:dyDescent="0.35">
      <c r="C321">
        <v>1</v>
      </c>
      <c r="D321">
        <v>0</v>
      </c>
      <c r="H321">
        <v>1</v>
      </c>
    </row>
    <row r="322" spans="1:25" x14ac:dyDescent="0.35">
      <c r="C322">
        <v>2</v>
      </c>
      <c r="D322">
        <v>0</v>
      </c>
      <c r="H322">
        <v>1</v>
      </c>
    </row>
    <row r="323" spans="1:25" x14ac:dyDescent="0.35">
      <c r="C323">
        <v>3</v>
      </c>
      <c r="D323">
        <v>0</v>
      </c>
    </row>
    <row r="324" spans="1:25" x14ac:dyDescent="0.35">
      <c r="C324">
        <v>4</v>
      </c>
      <c r="D324">
        <v>0</v>
      </c>
      <c r="H324">
        <v>1</v>
      </c>
    </row>
    <row r="325" spans="1:25" x14ac:dyDescent="0.35">
      <c r="C325">
        <v>5</v>
      </c>
      <c r="D325">
        <v>0</v>
      </c>
    </row>
    <row r="326" spans="1:25" x14ac:dyDescent="0.35">
      <c r="C326">
        <v>6</v>
      </c>
      <c r="D326">
        <v>0</v>
      </c>
    </row>
    <row r="327" spans="1:25" x14ac:dyDescent="0.35">
      <c r="C327">
        <v>7</v>
      </c>
      <c r="D327">
        <v>0</v>
      </c>
    </row>
    <row r="328" spans="1:25" x14ac:dyDescent="0.35">
      <c r="C328">
        <v>8</v>
      </c>
      <c r="D328">
        <v>0</v>
      </c>
    </row>
    <row r="329" spans="1:25" s="4" customFormat="1" x14ac:dyDescent="0.35">
      <c r="C329" s="4">
        <v>9</v>
      </c>
      <c r="D329" s="4">
        <v>0</v>
      </c>
      <c r="E329" s="4">
        <v>1</v>
      </c>
      <c r="G329" s="7"/>
      <c r="H329" s="51"/>
    </row>
    <row r="330" spans="1:25" x14ac:dyDescent="0.35">
      <c r="A330" s="2">
        <v>42804</v>
      </c>
      <c r="B330" t="s">
        <v>200</v>
      </c>
      <c r="C330">
        <v>1</v>
      </c>
      <c r="D330" s="10">
        <v>2</v>
      </c>
      <c r="X330">
        <v>1</v>
      </c>
      <c r="Y330">
        <f>SUM(D330,D339,D348,D357)</f>
        <v>6</v>
      </c>
    </row>
    <row r="331" spans="1:25" x14ac:dyDescent="0.35">
      <c r="C331">
        <v>2</v>
      </c>
      <c r="D331" s="10">
        <v>1</v>
      </c>
      <c r="E331">
        <v>2</v>
      </c>
      <c r="X331">
        <v>2</v>
      </c>
      <c r="Y331">
        <f t="shared" ref="Y331:Y337" si="30">SUM(D331,D340,D349,D358)</f>
        <v>2</v>
      </c>
    </row>
    <row r="332" spans="1:25" x14ac:dyDescent="0.35">
      <c r="C332">
        <v>3</v>
      </c>
      <c r="D332">
        <v>0</v>
      </c>
      <c r="X332">
        <v>3</v>
      </c>
      <c r="Y332">
        <f t="shared" si="30"/>
        <v>3</v>
      </c>
    </row>
    <row r="333" spans="1:25" x14ac:dyDescent="0.35">
      <c r="C333">
        <v>4</v>
      </c>
      <c r="D333">
        <v>0</v>
      </c>
      <c r="E333">
        <v>2</v>
      </c>
      <c r="H333">
        <v>1</v>
      </c>
      <c r="X333">
        <v>4</v>
      </c>
      <c r="Y333">
        <f t="shared" si="30"/>
        <v>4</v>
      </c>
    </row>
    <row r="334" spans="1:25" x14ac:dyDescent="0.35">
      <c r="C334">
        <v>5</v>
      </c>
      <c r="D334">
        <v>1</v>
      </c>
      <c r="I334">
        <v>1</v>
      </c>
      <c r="X334">
        <v>5</v>
      </c>
      <c r="Y334">
        <f t="shared" si="30"/>
        <v>2</v>
      </c>
    </row>
    <row r="335" spans="1:25" x14ac:dyDescent="0.35">
      <c r="C335">
        <v>6</v>
      </c>
      <c r="D335">
        <v>0</v>
      </c>
      <c r="H335">
        <v>1</v>
      </c>
      <c r="M335">
        <v>1</v>
      </c>
      <c r="X335">
        <v>6</v>
      </c>
      <c r="Y335">
        <f t="shared" si="30"/>
        <v>1</v>
      </c>
    </row>
    <row r="336" spans="1:25" x14ac:dyDescent="0.35">
      <c r="C336">
        <v>7</v>
      </c>
      <c r="D336">
        <v>0</v>
      </c>
      <c r="E336">
        <v>1</v>
      </c>
      <c r="X336">
        <v>7</v>
      </c>
      <c r="Y336">
        <f t="shared" si="30"/>
        <v>4</v>
      </c>
    </row>
    <row r="337" spans="3:25" x14ac:dyDescent="0.35">
      <c r="C337">
        <v>8</v>
      </c>
      <c r="D337">
        <v>1</v>
      </c>
      <c r="E337">
        <v>1</v>
      </c>
      <c r="X337">
        <v>8</v>
      </c>
      <c r="Y337">
        <f t="shared" si="30"/>
        <v>8</v>
      </c>
    </row>
    <row r="338" spans="3:25" x14ac:dyDescent="0.35">
      <c r="C338">
        <v>9</v>
      </c>
      <c r="D338">
        <v>1</v>
      </c>
      <c r="E338">
        <v>2</v>
      </c>
      <c r="X338">
        <v>9</v>
      </c>
      <c r="Y338">
        <f>SUM(D338,D347,D356,D365)</f>
        <v>7</v>
      </c>
    </row>
    <row r="339" spans="3:25" x14ac:dyDescent="0.35">
      <c r="C339">
        <v>1</v>
      </c>
      <c r="D339">
        <v>1</v>
      </c>
      <c r="E339">
        <v>3</v>
      </c>
      <c r="H339">
        <v>1</v>
      </c>
    </row>
    <row r="340" spans="3:25" x14ac:dyDescent="0.35">
      <c r="C340">
        <v>2</v>
      </c>
      <c r="D340">
        <v>0</v>
      </c>
      <c r="H340">
        <v>2</v>
      </c>
    </row>
    <row r="341" spans="3:25" x14ac:dyDescent="0.35">
      <c r="C341">
        <v>3</v>
      </c>
      <c r="D341">
        <v>0</v>
      </c>
      <c r="H341">
        <v>1</v>
      </c>
      <c r="M341">
        <v>1</v>
      </c>
    </row>
    <row r="342" spans="3:25" x14ac:dyDescent="0.35">
      <c r="C342">
        <v>4</v>
      </c>
      <c r="D342">
        <v>0</v>
      </c>
      <c r="E342">
        <v>5</v>
      </c>
    </row>
    <row r="343" spans="3:25" x14ac:dyDescent="0.35">
      <c r="C343">
        <v>5</v>
      </c>
      <c r="D343">
        <v>0</v>
      </c>
      <c r="E343">
        <v>1</v>
      </c>
      <c r="H343">
        <v>1</v>
      </c>
    </row>
    <row r="344" spans="3:25" x14ac:dyDescent="0.35">
      <c r="C344">
        <v>6</v>
      </c>
      <c r="D344">
        <v>0</v>
      </c>
      <c r="E344">
        <v>3</v>
      </c>
    </row>
    <row r="345" spans="3:25" x14ac:dyDescent="0.35">
      <c r="C345">
        <v>7</v>
      </c>
      <c r="D345">
        <v>1</v>
      </c>
      <c r="E345">
        <v>3</v>
      </c>
    </row>
    <row r="346" spans="3:25" x14ac:dyDescent="0.35">
      <c r="C346">
        <v>8</v>
      </c>
      <c r="D346">
        <v>2</v>
      </c>
      <c r="E346">
        <v>1</v>
      </c>
    </row>
    <row r="347" spans="3:25" x14ac:dyDescent="0.35">
      <c r="C347">
        <v>9</v>
      </c>
      <c r="D347">
        <v>0</v>
      </c>
      <c r="E347">
        <v>1</v>
      </c>
      <c r="H347">
        <v>3</v>
      </c>
    </row>
    <row r="348" spans="3:25" x14ac:dyDescent="0.35">
      <c r="C348">
        <v>1</v>
      </c>
      <c r="D348">
        <v>1</v>
      </c>
      <c r="E348">
        <v>1</v>
      </c>
      <c r="H348">
        <v>1</v>
      </c>
    </row>
    <row r="349" spans="3:25" x14ac:dyDescent="0.35">
      <c r="C349">
        <v>2</v>
      </c>
      <c r="D349">
        <v>1</v>
      </c>
    </row>
    <row r="350" spans="3:25" x14ac:dyDescent="0.35">
      <c r="C350">
        <v>3</v>
      </c>
      <c r="D350">
        <v>1</v>
      </c>
      <c r="E350">
        <v>1</v>
      </c>
      <c r="H350">
        <v>1</v>
      </c>
    </row>
    <row r="351" spans="3:25" x14ac:dyDescent="0.35">
      <c r="C351">
        <v>4</v>
      </c>
      <c r="D351">
        <v>1</v>
      </c>
    </row>
    <row r="352" spans="3:25" x14ac:dyDescent="0.35">
      <c r="C352">
        <v>5</v>
      </c>
      <c r="D352">
        <v>0</v>
      </c>
      <c r="E352">
        <v>1</v>
      </c>
      <c r="H352">
        <v>1</v>
      </c>
    </row>
    <row r="353" spans="1:25" x14ac:dyDescent="0.35">
      <c r="C353">
        <v>6</v>
      </c>
      <c r="D353">
        <v>1</v>
      </c>
      <c r="E353">
        <v>2</v>
      </c>
    </row>
    <row r="354" spans="1:25" x14ac:dyDescent="0.35">
      <c r="C354">
        <v>7</v>
      </c>
      <c r="D354">
        <v>2</v>
      </c>
      <c r="H354">
        <v>1</v>
      </c>
    </row>
    <row r="355" spans="1:25" x14ac:dyDescent="0.35">
      <c r="C355">
        <v>8</v>
      </c>
      <c r="D355">
        <v>3</v>
      </c>
      <c r="E355">
        <v>1</v>
      </c>
      <c r="H355">
        <v>2</v>
      </c>
      <c r="Q355">
        <v>1</v>
      </c>
    </row>
    <row r="356" spans="1:25" x14ac:dyDescent="0.35">
      <c r="C356">
        <v>9</v>
      </c>
      <c r="D356">
        <v>2</v>
      </c>
    </row>
    <row r="357" spans="1:25" x14ac:dyDescent="0.35">
      <c r="C357">
        <v>1</v>
      </c>
      <c r="D357">
        <v>2</v>
      </c>
      <c r="E357">
        <v>1</v>
      </c>
    </row>
    <row r="358" spans="1:25" x14ac:dyDescent="0.35">
      <c r="C358">
        <v>2</v>
      </c>
      <c r="D358">
        <v>0</v>
      </c>
      <c r="E358">
        <v>4</v>
      </c>
      <c r="H358">
        <v>1</v>
      </c>
    </row>
    <row r="359" spans="1:25" x14ac:dyDescent="0.35">
      <c r="C359">
        <v>3</v>
      </c>
      <c r="D359">
        <v>2</v>
      </c>
      <c r="H359">
        <v>1</v>
      </c>
    </row>
    <row r="360" spans="1:25" x14ac:dyDescent="0.35">
      <c r="C360">
        <v>4</v>
      </c>
      <c r="D360">
        <v>3</v>
      </c>
      <c r="H360">
        <v>1</v>
      </c>
    </row>
    <row r="361" spans="1:25" x14ac:dyDescent="0.35">
      <c r="C361">
        <v>5</v>
      </c>
      <c r="D361">
        <v>1</v>
      </c>
    </row>
    <row r="362" spans="1:25" x14ac:dyDescent="0.35">
      <c r="C362">
        <v>6</v>
      </c>
      <c r="D362">
        <v>0</v>
      </c>
      <c r="H362">
        <v>1</v>
      </c>
    </row>
    <row r="363" spans="1:25" x14ac:dyDescent="0.35">
      <c r="C363">
        <v>7</v>
      </c>
      <c r="D363">
        <v>1</v>
      </c>
    </row>
    <row r="364" spans="1:25" x14ac:dyDescent="0.35">
      <c r="C364">
        <v>8</v>
      </c>
      <c r="D364">
        <v>2</v>
      </c>
      <c r="H364">
        <v>3</v>
      </c>
      <c r="M364">
        <v>1</v>
      </c>
    </row>
    <row r="365" spans="1:25" s="4" customFormat="1" x14ac:dyDescent="0.35">
      <c r="C365" s="4">
        <v>9</v>
      </c>
      <c r="D365" s="4">
        <v>4</v>
      </c>
      <c r="G365" s="7"/>
      <c r="H365" s="4">
        <v>4</v>
      </c>
    </row>
    <row r="366" spans="1:25" x14ac:dyDescent="0.35">
      <c r="A366" s="2">
        <v>42812</v>
      </c>
      <c r="B366" t="s">
        <v>230</v>
      </c>
      <c r="C366">
        <v>1</v>
      </c>
      <c r="D366" s="10">
        <v>2</v>
      </c>
      <c r="X366">
        <v>1</v>
      </c>
      <c r="Y366">
        <f>SUM(D366,D375,D384,D393)</f>
        <v>17</v>
      </c>
    </row>
    <row r="367" spans="1:25" x14ac:dyDescent="0.35">
      <c r="C367">
        <v>2</v>
      </c>
      <c r="D367" s="10">
        <v>1</v>
      </c>
      <c r="H367">
        <v>1</v>
      </c>
      <c r="X367">
        <v>2</v>
      </c>
      <c r="Y367">
        <f t="shared" ref="Y367:Y373" si="31">SUM(D367,D376,D385,D394)</f>
        <v>8</v>
      </c>
    </row>
    <row r="368" spans="1:25" x14ac:dyDescent="0.35">
      <c r="C368">
        <v>3</v>
      </c>
      <c r="D368">
        <v>3</v>
      </c>
      <c r="X368">
        <v>3</v>
      </c>
      <c r="Y368">
        <f t="shared" si="31"/>
        <v>15</v>
      </c>
    </row>
    <row r="369" spans="3:25" x14ac:dyDescent="0.35">
      <c r="C369">
        <v>4</v>
      </c>
      <c r="D369">
        <v>2</v>
      </c>
      <c r="X369">
        <v>4</v>
      </c>
      <c r="Y369">
        <f t="shared" si="31"/>
        <v>10</v>
      </c>
    </row>
    <row r="370" spans="3:25" x14ac:dyDescent="0.35">
      <c r="C370">
        <v>5</v>
      </c>
      <c r="D370">
        <v>6</v>
      </c>
      <c r="H370">
        <v>1</v>
      </c>
      <c r="X370">
        <v>5</v>
      </c>
      <c r="Y370">
        <f t="shared" si="31"/>
        <v>17</v>
      </c>
    </row>
    <row r="371" spans="3:25" x14ac:dyDescent="0.35">
      <c r="C371">
        <v>6</v>
      </c>
      <c r="D371">
        <v>1</v>
      </c>
      <c r="E371">
        <v>1</v>
      </c>
      <c r="X371">
        <v>6</v>
      </c>
      <c r="Y371">
        <f t="shared" si="31"/>
        <v>12</v>
      </c>
    </row>
    <row r="372" spans="3:25" x14ac:dyDescent="0.35">
      <c r="C372">
        <v>7</v>
      </c>
      <c r="D372">
        <v>1</v>
      </c>
      <c r="E372">
        <v>3</v>
      </c>
      <c r="X372">
        <v>7</v>
      </c>
      <c r="Y372">
        <f t="shared" si="31"/>
        <v>12</v>
      </c>
    </row>
    <row r="373" spans="3:25" x14ac:dyDescent="0.35">
      <c r="C373">
        <v>8</v>
      </c>
      <c r="D373">
        <v>2</v>
      </c>
      <c r="P373">
        <v>1</v>
      </c>
      <c r="X373">
        <v>8</v>
      </c>
      <c r="Y373">
        <f t="shared" si="31"/>
        <v>14</v>
      </c>
    </row>
    <row r="374" spans="3:25" x14ac:dyDescent="0.35">
      <c r="C374">
        <v>9</v>
      </c>
      <c r="D374">
        <v>1</v>
      </c>
      <c r="E374">
        <v>2</v>
      </c>
      <c r="H374">
        <v>1</v>
      </c>
      <c r="X374">
        <v>9</v>
      </c>
      <c r="Y374">
        <f>SUM(D374,D383,D392,D401)</f>
        <v>29</v>
      </c>
    </row>
    <row r="375" spans="3:25" x14ac:dyDescent="0.35">
      <c r="C375">
        <v>1</v>
      </c>
      <c r="D375">
        <v>2</v>
      </c>
    </row>
    <row r="376" spans="3:25" x14ac:dyDescent="0.35">
      <c r="C376">
        <v>2</v>
      </c>
      <c r="D376">
        <v>2</v>
      </c>
    </row>
    <row r="377" spans="3:25" x14ac:dyDescent="0.35">
      <c r="C377">
        <v>3</v>
      </c>
      <c r="D377">
        <v>5</v>
      </c>
      <c r="E377">
        <v>2</v>
      </c>
      <c r="H377">
        <v>2</v>
      </c>
    </row>
    <row r="378" spans="3:25" x14ac:dyDescent="0.35">
      <c r="C378">
        <v>4</v>
      </c>
      <c r="D378">
        <v>2</v>
      </c>
    </row>
    <row r="379" spans="3:25" x14ac:dyDescent="0.35">
      <c r="C379">
        <v>5</v>
      </c>
      <c r="D379">
        <v>4</v>
      </c>
      <c r="E379">
        <v>1</v>
      </c>
    </row>
    <row r="380" spans="3:25" x14ac:dyDescent="0.35">
      <c r="C380">
        <v>6</v>
      </c>
      <c r="D380">
        <v>3</v>
      </c>
      <c r="E380">
        <v>1</v>
      </c>
      <c r="H380">
        <v>1</v>
      </c>
      <c r="P380">
        <v>1</v>
      </c>
    </row>
    <row r="381" spans="3:25" x14ac:dyDescent="0.35">
      <c r="C381">
        <v>7</v>
      </c>
      <c r="D381">
        <v>2</v>
      </c>
    </row>
    <row r="382" spans="3:25" x14ac:dyDescent="0.35">
      <c r="C382">
        <v>8</v>
      </c>
      <c r="D382">
        <v>3</v>
      </c>
      <c r="K382">
        <v>1</v>
      </c>
    </row>
    <row r="383" spans="3:25" x14ac:dyDescent="0.35">
      <c r="C383">
        <v>9</v>
      </c>
      <c r="D383">
        <v>8</v>
      </c>
      <c r="E383">
        <v>3</v>
      </c>
    </row>
    <row r="384" spans="3:25" x14ac:dyDescent="0.35">
      <c r="C384">
        <v>1</v>
      </c>
      <c r="D384">
        <v>3</v>
      </c>
    </row>
    <row r="385" spans="3:16" x14ac:dyDescent="0.35">
      <c r="C385">
        <v>2</v>
      </c>
      <c r="D385">
        <v>0</v>
      </c>
      <c r="E385">
        <v>1</v>
      </c>
      <c r="P385">
        <v>1</v>
      </c>
    </row>
    <row r="386" spans="3:16" x14ac:dyDescent="0.35">
      <c r="C386">
        <v>3</v>
      </c>
      <c r="D386">
        <v>1</v>
      </c>
      <c r="H386">
        <v>1</v>
      </c>
      <c r="P386">
        <v>1</v>
      </c>
    </row>
    <row r="387" spans="3:16" x14ac:dyDescent="0.35">
      <c r="C387">
        <v>4</v>
      </c>
      <c r="D387">
        <v>3</v>
      </c>
      <c r="E387">
        <v>2</v>
      </c>
      <c r="H387">
        <v>1</v>
      </c>
    </row>
    <row r="388" spans="3:16" x14ac:dyDescent="0.35">
      <c r="C388">
        <v>5</v>
      </c>
      <c r="D388">
        <v>1</v>
      </c>
    </row>
    <row r="389" spans="3:16" x14ac:dyDescent="0.35">
      <c r="C389">
        <v>6</v>
      </c>
      <c r="D389">
        <v>4</v>
      </c>
    </row>
    <row r="390" spans="3:16" x14ac:dyDescent="0.35">
      <c r="C390">
        <v>7</v>
      </c>
      <c r="D390">
        <v>7</v>
      </c>
      <c r="E390">
        <v>2</v>
      </c>
    </row>
    <row r="391" spans="3:16" x14ac:dyDescent="0.35">
      <c r="C391">
        <v>8</v>
      </c>
      <c r="D391">
        <v>4</v>
      </c>
      <c r="H391">
        <v>4</v>
      </c>
      <c r="P391">
        <v>1</v>
      </c>
    </row>
    <row r="392" spans="3:16" x14ac:dyDescent="0.35">
      <c r="C392">
        <v>9</v>
      </c>
      <c r="D392">
        <v>10</v>
      </c>
      <c r="E392">
        <v>2</v>
      </c>
      <c r="H392">
        <v>1</v>
      </c>
    </row>
    <row r="393" spans="3:16" x14ac:dyDescent="0.35">
      <c r="C393">
        <v>1</v>
      </c>
      <c r="D393">
        <v>10</v>
      </c>
      <c r="P393">
        <v>2</v>
      </c>
    </row>
    <row r="394" spans="3:16" x14ac:dyDescent="0.35">
      <c r="C394">
        <v>2</v>
      </c>
      <c r="D394">
        <v>5</v>
      </c>
      <c r="K394" t="s">
        <v>231</v>
      </c>
    </row>
    <row r="395" spans="3:16" x14ac:dyDescent="0.35">
      <c r="C395">
        <v>3</v>
      </c>
      <c r="D395">
        <v>6</v>
      </c>
      <c r="E395">
        <v>1</v>
      </c>
    </row>
    <row r="396" spans="3:16" x14ac:dyDescent="0.35">
      <c r="C396">
        <v>4</v>
      </c>
      <c r="D396">
        <v>3</v>
      </c>
      <c r="E396">
        <v>3</v>
      </c>
    </row>
    <row r="397" spans="3:16" x14ac:dyDescent="0.35">
      <c r="C397">
        <v>5</v>
      </c>
      <c r="D397">
        <v>6</v>
      </c>
      <c r="E397">
        <v>2</v>
      </c>
    </row>
    <row r="398" spans="3:16" x14ac:dyDescent="0.35">
      <c r="C398">
        <v>6</v>
      </c>
      <c r="D398">
        <v>4</v>
      </c>
      <c r="E398">
        <v>2</v>
      </c>
    </row>
    <row r="399" spans="3:16" x14ac:dyDescent="0.35">
      <c r="C399">
        <v>7</v>
      </c>
      <c r="D399">
        <v>2</v>
      </c>
      <c r="H399">
        <v>1</v>
      </c>
    </row>
    <row r="400" spans="3:16" x14ac:dyDescent="0.35">
      <c r="C400">
        <v>8</v>
      </c>
      <c r="D400">
        <v>5</v>
      </c>
    </row>
    <row r="401" spans="1:25" s="4" customFormat="1" x14ac:dyDescent="0.35">
      <c r="C401" s="4">
        <v>9</v>
      </c>
      <c r="D401" s="4">
        <v>10</v>
      </c>
      <c r="G401" s="7"/>
      <c r="H401" s="4">
        <v>1</v>
      </c>
    </row>
    <row r="402" spans="1:25" x14ac:dyDescent="0.35">
      <c r="A402" s="2">
        <v>42818</v>
      </c>
      <c r="B402" t="s">
        <v>237</v>
      </c>
      <c r="C402">
        <v>1</v>
      </c>
      <c r="D402" s="10">
        <v>1</v>
      </c>
      <c r="X402">
        <v>1</v>
      </c>
      <c r="Y402">
        <f>SUM(D402,D411,D420,D429)</f>
        <v>5</v>
      </c>
    </row>
    <row r="403" spans="1:25" x14ac:dyDescent="0.35">
      <c r="C403">
        <v>2</v>
      </c>
      <c r="D403" s="10">
        <v>1</v>
      </c>
      <c r="E403">
        <v>1</v>
      </c>
      <c r="X403">
        <v>2</v>
      </c>
      <c r="Y403">
        <f t="shared" ref="Y403:Y409" si="32">SUM(D403,D412,D421,D430)</f>
        <v>6</v>
      </c>
    </row>
    <row r="404" spans="1:25" x14ac:dyDescent="0.35">
      <c r="C404">
        <v>3</v>
      </c>
      <c r="D404">
        <v>1</v>
      </c>
      <c r="E404">
        <v>3</v>
      </c>
      <c r="X404">
        <v>3</v>
      </c>
      <c r="Y404">
        <f t="shared" si="32"/>
        <v>8</v>
      </c>
    </row>
    <row r="405" spans="1:25" x14ac:dyDescent="0.35">
      <c r="C405">
        <v>4</v>
      </c>
      <c r="D405">
        <v>1</v>
      </c>
      <c r="E405">
        <v>2</v>
      </c>
      <c r="X405">
        <v>4</v>
      </c>
      <c r="Y405">
        <f t="shared" si="32"/>
        <v>6</v>
      </c>
    </row>
    <row r="406" spans="1:25" x14ac:dyDescent="0.35">
      <c r="C406">
        <v>5</v>
      </c>
      <c r="D406">
        <v>1</v>
      </c>
      <c r="E406">
        <v>1</v>
      </c>
      <c r="P406">
        <v>2</v>
      </c>
      <c r="X406">
        <v>5</v>
      </c>
      <c r="Y406">
        <f t="shared" si="32"/>
        <v>13</v>
      </c>
    </row>
    <row r="407" spans="1:25" x14ac:dyDescent="0.35">
      <c r="C407">
        <v>6</v>
      </c>
      <c r="D407">
        <v>1</v>
      </c>
      <c r="E407">
        <v>3</v>
      </c>
      <c r="H407">
        <v>1</v>
      </c>
      <c r="X407">
        <v>6</v>
      </c>
      <c r="Y407">
        <f t="shared" si="32"/>
        <v>12</v>
      </c>
    </row>
    <row r="408" spans="1:25" x14ac:dyDescent="0.35">
      <c r="C408">
        <v>7</v>
      </c>
      <c r="D408">
        <v>0</v>
      </c>
      <c r="E408">
        <v>2</v>
      </c>
      <c r="X408">
        <v>7</v>
      </c>
      <c r="Y408">
        <f t="shared" si="32"/>
        <v>3</v>
      </c>
    </row>
    <row r="409" spans="1:25" x14ac:dyDescent="0.35">
      <c r="C409">
        <v>8</v>
      </c>
      <c r="D409">
        <v>0</v>
      </c>
      <c r="E409">
        <v>7</v>
      </c>
      <c r="X409">
        <v>8</v>
      </c>
      <c r="Y409">
        <f t="shared" si="32"/>
        <v>3</v>
      </c>
    </row>
    <row r="410" spans="1:25" x14ac:dyDescent="0.35">
      <c r="C410">
        <v>9</v>
      </c>
      <c r="D410">
        <v>3</v>
      </c>
      <c r="E410">
        <v>4</v>
      </c>
      <c r="X410">
        <v>9</v>
      </c>
      <c r="Y410">
        <f>SUM(D410,D419,D428,D437)</f>
        <v>7</v>
      </c>
    </row>
    <row r="411" spans="1:25" x14ac:dyDescent="0.35">
      <c r="C411">
        <v>1</v>
      </c>
      <c r="D411">
        <v>1</v>
      </c>
      <c r="E411">
        <v>1</v>
      </c>
      <c r="H411">
        <v>1</v>
      </c>
    </row>
    <row r="412" spans="1:25" x14ac:dyDescent="0.35">
      <c r="C412">
        <v>2</v>
      </c>
      <c r="D412">
        <v>1</v>
      </c>
      <c r="E412">
        <v>2</v>
      </c>
    </row>
    <row r="413" spans="1:25" x14ac:dyDescent="0.35">
      <c r="C413">
        <v>3</v>
      </c>
      <c r="D413">
        <v>2</v>
      </c>
      <c r="E413">
        <v>3</v>
      </c>
    </row>
    <row r="414" spans="1:25" x14ac:dyDescent="0.35">
      <c r="C414">
        <v>4</v>
      </c>
      <c r="D414">
        <v>2</v>
      </c>
      <c r="E414">
        <v>2</v>
      </c>
      <c r="P414">
        <v>1</v>
      </c>
    </row>
    <row r="415" spans="1:25" x14ac:dyDescent="0.35">
      <c r="C415">
        <v>5</v>
      </c>
      <c r="D415">
        <v>2</v>
      </c>
      <c r="E415">
        <v>5</v>
      </c>
    </row>
    <row r="416" spans="1:25" x14ac:dyDescent="0.35">
      <c r="C416">
        <v>6</v>
      </c>
      <c r="D416">
        <v>2</v>
      </c>
      <c r="E416">
        <v>3</v>
      </c>
    </row>
    <row r="417" spans="3:5" x14ac:dyDescent="0.35">
      <c r="C417">
        <v>7</v>
      </c>
      <c r="D417">
        <v>1</v>
      </c>
      <c r="E417">
        <v>5</v>
      </c>
    </row>
    <row r="418" spans="3:5" x14ac:dyDescent="0.35">
      <c r="C418">
        <v>8</v>
      </c>
      <c r="D418">
        <v>1</v>
      </c>
      <c r="E418">
        <v>3</v>
      </c>
    </row>
    <row r="419" spans="3:5" x14ac:dyDescent="0.35">
      <c r="C419">
        <v>9</v>
      </c>
      <c r="D419">
        <v>3</v>
      </c>
      <c r="E419">
        <v>1</v>
      </c>
    </row>
    <row r="420" spans="3:5" x14ac:dyDescent="0.35">
      <c r="C420">
        <v>1</v>
      </c>
      <c r="D420">
        <v>1</v>
      </c>
      <c r="E420">
        <v>1</v>
      </c>
    </row>
    <row r="421" spans="3:5" x14ac:dyDescent="0.35">
      <c r="C421">
        <v>2</v>
      </c>
      <c r="D421">
        <v>0</v>
      </c>
    </row>
    <row r="422" spans="3:5" x14ac:dyDescent="0.35">
      <c r="C422">
        <v>3</v>
      </c>
      <c r="D422">
        <v>2</v>
      </c>
      <c r="E422">
        <v>1</v>
      </c>
    </row>
    <row r="423" spans="3:5" x14ac:dyDescent="0.35">
      <c r="C423">
        <v>4</v>
      </c>
      <c r="D423">
        <v>1</v>
      </c>
      <c r="E423">
        <v>2</v>
      </c>
    </row>
    <row r="424" spans="3:5" x14ac:dyDescent="0.35">
      <c r="C424">
        <v>5</v>
      </c>
      <c r="D424">
        <v>7</v>
      </c>
    </row>
    <row r="425" spans="3:5" x14ac:dyDescent="0.35">
      <c r="C425">
        <v>6</v>
      </c>
      <c r="D425">
        <v>1</v>
      </c>
      <c r="E425">
        <v>5</v>
      </c>
    </row>
    <row r="426" spans="3:5" x14ac:dyDescent="0.35">
      <c r="C426">
        <v>7</v>
      </c>
      <c r="D426">
        <v>1</v>
      </c>
      <c r="E426">
        <v>3</v>
      </c>
    </row>
    <row r="427" spans="3:5" x14ac:dyDescent="0.35">
      <c r="C427">
        <v>8</v>
      </c>
      <c r="D427">
        <v>0</v>
      </c>
      <c r="E427">
        <v>1</v>
      </c>
    </row>
    <row r="428" spans="3:5" x14ac:dyDescent="0.35">
      <c r="C428">
        <v>9</v>
      </c>
      <c r="D428">
        <v>1</v>
      </c>
      <c r="E428">
        <v>2</v>
      </c>
    </row>
    <row r="429" spans="3:5" x14ac:dyDescent="0.35">
      <c r="C429">
        <v>1</v>
      </c>
      <c r="D429">
        <v>2</v>
      </c>
    </row>
    <row r="430" spans="3:5" x14ac:dyDescent="0.35">
      <c r="C430">
        <v>2</v>
      </c>
      <c r="D430">
        <v>4</v>
      </c>
      <c r="E430">
        <v>3</v>
      </c>
    </row>
    <row r="431" spans="3:5" x14ac:dyDescent="0.35">
      <c r="C431">
        <v>3</v>
      </c>
      <c r="D431">
        <v>3</v>
      </c>
      <c r="E431">
        <v>1</v>
      </c>
    </row>
    <row r="432" spans="3:5" x14ac:dyDescent="0.35">
      <c r="C432">
        <v>4</v>
      </c>
      <c r="D432">
        <v>2</v>
      </c>
    </row>
    <row r="433" spans="1:25" x14ac:dyDescent="0.35">
      <c r="C433">
        <v>5</v>
      </c>
      <c r="D433">
        <v>3</v>
      </c>
      <c r="E433">
        <v>2</v>
      </c>
    </row>
    <row r="434" spans="1:25" x14ac:dyDescent="0.35">
      <c r="C434">
        <v>6</v>
      </c>
      <c r="D434">
        <v>8</v>
      </c>
      <c r="E434">
        <v>2</v>
      </c>
    </row>
    <row r="435" spans="1:25" x14ac:dyDescent="0.35">
      <c r="C435">
        <v>7</v>
      </c>
      <c r="D435">
        <v>1</v>
      </c>
      <c r="E435">
        <v>4</v>
      </c>
    </row>
    <row r="436" spans="1:25" x14ac:dyDescent="0.35">
      <c r="C436">
        <v>8</v>
      </c>
      <c r="D436">
        <v>2</v>
      </c>
      <c r="E436">
        <v>2</v>
      </c>
    </row>
    <row r="437" spans="1:25" s="4" customFormat="1" x14ac:dyDescent="0.35">
      <c r="C437" s="4">
        <v>9</v>
      </c>
      <c r="D437" s="4">
        <v>0</v>
      </c>
      <c r="E437" s="4">
        <v>3</v>
      </c>
      <c r="G437" s="7"/>
    </row>
    <row r="438" spans="1:25" x14ac:dyDescent="0.35">
      <c r="A438" s="2">
        <v>42826</v>
      </c>
      <c r="B438" t="s">
        <v>316</v>
      </c>
      <c r="C438">
        <v>1</v>
      </c>
      <c r="D438" s="10">
        <v>0</v>
      </c>
      <c r="E438" s="10">
        <v>10</v>
      </c>
      <c r="X438">
        <v>1</v>
      </c>
      <c r="Y438">
        <f>SUM(D438,D447,D456,D465)</f>
        <v>3</v>
      </c>
    </row>
    <row r="439" spans="1:25" x14ac:dyDescent="0.35">
      <c r="C439">
        <v>2</v>
      </c>
      <c r="D439" s="10">
        <v>2</v>
      </c>
      <c r="E439" s="10">
        <v>5</v>
      </c>
      <c r="X439">
        <v>2</v>
      </c>
      <c r="Y439">
        <f t="shared" ref="Y439:Y445" si="33">SUM(D439,D448,D457,D466)</f>
        <v>5</v>
      </c>
    </row>
    <row r="440" spans="1:25" x14ac:dyDescent="0.35">
      <c r="C440">
        <v>3</v>
      </c>
      <c r="D440">
        <v>0</v>
      </c>
      <c r="E440">
        <v>10</v>
      </c>
      <c r="O440">
        <v>1</v>
      </c>
      <c r="X440">
        <v>3</v>
      </c>
      <c r="Y440">
        <f t="shared" si="33"/>
        <v>3</v>
      </c>
    </row>
    <row r="441" spans="1:25" x14ac:dyDescent="0.35">
      <c r="C441">
        <v>4</v>
      </c>
      <c r="D441">
        <v>1</v>
      </c>
      <c r="E441">
        <v>2</v>
      </c>
      <c r="X441">
        <v>4</v>
      </c>
      <c r="Y441">
        <f t="shared" si="33"/>
        <v>6</v>
      </c>
    </row>
    <row r="442" spans="1:25" x14ac:dyDescent="0.35">
      <c r="C442">
        <v>5</v>
      </c>
      <c r="D442">
        <v>0</v>
      </c>
      <c r="E442">
        <v>6</v>
      </c>
      <c r="X442">
        <v>5</v>
      </c>
      <c r="Y442">
        <f t="shared" si="33"/>
        <v>2</v>
      </c>
    </row>
    <row r="443" spans="1:25" x14ac:dyDescent="0.35">
      <c r="C443">
        <v>6</v>
      </c>
      <c r="D443">
        <v>0</v>
      </c>
      <c r="E443">
        <v>4</v>
      </c>
      <c r="X443">
        <v>6</v>
      </c>
      <c r="Y443">
        <f t="shared" si="33"/>
        <v>3</v>
      </c>
    </row>
    <row r="444" spans="1:25" x14ac:dyDescent="0.35">
      <c r="C444">
        <v>7</v>
      </c>
      <c r="D444">
        <v>1</v>
      </c>
      <c r="E444">
        <v>18</v>
      </c>
      <c r="X444">
        <v>7</v>
      </c>
      <c r="Y444">
        <f t="shared" si="33"/>
        <v>7</v>
      </c>
    </row>
    <row r="445" spans="1:25" x14ac:dyDescent="0.35">
      <c r="C445">
        <v>8</v>
      </c>
      <c r="D445">
        <v>2</v>
      </c>
      <c r="E445">
        <v>11</v>
      </c>
      <c r="X445">
        <v>8</v>
      </c>
      <c r="Y445">
        <f t="shared" si="33"/>
        <v>5</v>
      </c>
    </row>
    <row r="446" spans="1:25" x14ac:dyDescent="0.35">
      <c r="C446">
        <v>9</v>
      </c>
      <c r="D446">
        <v>1</v>
      </c>
      <c r="E446">
        <v>10</v>
      </c>
      <c r="X446">
        <v>9</v>
      </c>
      <c r="Y446">
        <f>SUM(D446,D455,D464,D473)</f>
        <v>2</v>
      </c>
    </row>
    <row r="447" spans="1:25" x14ac:dyDescent="0.35">
      <c r="C447">
        <v>1</v>
      </c>
      <c r="D447">
        <v>0</v>
      </c>
      <c r="E447">
        <v>7</v>
      </c>
      <c r="R447">
        <v>1</v>
      </c>
    </row>
    <row r="448" spans="1:25" x14ac:dyDescent="0.35">
      <c r="C448">
        <v>2</v>
      </c>
      <c r="D448">
        <v>1</v>
      </c>
      <c r="E448">
        <v>3</v>
      </c>
      <c r="R448">
        <v>1</v>
      </c>
    </row>
    <row r="449" spans="3:18" x14ac:dyDescent="0.35">
      <c r="C449">
        <v>3</v>
      </c>
      <c r="D449">
        <v>0</v>
      </c>
      <c r="E449">
        <v>4</v>
      </c>
    </row>
    <row r="450" spans="3:18" x14ac:dyDescent="0.35">
      <c r="C450">
        <v>4</v>
      </c>
      <c r="D450">
        <v>1</v>
      </c>
      <c r="E450">
        <v>3</v>
      </c>
      <c r="R450">
        <v>1</v>
      </c>
    </row>
    <row r="451" spans="3:18" x14ac:dyDescent="0.35">
      <c r="C451">
        <v>5</v>
      </c>
      <c r="D451">
        <v>0</v>
      </c>
      <c r="E451">
        <v>4</v>
      </c>
    </row>
    <row r="452" spans="3:18" x14ac:dyDescent="0.35">
      <c r="C452">
        <v>6</v>
      </c>
      <c r="D452">
        <v>0</v>
      </c>
      <c r="E452">
        <v>11</v>
      </c>
    </row>
    <row r="453" spans="3:18" x14ac:dyDescent="0.35">
      <c r="C453">
        <v>7</v>
      </c>
      <c r="D453">
        <v>4</v>
      </c>
      <c r="E453">
        <v>4</v>
      </c>
      <c r="O453">
        <v>1</v>
      </c>
    </row>
    <row r="454" spans="3:18" x14ac:dyDescent="0.35">
      <c r="C454">
        <v>8</v>
      </c>
      <c r="D454">
        <v>1</v>
      </c>
      <c r="E454">
        <v>6</v>
      </c>
    </row>
    <row r="455" spans="3:18" x14ac:dyDescent="0.35">
      <c r="C455">
        <v>9</v>
      </c>
      <c r="D455">
        <v>0</v>
      </c>
      <c r="E455">
        <v>10</v>
      </c>
    </row>
    <row r="456" spans="3:18" x14ac:dyDescent="0.35">
      <c r="C456">
        <v>1</v>
      </c>
      <c r="D456">
        <v>0</v>
      </c>
      <c r="E456">
        <v>13</v>
      </c>
    </row>
    <row r="457" spans="3:18" x14ac:dyDescent="0.35">
      <c r="C457">
        <v>2</v>
      </c>
      <c r="D457">
        <v>0</v>
      </c>
      <c r="E457">
        <v>6</v>
      </c>
      <c r="R457">
        <v>1</v>
      </c>
    </row>
    <row r="458" spans="3:18" x14ac:dyDescent="0.35">
      <c r="C458">
        <v>3</v>
      </c>
      <c r="D458">
        <v>3</v>
      </c>
      <c r="E458">
        <v>3</v>
      </c>
      <c r="R458">
        <v>1</v>
      </c>
    </row>
    <row r="459" spans="3:18" x14ac:dyDescent="0.35">
      <c r="C459">
        <v>4</v>
      </c>
      <c r="D459">
        <v>4</v>
      </c>
      <c r="E459">
        <v>5</v>
      </c>
    </row>
    <row r="460" spans="3:18" x14ac:dyDescent="0.35">
      <c r="C460">
        <v>5</v>
      </c>
      <c r="D460">
        <v>1</v>
      </c>
    </row>
    <row r="461" spans="3:18" x14ac:dyDescent="0.35">
      <c r="C461">
        <v>6</v>
      </c>
      <c r="D461">
        <v>0</v>
      </c>
      <c r="E461">
        <v>3</v>
      </c>
    </row>
    <row r="462" spans="3:18" x14ac:dyDescent="0.35">
      <c r="C462">
        <v>7</v>
      </c>
      <c r="D462">
        <v>0</v>
      </c>
      <c r="E462">
        <v>7</v>
      </c>
    </row>
    <row r="463" spans="3:18" x14ac:dyDescent="0.35">
      <c r="C463">
        <v>8</v>
      </c>
      <c r="D463">
        <v>1</v>
      </c>
      <c r="E463">
        <v>7</v>
      </c>
    </row>
    <row r="464" spans="3:18" x14ac:dyDescent="0.35">
      <c r="C464">
        <v>9</v>
      </c>
      <c r="D464">
        <v>0</v>
      </c>
      <c r="E464">
        <v>5</v>
      </c>
      <c r="O464">
        <v>1</v>
      </c>
    </row>
    <row r="465" spans="1:25" x14ac:dyDescent="0.35">
      <c r="C465">
        <v>1</v>
      </c>
      <c r="D465">
        <v>3</v>
      </c>
      <c r="E465">
        <v>4</v>
      </c>
    </row>
    <row r="466" spans="1:25" x14ac:dyDescent="0.35">
      <c r="C466">
        <v>2</v>
      </c>
      <c r="D466">
        <v>2</v>
      </c>
      <c r="E466">
        <v>5</v>
      </c>
    </row>
    <row r="467" spans="1:25" x14ac:dyDescent="0.35">
      <c r="C467">
        <v>3</v>
      </c>
      <c r="D467">
        <v>0</v>
      </c>
      <c r="E467">
        <v>2</v>
      </c>
      <c r="R467">
        <v>1</v>
      </c>
    </row>
    <row r="468" spans="1:25" x14ac:dyDescent="0.35">
      <c r="C468">
        <v>4</v>
      </c>
      <c r="D468">
        <v>0</v>
      </c>
      <c r="E468">
        <v>4</v>
      </c>
    </row>
    <row r="469" spans="1:25" x14ac:dyDescent="0.35">
      <c r="C469">
        <v>5</v>
      </c>
      <c r="D469">
        <v>1</v>
      </c>
      <c r="E469">
        <v>2</v>
      </c>
      <c r="R469">
        <v>1</v>
      </c>
    </row>
    <row r="470" spans="1:25" x14ac:dyDescent="0.35">
      <c r="C470">
        <v>6</v>
      </c>
      <c r="D470">
        <v>3</v>
      </c>
      <c r="E470">
        <v>4</v>
      </c>
    </row>
    <row r="471" spans="1:25" x14ac:dyDescent="0.35">
      <c r="C471">
        <v>7</v>
      </c>
      <c r="D471">
        <v>2</v>
      </c>
      <c r="E471">
        <v>6</v>
      </c>
      <c r="R471">
        <v>1</v>
      </c>
    </row>
    <row r="472" spans="1:25" x14ac:dyDescent="0.35">
      <c r="C472">
        <v>8</v>
      </c>
      <c r="D472">
        <v>1</v>
      </c>
      <c r="E472">
        <v>5</v>
      </c>
    </row>
    <row r="473" spans="1:25" s="4" customFormat="1" x14ac:dyDescent="0.35">
      <c r="C473" s="4">
        <v>9</v>
      </c>
      <c r="D473" s="4">
        <v>1</v>
      </c>
      <c r="E473" s="4">
        <v>2</v>
      </c>
      <c r="G473" s="7"/>
      <c r="H473" s="4">
        <v>1</v>
      </c>
    </row>
    <row r="474" spans="1:25" x14ac:dyDescent="0.35">
      <c r="A474" s="2">
        <v>42832</v>
      </c>
      <c r="B474" t="s">
        <v>362</v>
      </c>
      <c r="C474">
        <v>1</v>
      </c>
      <c r="D474" s="10">
        <v>0</v>
      </c>
      <c r="E474" s="10">
        <v>2</v>
      </c>
      <c r="O474">
        <v>1</v>
      </c>
      <c r="X474">
        <v>1</v>
      </c>
      <c r="Y474">
        <f>SUM(D474,D483,D492,D501)</f>
        <v>3</v>
      </c>
    </row>
    <row r="475" spans="1:25" x14ac:dyDescent="0.35">
      <c r="C475">
        <v>2</v>
      </c>
      <c r="D475" s="10">
        <v>0</v>
      </c>
      <c r="E475" s="10">
        <v>4</v>
      </c>
      <c r="O475">
        <v>1</v>
      </c>
      <c r="X475">
        <v>2</v>
      </c>
      <c r="Y475">
        <f t="shared" ref="Y475:Y481" si="34">SUM(D475,D484,D493,D502)</f>
        <v>2</v>
      </c>
    </row>
    <row r="476" spans="1:25" x14ac:dyDescent="0.35">
      <c r="C476">
        <v>3</v>
      </c>
      <c r="D476">
        <v>0</v>
      </c>
      <c r="E476">
        <v>1</v>
      </c>
      <c r="R476">
        <v>3</v>
      </c>
      <c r="X476">
        <v>3</v>
      </c>
      <c r="Y476">
        <f t="shared" si="34"/>
        <v>2</v>
      </c>
    </row>
    <row r="477" spans="1:25" x14ac:dyDescent="0.35">
      <c r="C477">
        <v>4</v>
      </c>
      <c r="D477">
        <v>2</v>
      </c>
      <c r="E477">
        <v>2</v>
      </c>
      <c r="O477">
        <v>1</v>
      </c>
      <c r="X477">
        <v>4</v>
      </c>
      <c r="Y477">
        <f t="shared" si="34"/>
        <v>2</v>
      </c>
    </row>
    <row r="478" spans="1:25" x14ac:dyDescent="0.35">
      <c r="C478">
        <v>5</v>
      </c>
      <c r="D478">
        <v>0</v>
      </c>
      <c r="E478">
        <v>1</v>
      </c>
      <c r="R478">
        <v>1</v>
      </c>
      <c r="X478">
        <v>5</v>
      </c>
      <c r="Y478">
        <f t="shared" si="34"/>
        <v>1</v>
      </c>
    </row>
    <row r="479" spans="1:25" x14ac:dyDescent="0.35">
      <c r="C479">
        <v>6</v>
      </c>
      <c r="D479">
        <v>1</v>
      </c>
      <c r="O479">
        <v>1</v>
      </c>
      <c r="R479">
        <v>2</v>
      </c>
      <c r="X479">
        <v>6</v>
      </c>
      <c r="Y479">
        <f t="shared" si="34"/>
        <v>1</v>
      </c>
    </row>
    <row r="480" spans="1:25" x14ac:dyDescent="0.35">
      <c r="C480">
        <v>7</v>
      </c>
      <c r="D480">
        <v>0</v>
      </c>
      <c r="E480">
        <v>2</v>
      </c>
      <c r="R480">
        <v>1</v>
      </c>
      <c r="X480">
        <v>7</v>
      </c>
      <c r="Y480">
        <f t="shared" si="34"/>
        <v>2</v>
      </c>
    </row>
    <row r="481" spans="3:25" x14ac:dyDescent="0.35">
      <c r="C481">
        <v>8</v>
      </c>
      <c r="D481">
        <v>0</v>
      </c>
      <c r="E481">
        <v>2</v>
      </c>
      <c r="O481">
        <v>1</v>
      </c>
      <c r="R481">
        <v>4</v>
      </c>
      <c r="X481">
        <v>8</v>
      </c>
      <c r="Y481">
        <f t="shared" si="34"/>
        <v>0</v>
      </c>
    </row>
    <row r="482" spans="3:25" x14ac:dyDescent="0.35">
      <c r="C482">
        <v>9</v>
      </c>
      <c r="D482">
        <v>2</v>
      </c>
      <c r="E482">
        <v>6</v>
      </c>
      <c r="O482">
        <v>1</v>
      </c>
      <c r="R482">
        <v>2</v>
      </c>
      <c r="X482">
        <v>9</v>
      </c>
      <c r="Y482">
        <f>SUM(D482,D491,D500,D509)</f>
        <v>7</v>
      </c>
    </row>
    <row r="483" spans="3:25" x14ac:dyDescent="0.35">
      <c r="C483">
        <v>1</v>
      </c>
      <c r="D483">
        <v>1</v>
      </c>
      <c r="E483">
        <v>5</v>
      </c>
    </row>
    <row r="484" spans="3:25" x14ac:dyDescent="0.35">
      <c r="C484">
        <v>2</v>
      </c>
      <c r="D484">
        <v>0</v>
      </c>
      <c r="E484">
        <v>2</v>
      </c>
      <c r="P484">
        <v>1</v>
      </c>
      <c r="R484">
        <v>2</v>
      </c>
    </row>
    <row r="485" spans="3:25" x14ac:dyDescent="0.35">
      <c r="C485">
        <v>3</v>
      </c>
      <c r="D485">
        <v>1</v>
      </c>
      <c r="E485">
        <v>3</v>
      </c>
      <c r="R485">
        <v>1</v>
      </c>
    </row>
    <row r="486" spans="3:25" x14ac:dyDescent="0.35">
      <c r="C486">
        <v>4</v>
      </c>
      <c r="D486">
        <v>0</v>
      </c>
      <c r="E486">
        <v>3</v>
      </c>
      <c r="R486">
        <v>2</v>
      </c>
    </row>
    <row r="487" spans="3:25" x14ac:dyDescent="0.35">
      <c r="C487">
        <v>5</v>
      </c>
      <c r="D487">
        <v>0</v>
      </c>
    </row>
    <row r="488" spans="3:25" x14ac:dyDescent="0.35">
      <c r="C488">
        <v>6</v>
      </c>
      <c r="D488">
        <v>0</v>
      </c>
      <c r="E488">
        <v>5</v>
      </c>
      <c r="R488">
        <v>1</v>
      </c>
    </row>
    <row r="489" spans="3:25" x14ac:dyDescent="0.35">
      <c r="C489">
        <v>7</v>
      </c>
      <c r="D489">
        <v>1</v>
      </c>
      <c r="O489">
        <v>1</v>
      </c>
      <c r="R489">
        <v>2</v>
      </c>
    </row>
    <row r="490" spans="3:25" x14ac:dyDescent="0.35">
      <c r="C490">
        <v>8</v>
      </c>
      <c r="D490">
        <v>0</v>
      </c>
      <c r="E490">
        <v>2</v>
      </c>
      <c r="R490">
        <v>2</v>
      </c>
    </row>
    <row r="491" spans="3:25" x14ac:dyDescent="0.35">
      <c r="C491">
        <v>9</v>
      </c>
      <c r="D491">
        <v>0</v>
      </c>
      <c r="P491">
        <v>1</v>
      </c>
      <c r="R491">
        <v>3</v>
      </c>
    </row>
    <row r="492" spans="3:25" x14ac:dyDescent="0.35">
      <c r="C492">
        <v>1</v>
      </c>
      <c r="D492">
        <v>1</v>
      </c>
      <c r="E492">
        <v>2</v>
      </c>
      <c r="R492">
        <v>1</v>
      </c>
    </row>
    <row r="493" spans="3:25" x14ac:dyDescent="0.35">
      <c r="C493">
        <v>2</v>
      </c>
      <c r="D493">
        <v>2</v>
      </c>
      <c r="E493">
        <v>2</v>
      </c>
      <c r="R493">
        <v>2</v>
      </c>
    </row>
    <row r="494" spans="3:25" x14ac:dyDescent="0.35">
      <c r="C494">
        <v>3</v>
      </c>
      <c r="D494">
        <v>0</v>
      </c>
      <c r="E494">
        <v>3</v>
      </c>
      <c r="O494">
        <v>1</v>
      </c>
      <c r="R494">
        <v>2</v>
      </c>
    </row>
    <row r="495" spans="3:25" x14ac:dyDescent="0.35">
      <c r="C495">
        <v>4</v>
      </c>
      <c r="D495">
        <v>0</v>
      </c>
      <c r="E495">
        <v>3</v>
      </c>
    </row>
    <row r="496" spans="3:25" x14ac:dyDescent="0.35">
      <c r="C496">
        <v>5</v>
      </c>
      <c r="D496">
        <v>0</v>
      </c>
      <c r="E496">
        <v>1</v>
      </c>
    </row>
    <row r="497" spans="1:25" x14ac:dyDescent="0.35">
      <c r="C497">
        <v>6</v>
      </c>
      <c r="D497">
        <v>0</v>
      </c>
      <c r="R497">
        <v>3</v>
      </c>
    </row>
    <row r="498" spans="1:25" x14ac:dyDescent="0.35">
      <c r="C498">
        <v>7</v>
      </c>
      <c r="D498">
        <v>0</v>
      </c>
      <c r="E498">
        <v>1</v>
      </c>
      <c r="P498">
        <v>1</v>
      </c>
      <c r="R498">
        <v>2</v>
      </c>
    </row>
    <row r="499" spans="1:25" x14ac:dyDescent="0.35">
      <c r="C499">
        <v>8</v>
      </c>
      <c r="D499">
        <v>0</v>
      </c>
      <c r="E499">
        <v>2</v>
      </c>
      <c r="R499">
        <v>1</v>
      </c>
    </row>
    <row r="500" spans="1:25" x14ac:dyDescent="0.35">
      <c r="C500">
        <v>9</v>
      </c>
      <c r="D500">
        <v>4</v>
      </c>
      <c r="E500">
        <v>6</v>
      </c>
      <c r="R500">
        <v>3</v>
      </c>
    </row>
    <row r="501" spans="1:25" x14ac:dyDescent="0.35">
      <c r="C501">
        <v>1</v>
      </c>
      <c r="D501">
        <v>1</v>
      </c>
      <c r="E501">
        <v>1</v>
      </c>
      <c r="R501">
        <v>1</v>
      </c>
    </row>
    <row r="502" spans="1:25" x14ac:dyDescent="0.35">
      <c r="C502">
        <v>2</v>
      </c>
      <c r="D502">
        <v>0</v>
      </c>
      <c r="E502">
        <v>2</v>
      </c>
      <c r="R502">
        <v>4</v>
      </c>
    </row>
    <row r="503" spans="1:25" x14ac:dyDescent="0.35">
      <c r="C503">
        <v>3</v>
      </c>
      <c r="D503">
        <v>1</v>
      </c>
      <c r="E503">
        <v>3</v>
      </c>
      <c r="R503">
        <v>3</v>
      </c>
    </row>
    <row r="504" spans="1:25" x14ac:dyDescent="0.35">
      <c r="C504">
        <v>4</v>
      </c>
      <c r="D504">
        <v>0</v>
      </c>
      <c r="E504">
        <v>1</v>
      </c>
    </row>
    <row r="505" spans="1:25" x14ac:dyDescent="0.35">
      <c r="C505">
        <v>5</v>
      </c>
      <c r="D505">
        <v>1</v>
      </c>
      <c r="E505">
        <v>2</v>
      </c>
      <c r="O505">
        <v>1</v>
      </c>
      <c r="R505">
        <v>3</v>
      </c>
    </row>
    <row r="506" spans="1:25" x14ac:dyDescent="0.35">
      <c r="C506">
        <v>6</v>
      </c>
      <c r="D506">
        <v>0</v>
      </c>
      <c r="E506">
        <v>3</v>
      </c>
      <c r="R506">
        <v>1</v>
      </c>
    </row>
    <row r="507" spans="1:25" x14ac:dyDescent="0.35">
      <c r="C507">
        <v>7</v>
      </c>
      <c r="D507">
        <v>1</v>
      </c>
      <c r="H507">
        <v>1</v>
      </c>
      <c r="P507">
        <v>1</v>
      </c>
    </row>
    <row r="508" spans="1:25" x14ac:dyDescent="0.35">
      <c r="C508">
        <v>8</v>
      </c>
      <c r="D508">
        <v>0</v>
      </c>
      <c r="E508">
        <v>3</v>
      </c>
      <c r="O508">
        <v>2</v>
      </c>
    </row>
    <row r="509" spans="1:25" s="4" customFormat="1" x14ac:dyDescent="0.35">
      <c r="C509" s="4">
        <v>9</v>
      </c>
      <c r="D509" s="4">
        <v>1</v>
      </c>
      <c r="E509" s="4">
        <v>2</v>
      </c>
      <c r="G509" s="7"/>
      <c r="R509" s="4">
        <v>1</v>
      </c>
    </row>
    <row r="510" spans="1:25" x14ac:dyDescent="0.35">
      <c r="A510" s="2">
        <v>42840</v>
      </c>
      <c r="B510" t="s">
        <v>400</v>
      </c>
      <c r="C510">
        <v>1</v>
      </c>
      <c r="D510" s="10">
        <v>0</v>
      </c>
      <c r="E510" s="10">
        <v>55</v>
      </c>
      <c r="X510">
        <v>1</v>
      </c>
      <c r="Y510">
        <f>SUM(D510,D519,D528,D537)</f>
        <v>0</v>
      </c>
    </row>
    <row r="511" spans="1:25" x14ac:dyDescent="0.35">
      <c r="C511">
        <v>2</v>
      </c>
      <c r="D511" s="10">
        <v>0</v>
      </c>
      <c r="E511" s="10">
        <v>38</v>
      </c>
      <c r="H511">
        <v>1</v>
      </c>
      <c r="X511">
        <v>2</v>
      </c>
      <c r="Y511">
        <f t="shared" ref="Y511:Y517" si="35">SUM(D511,D520,D529,D538)</f>
        <v>0</v>
      </c>
    </row>
    <row r="512" spans="1:25" x14ac:dyDescent="0.35">
      <c r="C512">
        <v>3</v>
      </c>
      <c r="D512">
        <v>1</v>
      </c>
      <c r="E512">
        <v>24</v>
      </c>
      <c r="R512">
        <v>1</v>
      </c>
      <c r="X512">
        <v>3</v>
      </c>
      <c r="Y512">
        <f t="shared" si="35"/>
        <v>1</v>
      </c>
    </row>
    <row r="513" spans="3:25" x14ac:dyDescent="0.35">
      <c r="C513">
        <v>4</v>
      </c>
      <c r="D513">
        <v>0</v>
      </c>
      <c r="E513">
        <v>17</v>
      </c>
      <c r="S513">
        <v>1</v>
      </c>
      <c r="X513">
        <v>4</v>
      </c>
      <c r="Y513">
        <f t="shared" si="35"/>
        <v>1</v>
      </c>
    </row>
    <row r="514" spans="3:25" x14ac:dyDescent="0.35">
      <c r="C514">
        <v>5</v>
      </c>
      <c r="D514">
        <v>0</v>
      </c>
      <c r="E514">
        <v>11</v>
      </c>
      <c r="O514">
        <v>2</v>
      </c>
      <c r="R514">
        <v>1</v>
      </c>
      <c r="X514">
        <v>5</v>
      </c>
      <c r="Y514">
        <f t="shared" si="35"/>
        <v>2</v>
      </c>
    </row>
    <row r="515" spans="3:25" x14ac:dyDescent="0.35">
      <c r="C515">
        <v>6</v>
      </c>
      <c r="D515">
        <v>1</v>
      </c>
      <c r="E515">
        <v>14</v>
      </c>
      <c r="O515">
        <v>1</v>
      </c>
      <c r="X515">
        <v>6</v>
      </c>
      <c r="Y515">
        <f t="shared" si="35"/>
        <v>1</v>
      </c>
    </row>
    <row r="516" spans="3:25" x14ac:dyDescent="0.35">
      <c r="C516">
        <v>7</v>
      </c>
      <c r="D516">
        <v>0</v>
      </c>
      <c r="E516">
        <v>38</v>
      </c>
      <c r="R516">
        <v>1</v>
      </c>
      <c r="X516">
        <v>7</v>
      </c>
      <c r="Y516">
        <f t="shared" si="35"/>
        <v>1</v>
      </c>
    </row>
    <row r="517" spans="3:25" x14ac:dyDescent="0.35">
      <c r="C517">
        <v>8</v>
      </c>
      <c r="D517">
        <v>0</v>
      </c>
      <c r="E517">
        <v>19</v>
      </c>
      <c r="O517">
        <v>1</v>
      </c>
      <c r="X517">
        <v>8</v>
      </c>
      <c r="Y517">
        <f t="shared" si="35"/>
        <v>1</v>
      </c>
    </row>
    <row r="518" spans="3:25" x14ac:dyDescent="0.35">
      <c r="C518">
        <v>9</v>
      </c>
      <c r="D518">
        <v>0</v>
      </c>
      <c r="E518">
        <v>28</v>
      </c>
      <c r="O518">
        <v>3</v>
      </c>
      <c r="X518">
        <v>9</v>
      </c>
      <c r="Y518">
        <f>SUM(D518,D527,D536,D545)</f>
        <v>1</v>
      </c>
    </row>
    <row r="519" spans="3:25" x14ac:dyDescent="0.35">
      <c r="C519">
        <v>1</v>
      </c>
      <c r="D519">
        <v>0</v>
      </c>
      <c r="E519">
        <v>18</v>
      </c>
      <c r="O519">
        <v>1</v>
      </c>
    </row>
    <row r="520" spans="3:25" x14ac:dyDescent="0.35">
      <c r="C520">
        <v>2</v>
      </c>
      <c r="D520">
        <v>0</v>
      </c>
      <c r="E520">
        <v>22</v>
      </c>
    </row>
    <row r="521" spans="3:25" x14ac:dyDescent="0.35">
      <c r="C521">
        <v>3</v>
      </c>
      <c r="D521">
        <v>0</v>
      </c>
      <c r="E521">
        <v>14</v>
      </c>
    </row>
    <row r="522" spans="3:25" x14ac:dyDescent="0.35">
      <c r="C522">
        <v>4</v>
      </c>
      <c r="D522">
        <v>0</v>
      </c>
      <c r="E522">
        <v>19</v>
      </c>
      <c r="O522">
        <v>2</v>
      </c>
      <c r="R522">
        <v>3</v>
      </c>
    </row>
    <row r="523" spans="3:25" x14ac:dyDescent="0.35">
      <c r="C523">
        <v>5</v>
      </c>
      <c r="D523">
        <v>1</v>
      </c>
      <c r="E523">
        <v>15</v>
      </c>
      <c r="O523">
        <v>3</v>
      </c>
    </row>
    <row r="524" spans="3:25" x14ac:dyDescent="0.35">
      <c r="C524">
        <v>6</v>
      </c>
      <c r="D524">
        <v>0</v>
      </c>
      <c r="E524">
        <v>7</v>
      </c>
    </row>
    <row r="525" spans="3:25" x14ac:dyDescent="0.35">
      <c r="C525">
        <v>7</v>
      </c>
      <c r="D525">
        <v>0</v>
      </c>
      <c r="E525">
        <v>10</v>
      </c>
    </row>
    <row r="526" spans="3:25" x14ac:dyDescent="0.35">
      <c r="C526">
        <v>8</v>
      </c>
      <c r="D526">
        <v>0</v>
      </c>
      <c r="E526">
        <v>19</v>
      </c>
    </row>
    <row r="527" spans="3:25" x14ac:dyDescent="0.35">
      <c r="C527">
        <v>9</v>
      </c>
      <c r="D527">
        <v>0</v>
      </c>
      <c r="E527">
        <v>24</v>
      </c>
      <c r="O527">
        <v>1</v>
      </c>
      <c r="R527">
        <v>1</v>
      </c>
    </row>
    <row r="528" spans="3:25" x14ac:dyDescent="0.35">
      <c r="C528">
        <v>1</v>
      </c>
      <c r="D528">
        <v>0</v>
      </c>
      <c r="E528">
        <v>36</v>
      </c>
      <c r="R528">
        <v>1</v>
      </c>
    </row>
    <row r="529" spans="3:19" x14ac:dyDescent="0.35">
      <c r="C529">
        <v>2</v>
      </c>
      <c r="D529">
        <v>0</v>
      </c>
      <c r="E529">
        <v>10</v>
      </c>
      <c r="O529">
        <v>1</v>
      </c>
    </row>
    <row r="530" spans="3:19" x14ac:dyDescent="0.35">
      <c r="C530">
        <v>3</v>
      </c>
      <c r="D530">
        <v>0</v>
      </c>
      <c r="E530">
        <v>15</v>
      </c>
      <c r="O530">
        <v>1</v>
      </c>
    </row>
    <row r="531" spans="3:19" x14ac:dyDescent="0.35">
      <c r="C531">
        <v>4</v>
      </c>
      <c r="D531">
        <v>1</v>
      </c>
      <c r="E531">
        <v>7</v>
      </c>
      <c r="O531">
        <v>1</v>
      </c>
    </row>
    <row r="532" spans="3:19" x14ac:dyDescent="0.35">
      <c r="C532">
        <v>5</v>
      </c>
      <c r="D532">
        <v>0</v>
      </c>
      <c r="E532">
        <v>10</v>
      </c>
      <c r="O532">
        <v>3</v>
      </c>
    </row>
    <row r="533" spans="3:19" x14ac:dyDescent="0.35">
      <c r="C533">
        <v>6</v>
      </c>
      <c r="D533">
        <v>0</v>
      </c>
      <c r="E533">
        <v>8</v>
      </c>
      <c r="O533">
        <v>1</v>
      </c>
    </row>
    <row r="534" spans="3:19" x14ac:dyDescent="0.35">
      <c r="C534">
        <v>7</v>
      </c>
      <c r="D534">
        <v>0</v>
      </c>
      <c r="E534">
        <v>8</v>
      </c>
      <c r="O534">
        <v>1</v>
      </c>
      <c r="S534">
        <v>1</v>
      </c>
    </row>
    <row r="535" spans="3:19" x14ac:dyDescent="0.35">
      <c r="C535">
        <v>8</v>
      </c>
      <c r="D535">
        <v>0</v>
      </c>
      <c r="E535">
        <v>9</v>
      </c>
      <c r="O535">
        <v>2</v>
      </c>
    </row>
    <row r="536" spans="3:19" x14ac:dyDescent="0.35">
      <c r="C536">
        <v>9</v>
      </c>
      <c r="D536">
        <v>0</v>
      </c>
      <c r="E536">
        <v>18</v>
      </c>
      <c r="R536">
        <v>1</v>
      </c>
    </row>
    <row r="537" spans="3:19" x14ac:dyDescent="0.35">
      <c r="C537">
        <v>1</v>
      </c>
      <c r="D537">
        <v>0</v>
      </c>
      <c r="E537">
        <v>13</v>
      </c>
      <c r="P537">
        <v>1</v>
      </c>
      <c r="S537">
        <v>1</v>
      </c>
    </row>
    <row r="538" spans="3:19" x14ac:dyDescent="0.35">
      <c r="C538">
        <v>2</v>
      </c>
      <c r="D538">
        <v>0</v>
      </c>
      <c r="E538">
        <v>12</v>
      </c>
      <c r="O538">
        <v>1</v>
      </c>
      <c r="S538">
        <v>2</v>
      </c>
    </row>
    <row r="539" spans="3:19" x14ac:dyDescent="0.35">
      <c r="C539">
        <v>3</v>
      </c>
      <c r="D539">
        <v>0</v>
      </c>
      <c r="E539">
        <v>14</v>
      </c>
    </row>
    <row r="540" spans="3:19" x14ac:dyDescent="0.35">
      <c r="C540">
        <v>4</v>
      </c>
      <c r="D540">
        <v>0</v>
      </c>
      <c r="E540">
        <v>3</v>
      </c>
    </row>
    <row r="541" spans="3:19" x14ac:dyDescent="0.35">
      <c r="C541">
        <v>5</v>
      </c>
      <c r="D541">
        <v>1</v>
      </c>
      <c r="E541">
        <v>11</v>
      </c>
    </row>
    <row r="542" spans="3:19" x14ac:dyDescent="0.35">
      <c r="C542">
        <v>6</v>
      </c>
      <c r="D542">
        <v>0</v>
      </c>
      <c r="E542">
        <v>4</v>
      </c>
      <c r="R542">
        <v>1</v>
      </c>
    </row>
    <row r="543" spans="3:19" x14ac:dyDescent="0.35">
      <c r="C543">
        <v>7</v>
      </c>
      <c r="D543">
        <v>1</v>
      </c>
      <c r="E543">
        <v>5</v>
      </c>
      <c r="O543">
        <v>1</v>
      </c>
    </row>
    <row r="544" spans="3:19" x14ac:dyDescent="0.35">
      <c r="C544">
        <v>8</v>
      </c>
      <c r="D544">
        <v>1</v>
      </c>
      <c r="E544">
        <v>6</v>
      </c>
      <c r="S544">
        <v>1</v>
      </c>
    </row>
    <row r="545" spans="1:25" s="4" customFormat="1" x14ac:dyDescent="0.35">
      <c r="C545" s="4">
        <v>9</v>
      </c>
      <c r="D545" s="4">
        <v>1</v>
      </c>
      <c r="E545" s="4">
        <v>6</v>
      </c>
      <c r="G545" s="7"/>
      <c r="O545" s="4">
        <v>1</v>
      </c>
    </row>
    <row r="546" spans="1:25" x14ac:dyDescent="0.35">
      <c r="A546" s="2">
        <v>42847</v>
      </c>
      <c r="B546" t="s">
        <v>444</v>
      </c>
      <c r="C546">
        <v>1</v>
      </c>
      <c r="D546" s="10">
        <v>0</v>
      </c>
      <c r="E546" s="10">
        <v>3</v>
      </c>
      <c r="O546">
        <v>1</v>
      </c>
      <c r="X546">
        <v>1</v>
      </c>
      <c r="Y546">
        <f>SUM(D546,D555,D564,D573)</f>
        <v>1</v>
      </c>
    </row>
    <row r="547" spans="1:25" x14ac:dyDescent="0.35">
      <c r="C547">
        <v>2</v>
      </c>
      <c r="D547" s="10">
        <v>0</v>
      </c>
      <c r="E547" s="10">
        <v>5</v>
      </c>
      <c r="X547">
        <v>2</v>
      </c>
      <c r="Y547">
        <f t="shared" ref="Y547:Y553" si="36">SUM(D547,D556,D565,D574)</f>
        <v>0</v>
      </c>
    </row>
    <row r="548" spans="1:25" x14ac:dyDescent="0.35">
      <c r="C548">
        <v>3</v>
      </c>
      <c r="D548">
        <v>0</v>
      </c>
      <c r="E548">
        <v>7</v>
      </c>
      <c r="O548">
        <v>1</v>
      </c>
      <c r="X548">
        <v>3</v>
      </c>
      <c r="Y548">
        <f t="shared" si="36"/>
        <v>1</v>
      </c>
    </row>
    <row r="549" spans="1:25" x14ac:dyDescent="0.35">
      <c r="C549">
        <v>4</v>
      </c>
      <c r="D549">
        <v>0</v>
      </c>
      <c r="E549">
        <v>2</v>
      </c>
      <c r="O549">
        <v>2</v>
      </c>
      <c r="X549">
        <v>4</v>
      </c>
      <c r="Y549">
        <f t="shared" si="36"/>
        <v>0</v>
      </c>
    </row>
    <row r="550" spans="1:25" x14ac:dyDescent="0.35">
      <c r="C550">
        <v>5</v>
      </c>
      <c r="D550">
        <v>0</v>
      </c>
      <c r="E550">
        <v>5</v>
      </c>
      <c r="X550">
        <v>5</v>
      </c>
      <c r="Y550">
        <f t="shared" si="36"/>
        <v>0</v>
      </c>
    </row>
    <row r="551" spans="1:25" x14ac:dyDescent="0.35">
      <c r="C551">
        <v>6</v>
      </c>
      <c r="D551">
        <v>1</v>
      </c>
      <c r="E551">
        <v>2</v>
      </c>
      <c r="X551">
        <v>6</v>
      </c>
      <c r="Y551">
        <f t="shared" si="36"/>
        <v>1</v>
      </c>
    </row>
    <row r="552" spans="1:25" x14ac:dyDescent="0.35">
      <c r="C552">
        <v>7</v>
      </c>
      <c r="D552">
        <v>0</v>
      </c>
      <c r="E552">
        <v>2</v>
      </c>
      <c r="X552">
        <v>7</v>
      </c>
      <c r="Y552">
        <f t="shared" si="36"/>
        <v>1</v>
      </c>
    </row>
    <row r="553" spans="1:25" x14ac:dyDescent="0.35">
      <c r="C553">
        <v>8</v>
      </c>
      <c r="D553">
        <v>0</v>
      </c>
      <c r="E553">
        <v>1</v>
      </c>
      <c r="H553">
        <v>1</v>
      </c>
      <c r="O553">
        <v>5</v>
      </c>
      <c r="X553">
        <v>8</v>
      </c>
      <c r="Y553">
        <f t="shared" si="36"/>
        <v>0</v>
      </c>
    </row>
    <row r="554" spans="1:25" x14ac:dyDescent="0.35">
      <c r="C554">
        <v>9</v>
      </c>
      <c r="D554">
        <v>0</v>
      </c>
      <c r="E554">
        <v>2</v>
      </c>
      <c r="O554">
        <v>2</v>
      </c>
      <c r="X554">
        <v>9</v>
      </c>
      <c r="Y554">
        <f>SUM(D554,D563,D572,D581)</f>
        <v>0</v>
      </c>
    </row>
    <row r="555" spans="1:25" x14ac:dyDescent="0.35">
      <c r="C555">
        <v>1</v>
      </c>
      <c r="D555">
        <v>0</v>
      </c>
      <c r="E555">
        <v>4</v>
      </c>
      <c r="H555">
        <v>1</v>
      </c>
      <c r="O555">
        <v>1</v>
      </c>
    </row>
    <row r="556" spans="1:25" x14ac:dyDescent="0.35">
      <c r="C556">
        <v>2</v>
      </c>
      <c r="D556">
        <v>0</v>
      </c>
      <c r="E556">
        <v>1</v>
      </c>
      <c r="H556">
        <v>1</v>
      </c>
    </row>
    <row r="557" spans="1:25" x14ac:dyDescent="0.35">
      <c r="C557">
        <v>3</v>
      </c>
      <c r="D557">
        <v>0</v>
      </c>
      <c r="E557">
        <v>2</v>
      </c>
    </row>
    <row r="558" spans="1:25" x14ac:dyDescent="0.35">
      <c r="C558">
        <v>4</v>
      </c>
      <c r="D558">
        <v>0</v>
      </c>
      <c r="E558">
        <v>3</v>
      </c>
    </row>
    <row r="559" spans="1:25" x14ac:dyDescent="0.35">
      <c r="C559">
        <v>5</v>
      </c>
      <c r="D559">
        <v>0</v>
      </c>
      <c r="O559">
        <v>2</v>
      </c>
    </row>
    <row r="560" spans="1:25" x14ac:dyDescent="0.35">
      <c r="C560">
        <v>6</v>
      </c>
      <c r="D560">
        <v>0</v>
      </c>
      <c r="E560">
        <v>2</v>
      </c>
      <c r="O560">
        <v>1</v>
      </c>
    </row>
    <row r="561" spans="3:20" x14ac:dyDescent="0.35">
      <c r="C561">
        <v>7</v>
      </c>
      <c r="D561">
        <v>0</v>
      </c>
      <c r="O561">
        <v>1</v>
      </c>
    </row>
    <row r="562" spans="3:20" x14ac:dyDescent="0.35">
      <c r="C562">
        <v>8</v>
      </c>
      <c r="D562">
        <v>0</v>
      </c>
      <c r="E562">
        <v>1</v>
      </c>
      <c r="O562">
        <v>2</v>
      </c>
      <c r="R562">
        <v>1</v>
      </c>
    </row>
    <row r="563" spans="3:20" x14ac:dyDescent="0.35">
      <c r="C563">
        <v>9</v>
      </c>
      <c r="D563">
        <v>0</v>
      </c>
      <c r="E563">
        <v>1</v>
      </c>
    </row>
    <row r="564" spans="3:20" x14ac:dyDescent="0.35">
      <c r="C564">
        <v>1</v>
      </c>
      <c r="D564">
        <v>0</v>
      </c>
      <c r="E564">
        <v>2</v>
      </c>
      <c r="O564">
        <v>1</v>
      </c>
    </row>
    <row r="565" spans="3:20" x14ac:dyDescent="0.35">
      <c r="C565">
        <v>2</v>
      </c>
      <c r="D565">
        <v>0</v>
      </c>
      <c r="E565">
        <v>3</v>
      </c>
    </row>
    <row r="566" spans="3:20" x14ac:dyDescent="0.35">
      <c r="C566">
        <v>3</v>
      </c>
      <c r="D566">
        <v>1</v>
      </c>
      <c r="E566">
        <v>5</v>
      </c>
    </row>
    <row r="567" spans="3:20" x14ac:dyDescent="0.35">
      <c r="C567">
        <v>4</v>
      </c>
      <c r="D567">
        <v>0</v>
      </c>
      <c r="E567">
        <v>2</v>
      </c>
    </row>
    <row r="568" spans="3:20" x14ac:dyDescent="0.35">
      <c r="C568">
        <v>5</v>
      </c>
      <c r="D568">
        <v>0</v>
      </c>
      <c r="E568">
        <v>1</v>
      </c>
      <c r="O568">
        <v>1</v>
      </c>
    </row>
    <row r="569" spans="3:20" x14ac:dyDescent="0.35">
      <c r="C569">
        <v>6</v>
      </c>
      <c r="D569">
        <v>0</v>
      </c>
      <c r="E569">
        <v>2</v>
      </c>
    </row>
    <row r="570" spans="3:20" x14ac:dyDescent="0.35">
      <c r="C570">
        <v>7</v>
      </c>
      <c r="D570">
        <v>0</v>
      </c>
      <c r="E570">
        <v>1</v>
      </c>
      <c r="O570">
        <v>2</v>
      </c>
    </row>
    <row r="571" spans="3:20" x14ac:dyDescent="0.35">
      <c r="C571">
        <v>8</v>
      </c>
      <c r="D571">
        <v>0</v>
      </c>
      <c r="E571">
        <v>2</v>
      </c>
      <c r="O571">
        <v>1</v>
      </c>
    </row>
    <row r="572" spans="3:20" x14ac:dyDescent="0.35">
      <c r="C572">
        <v>9</v>
      </c>
      <c r="D572">
        <v>0</v>
      </c>
      <c r="O572">
        <v>1</v>
      </c>
      <c r="T572">
        <v>1</v>
      </c>
    </row>
    <row r="573" spans="3:20" x14ac:dyDescent="0.35">
      <c r="C573">
        <v>1</v>
      </c>
      <c r="D573">
        <v>1</v>
      </c>
      <c r="E573">
        <v>6</v>
      </c>
      <c r="H573">
        <v>1</v>
      </c>
      <c r="O573">
        <v>1</v>
      </c>
    </row>
    <row r="574" spans="3:20" x14ac:dyDescent="0.35">
      <c r="C574">
        <v>2</v>
      </c>
      <c r="D574">
        <v>0</v>
      </c>
      <c r="E574">
        <v>2</v>
      </c>
    </row>
    <row r="575" spans="3:20" x14ac:dyDescent="0.35">
      <c r="C575">
        <v>3</v>
      </c>
      <c r="D575">
        <v>0</v>
      </c>
      <c r="E575">
        <v>1</v>
      </c>
    </row>
    <row r="576" spans="3:20" x14ac:dyDescent="0.35">
      <c r="C576">
        <v>4</v>
      </c>
      <c r="D576">
        <v>0</v>
      </c>
      <c r="R576">
        <v>1</v>
      </c>
    </row>
    <row r="577" spans="1:25" x14ac:dyDescent="0.35">
      <c r="C577">
        <v>5</v>
      </c>
      <c r="D577">
        <v>0</v>
      </c>
      <c r="E577">
        <v>3</v>
      </c>
    </row>
    <row r="578" spans="1:25" x14ac:dyDescent="0.35">
      <c r="C578">
        <v>6</v>
      </c>
      <c r="D578">
        <v>0</v>
      </c>
      <c r="E578">
        <v>1</v>
      </c>
    </row>
    <row r="579" spans="1:25" x14ac:dyDescent="0.35">
      <c r="C579">
        <v>7</v>
      </c>
      <c r="D579">
        <v>1</v>
      </c>
      <c r="O579">
        <v>1</v>
      </c>
    </row>
    <row r="580" spans="1:25" x14ac:dyDescent="0.35">
      <c r="C580">
        <v>8</v>
      </c>
      <c r="D580">
        <v>0</v>
      </c>
      <c r="E580">
        <v>2</v>
      </c>
      <c r="O580">
        <v>3</v>
      </c>
    </row>
    <row r="581" spans="1:25" s="5" customFormat="1" x14ac:dyDescent="0.35">
      <c r="C581" s="5">
        <v>9</v>
      </c>
      <c r="D581" s="5">
        <v>0</v>
      </c>
      <c r="E581" s="5">
        <v>1</v>
      </c>
      <c r="G581" s="37"/>
    </row>
    <row r="582" spans="1:25" s="5" customFormat="1" x14ac:dyDescent="0.35">
      <c r="G582" s="7"/>
    </row>
    <row r="583" spans="1:25" s="5" customFormat="1" x14ac:dyDescent="0.35">
      <c r="D583" s="5">
        <f>SUM(D294:D581)</f>
        <v>302</v>
      </c>
      <c r="E583" s="5">
        <f t="shared" ref="E583:W583" si="37">SUM(E294:E581)</f>
        <v>1097</v>
      </c>
      <c r="F583" s="5">
        <f t="shared" si="37"/>
        <v>0</v>
      </c>
      <c r="G583" s="5">
        <f t="shared" si="37"/>
        <v>0</v>
      </c>
      <c r="H583" s="5">
        <f t="shared" si="37"/>
        <v>67</v>
      </c>
      <c r="I583" s="5">
        <f t="shared" si="37"/>
        <v>1</v>
      </c>
      <c r="J583" s="5">
        <f t="shared" si="37"/>
        <v>0</v>
      </c>
      <c r="K583" s="5">
        <f t="shared" si="37"/>
        <v>1</v>
      </c>
      <c r="L583" s="5">
        <f t="shared" si="37"/>
        <v>0</v>
      </c>
      <c r="M583" s="5">
        <f t="shared" si="37"/>
        <v>5</v>
      </c>
      <c r="N583" s="5">
        <f t="shared" si="37"/>
        <v>0</v>
      </c>
      <c r="O583" s="5">
        <f t="shared" si="37"/>
        <v>70</v>
      </c>
      <c r="P583" s="5">
        <f t="shared" si="37"/>
        <v>15</v>
      </c>
      <c r="Q583" s="5">
        <f t="shared" si="37"/>
        <v>1</v>
      </c>
      <c r="R583" s="5">
        <f t="shared" si="37"/>
        <v>73</v>
      </c>
      <c r="S583" s="5">
        <f t="shared" si="37"/>
        <v>6</v>
      </c>
      <c r="T583" s="5">
        <f t="shared" si="37"/>
        <v>1</v>
      </c>
      <c r="U583" s="5">
        <f t="shared" si="37"/>
        <v>0</v>
      </c>
      <c r="V583" s="5">
        <f t="shared" si="37"/>
        <v>0</v>
      </c>
      <c r="W583" s="5">
        <f t="shared" si="37"/>
        <v>0</v>
      </c>
    </row>
    <row r="584" spans="1:25" s="5" customFormat="1" x14ac:dyDescent="0.35">
      <c r="G584" s="7"/>
    </row>
    <row r="585" spans="1:25" s="30" customFormat="1" x14ac:dyDescent="0.35">
      <c r="A585" s="29">
        <v>43179</v>
      </c>
      <c r="B585" s="30" t="s">
        <v>644</v>
      </c>
      <c r="C585" s="30">
        <v>1</v>
      </c>
      <c r="D585" s="31">
        <v>0</v>
      </c>
      <c r="X585" s="30">
        <v>1</v>
      </c>
      <c r="Y585" s="30">
        <f>SUM(D585,D594,D603,D612)</f>
        <v>3</v>
      </c>
    </row>
    <row r="586" spans="1:25" x14ac:dyDescent="0.35">
      <c r="C586">
        <v>2</v>
      </c>
      <c r="D586" s="10">
        <v>0</v>
      </c>
      <c r="X586">
        <v>2</v>
      </c>
      <c r="Y586">
        <f t="shared" ref="Y586:Y592" si="38">SUM(D586,D595,D604,D613)</f>
        <v>3</v>
      </c>
    </row>
    <row r="587" spans="1:25" x14ac:dyDescent="0.35">
      <c r="C587">
        <v>3</v>
      </c>
      <c r="D587">
        <v>0</v>
      </c>
      <c r="X587">
        <v>3</v>
      </c>
      <c r="Y587">
        <f t="shared" si="38"/>
        <v>2</v>
      </c>
    </row>
    <row r="588" spans="1:25" x14ac:dyDescent="0.35">
      <c r="C588">
        <v>4</v>
      </c>
      <c r="D588">
        <v>1</v>
      </c>
      <c r="E588">
        <v>2</v>
      </c>
      <c r="X588">
        <v>4</v>
      </c>
      <c r="Y588">
        <f t="shared" si="38"/>
        <v>1</v>
      </c>
    </row>
    <row r="589" spans="1:25" x14ac:dyDescent="0.35">
      <c r="C589">
        <v>5</v>
      </c>
      <c r="D589">
        <v>0</v>
      </c>
      <c r="X589">
        <v>5</v>
      </c>
      <c r="Y589">
        <f t="shared" si="38"/>
        <v>0</v>
      </c>
    </row>
    <row r="590" spans="1:25" x14ac:dyDescent="0.35">
      <c r="C590">
        <v>6</v>
      </c>
      <c r="D590">
        <v>1</v>
      </c>
      <c r="E590">
        <v>1</v>
      </c>
      <c r="X590">
        <v>6</v>
      </c>
      <c r="Y590">
        <f t="shared" si="38"/>
        <v>1</v>
      </c>
    </row>
    <row r="591" spans="1:25" x14ac:dyDescent="0.35">
      <c r="C591">
        <v>7</v>
      </c>
      <c r="D591">
        <v>1</v>
      </c>
      <c r="X591">
        <v>7</v>
      </c>
      <c r="Y591">
        <f t="shared" si="38"/>
        <v>4</v>
      </c>
    </row>
    <row r="592" spans="1:25" x14ac:dyDescent="0.35">
      <c r="C592">
        <v>8</v>
      </c>
      <c r="D592">
        <v>0</v>
      </c>
      <c r="X592">
        <v>8</v>
      </c>
      <c r="Y592">
        <f t="shared" si="38"/>
        <v>2</v>
      </c>
    </row>
    <row r="593" spans="3:25" x14ac:dyDescent="0.35">
      <c r="C593">
        <v>9</v>
      </c>
      <c r="D593">
        <v>0</v>
      </c>
      <c r="R593">
        <v>1</v>
      </c>
      <c r="X593">
        <v>9</v>
      </c>
      <c r="Y593">
        <f>SUM(D593,D602,D611,D620)</f>
        <v>1</v>
      </c>
    </row>
    <row r="594" spans="3:25" x14ac:dyDescent="0.35">
      <c r="C594">
        <v>1</v>
      </c>
      <c r="D594">
        <v>1</v>
      </c>
      <c r="R594">
        <v>1</v>
      </c>
    </row>
    <row r="595" spans="3:25" x14ac:dyDescent="0.35">
      <c r="C595">
        <v>2</v>
      </c>
      <c r="D595">
        <v>0</v>
      </c>
    </row>
    <row r="596" spans="3:25" x14ac:dyDescent="0.35">
      <c r="C596">
        <v>3</v>
      </c>
      <c r="D596">
        <v>0</v>
      </c>
    </row>
    <row r="597" spans="3:25" x14ac:dyDescent="0.35">
      <c r="C597">
        <v>4</v>
      </c>
      <c r="D597">
        <v>0</v>
      </c>
    </row>
    <row r="598" spans="3:25" x14ac:dyDescent="0.35">
      <c r="C598">
        <v>5</v>
      </c>
      <c r="D598">
        <v>0</v>
      </c>
    </row>
    <row r="599" spans="3:25" x14ac:dyDescent="0.35">
      <c r="C599">
        <v>6</v>
      </c>
      <c r="D599">
        <v>0</v>
      </c>
    </row>
    <row r="600" spans="3:25" x14ac:dyDescent="0.35">
      <c r="C600">
        <v>7</v>
      </c>
      <c r="D600">
        <v>0</v>
      </c>
    </row>
    <row r="601" spans="3:25" x14ac:dyDescent="0.35">
      <c r="C601">
        <v>8</v>
      </c>
      <c r="D601">
        <v>0</v>
      </c>
      <c r="R601">
        <v>1</v>
      </c>
    </row>
    <row r="602" spans="3:25" x14ac:dyDescent="0.35">
      <c r="C602">
        <v>9</v>
      </c>
      <c r="D602">
        <v>1</v>
      </c>
    </row>
    <row r="603" spans="3:25" x14ac:dyDescent="0.35">
      <c r="C603">
        <v>1</v>
      </c>
      <c r="D603">
        <v>1</v>
      </c>
    </row>
    <row r="604" spans="3:25" x14ac:dyDescent="0.35">
      <c r="C604">
        <v>2</v>
      </c>
      <c r="D604">
        <v>0</v>
      </c>
      <c r="R604">
        <v>1</v>
      </c>
    </row>
    <row r="605" spans="3:25" x14ac:dyDescent="0.35">
      <c r="C605">
        <v>3</v>
      </c>
      <c r="D605">
        <v>0</v>
      </c>
    </row>
    <row r="606" spans="3:25" x14ac:dyDescent="0.35">
      <c r="C606">
        <v>4</v>
      </c>
      <c r="D606">
        <v>0</v>
      </c>
    </row>
    <row r="607" spans="3:25" x14ac:dyDescent="0.35">
      <c r="C607">
        <v>5</v>
      </c>
      <c r="D607">
        <v>0</v>
      </c>
    </row>
    <row r="608" spans="3:25" x14ac:dyDescent="0.35">
      <c r="C608">
        <v>6</v>
      </c>
      <c r="D608">
        <v>0</v>
      </c>
    </row>
    <row r="609" spans="1:25" x14ac:dyDescent="0.35">
      <c r="C609">
        <v>7</v>
      </c>
      <c r="D609">
        <v>1</v>
      </c>
    </row>
    <row r="610" spans="1:25" x14ac:dyDescent="0.35">
      <c r="C610">
        <v>8</v>
      </c>
      <c r="D610">
        <v>0</v>
      </c>
    </row>
    <row r="611" spans="1:25" x14ac:dyDescent="0.35">
      <c r="C611">
        <v>9</v>
      </c>
      <c r="D611">
        <v>0</v>
      </c>
    </row>
    <row r="612" spans="1:25" x14ac:dyDescent="0.35">
      <c r="C612">
        <v>1</v>
      </c>
      <c r="D612">
        <v>1</v>
      </c>
      <c r="R612">
        <v>1</v>
      </c>
    </row>
    <row r="613" spans="1:25" x14ac:dyDescent="0.35">
      <c r="C613">
        <v>2</v>
      </c>
      <c r="D613">
        <v>3</v>
      </c>
    </row>
    <row r="614" spans="1:25" x14ac:dyDescent="0.35">
      <c r="C614">
        <v>3</v>
      </c>
      <c r="D614">
        <v>2</v>
      </c>
    </row>
    <row r="615" spans="1:25" x14ac:dyDescent="0.35">
      <c r="C615">
        <v>4</v>
      </c>
      <c r="D615">
        <v>0</v>
      </c>
      <c r="H615">
        <v>1</v>
      </c>
    </row>
    <row r="616" spans="1:25" x14ac:dyDescent="0.35">
      <c r="C616">
        <v>5</v>
      </c>
      <c r="D616">
        <v>0</v>
      </c>
    </row>
    <row r="617" spans="1:25" x14ac:dyDescent="0.35">
      <c r="C617">
        <v>6</v>
      </c>
      <c r="D617">
        <v>0</v>
      </c>
      <c r="E617">
        <v>1</v>
      </c>
    </row>
    <row r="618" spans="1:25" x14ac:dyDescent="0.35">
      <c r="C618">
        <v>7</v>
      </c>
      <c r="D618">
        <v>2</v>
      </c>
    </row>
    <row r="619" spans="1:25" x14ac:dyDescent="0.35">
      <c r="C619">
        <v>8</v>
      </c>
      <c r="D619">
        <v>2</v>
      </c>
    </row>
    <row r="620" spans="1:25" s="4" customFormat="1" x14ac:dyDescent="0.35">
      <c r="C620" s="4">
        <v>9</v>
      </c>
      <c r="D620" s="4">
        <v>0</v>
      </c>
      <c r="G620" s="7"/>
      <c r="H620" s="126"/>
    </row>
    <row r="621" spans="1:25" x14ac:dyDescent="0.35">
      <c r="A621" s="2">
        <v>43186</v>
      </c>
      <c r="B621" t="s">
        <v>653</v>
      </c>
      <c r="C621">
        <v>1</v>
      </c>
      <c r="D621" s="10">
        <v>2</v>
      </c>
      <c r="X621">
        <v>1</v>
      </c>
      <c r="Y621">
        <f>SUM(D621,D630,D639,D648)</f>
        <v>30</v>
      </c>
    </row>
    <row r="622" spans="1:25" x14ac:dyDescent="0.35">
      <c r="C622">
        <v>2</v>
      </c>
      <c r="D622" s="10">
        <v>4</v>
      </c>
      <c r="E622">
        <v>3</v>
      </c>
      <c r="X622">
        <v>2</v>
      </c>
      <c r="Y622">
        <f t="shared" ref="Y622:Y628" si="39">SUM(D622,D631,D640,D649)</f>
        <v>38</v>
      </c>
    </row>
    <row r="623" spans="1:25" x14ac:dyDescent="0.35">
      <c r="C623">
        <v>3</v>
      </c>
      <c r="D623">
        <v>9</v>
      </c>
      <c r="X623">
        <v>3</v>
      </c>
      <c r="Y623">
        <f t="shared" si="39"/>
        <v>51</v>
      </c>
    </row>
    <row r="624" spans="1:25" x14ac:dyDescent="0.35">
      <c r="C624">
        <v>4</v>
      </c>
      <c r="D624">
        <v>4</v>
      </c>
      <c r="E624">
        <v>5</v>
      </c>
      <c r="X624">
        <v>4</v>
      </c>
      <c r="Y624">
        <f t="shared" si="39"/>
        <v>31</v>
      </c>
    </row>
    <row r="625" spans="3:25" x14ac:dyDescent="0.35">
      <c r="C625">
        <v>5</v>
      </c>
      <c r="D625">
        <v>2</v>
      </c>
      <c r="E625">
        <v>4</v>
      </c>
      <c r="X625">
        <v>5</v>
      </c>
      <c r="Y625">
        <f t="shared" si="39"/>
        <v>25</v>
      </c>
    </row>
    <row r="626" spans="3:25" x14ac:dyDescent="0.35">
      <c r="C626">
        <v>6</v>
      </c>
      <c r="D626">
        <v>6</v>
      </c>
      <c r="E626">
        <v>4</v>
      </c>
      <c r="X626">
        <v>6</v>
      </c>
      <c r="Y626">
        <f t="shared" si="39"/>
        <v>26</v>
      </c>
    </row>
    <row r="627" spans="3:25" x14ac:dyDescent="0.35">
      <c r="C627">
        <v>7</v>
      </c>
      <c r="D627">
        <v>2</v>
      </c>
      <c r="E627">
        <v>10</v>
      </c>
      <c r="U627">
        <v>1</v>
      </c>
      <c r="X627">
        <v>7</v>
      </c>
      <c r="Y627">
        <f t="shared" si="39"/>
        <v>37</v>
      </c>
    </row>
    <row r="628" spans="3:25" x14ac:dyDescent="0.35">
      <c r="C628">
        <v>8</v>
      </c>
      <c r="D628">
        <v>9</v>
      </c>
      <c r="E628">
        <v>2</v>
      </c>
      <c r="R628">
        <v>2</v>
      </c>
      <c r="X628">
        <v>8</v>
      </c>
      <c r="Y628">
        <f t="shared" si="39"/>
        <v>35</v>
      </c>
    </row>
    <row r="629" spans="3:25" x14ac:dyDescent="0.35">
      <c r="C629">
        <v>9</v>
      </c>
      <c r="D629">
        <v>7</v>
      </c>
      <c r="S629">
        <v>1</v>
      </c>
      <c r="U629">
        <v>1</v>
      </c>
      <c r="X629">
        <v>9</v>
      </c>
      <c r="Y629">
        <f>SUM(D629,D638,D647,D656)</f>
        <v>34</v>
      </c>
    </row>
    <row r="630" spans="3:25" x14ac:dyDescent="0.35">
      <c r="C630">
        <v>1</v>
      </c>
      <c r="D630">
        <v>6</v>
      </c>
      <c r="E630">
        <v>2</v>
      </c>
      <c r="H630">
        <v>1</v>
      </c>
    </row>
    <row r="631" spans="3:25" x14ac:dyDescent="0.35">
      <c r="C631">
        <v>2</v>
      </c>
      <c r="D631">
        <v>12</v>
      </c>
      <c r="E631">
        <v>1</v>
      </c>
      <c r="U631">
        <v>1</v>
      </c>
    </row>
    <row r="632" spans="3:25" x14ac:dyDescent="0.35">
      <c r="C632">
        <v>3</v>
      </c>
      <c r="D632">
        <v>15</v>
      </c>
      <c r="E632">
        <v>3</v>
      </c>
      <c r="R632">
        <v>1</v>
      </c>
    </row>
    <row r="633" spans="3:25" x14ac:dyDescent="0.35">
      <c r="C633">
        <v>4</v>
      </c>
      <c r="D633">
        <v>10</v>
      </c>
      <c r="E633">
        <v>2</v>
      </c>
    </row>
    <row r="634" spans="3:25" x14ac:dyDescent="0.35">
      <c r="C634">
        <v>5</v>
      </c>
      <c r="D634">
        <v>7</v>
      </c>
      <c r="E634">
        <v>2</v>
      </c>
    </row>
    <row r="635" spans="3:25" x14ac:dyDescent="0.35">
      <c r="C635">
        <v>6</v>
      </c>
      <c r="D635">
        <v>8</v>
      </c>
    </row>
    <row r="636" spans="3:25" x14ac:dyDescent="0.35">
      <c r="C636">
        <v>7</v>
      </c>
      <c r="D636">
        <v>14</v>
      </c>
      <c r="R636">
        <v>1</v>
      </c>
    </row>
    <row r="637" spans="3:25" x14ac:dyDescent="0.35">
      <c r="C637">
        <v>8</v>
      </c>
      <c r="D637">
        <v>7</v>
      </c>
      <c r="E637">
        <v>1</v>
      </c>
    </row>
    <row r="638" spans="3:25" x14ac:dyDescent="0.35">
      <c r="C638">
        <v>9</v>
      </c>
      <c r="D638">
        <v>10</v>
      </c>
      <c r="R638">
        <v>2</v>
      </c>
    </row>
    <row r="639" spans="3:25" x14ac:dyDescent="0.35">
      <c r="C639">
        <v>1</v>
      </c>
      <c r="D639">
        <v>12</v>
      </c>
      <c r="E639">
        <v>3</v>
      </c>
    </row>
    <row r="640" spans="3:25" x14ac:dyDescent="0.35">
      <c r="C640">
        <v>2</v>
      </c>
      <c r="D640">
        <v>8</v>
      </c>
      <c r="E640">
        <v>3</v>
      </c>
    </row>
    <row r="641" spans="3:23" x14ac:dyDescent="0.35">
      <c r="C641">
        <v>3</v>
      </c>
      <c r="D641">
        <v>15</v>
      </c>
      <c r="E641">
        <v>5</v>
      </c>
      <c r="R641">
        <v>1</v>
      </c>
    </row>
    <row r="642" spans="3:23" x14ac:dyDescent="0.35">
      <c r="C642">
        <v>4</v>
      </c>
      <c r="D642">
        <v>9</v>
      </c>
      <c r="G642">
        <v>1</v>
      </c>
    </row>
    <row r="643" spans="3:23" x14ac:dyDescent="0.35">
      <c r="C643">
        <v>5</v>
      </c>
      <c r="D643">
        <v>9</v>
      </c>
    </row>
    <row r="644" spans="3:23" x14ac:dyDescent="0.35">
      <c r="C644">
        <v>6</v>
      </c>
      <c r="D644">
        <v>11</v>
      </c>
      <c r="E644">
        <v>4</v>
      </c>
    </row>
    <row r="645" spans="3:23" x14ac:dyDescent="0.35">
      <c r="C645">
        <v>7</v>
      </c>
      <c r="D645">
        <v>9</v>
      </c>
    </row>
    <row r="646" spans="3:23" x14ac:dyDescent="0.35">
      <c r="C646">
        <v>8</v>
      </c>
      <c r="D646">
        <v>19</v>
      </c>
      <c r="F646">
        <v>1</v>
      </c>
      <c r="U646">
        <v>1</v>
      </c>
    </row>
    <row r="647" spans="3:23" x14ac:dyDescent="0.35">
      <c r="C647">
        <v>9</v>
      </c>
      <c r="D647">
        <v>11</v>
      </c>
      <c r="R647">
        <v>2</v>
      </c>
    </row>
    <row r="648" spans="3:23" x14ac:dyDescent="0.35">
      <c r="C648">
        <v>1</v>
      </c>
      <c r="D648">
        <v>10</v>
      </c>
    </row>
    <row r="649" spans="3:23" x14ac:dyDescent="0.35">
      <c r="C649">
        <v>2</v>
      </c>
      <c r="D649">
        <v>14</v>
      </c>
      <c r="E649">
        <v>3</v>
      </c>
      <c r="W649">
        <v>1</v>
      </c>
    </row>
    <row r="650" spans="3:23" x14ac:dyDescent="0.35">
      <c r="C650">
        <v>3</v>
      </c>
      <c r="D650">
        <v>12</v>
      </c>
      <c r="E650">
        <v>1</v>
      </c>
      <c r="S650">
        <v>1</v>
      </c>
    </row>
    <row r="651" spans="3:23" x14ac:dyDescent="0.35">
      <c r="C651">
        <v>4</v>
      </c>
      <c r="D651">
        <v>8</v>
      </c>
    </row>
    <row r="652" spans="3:23" x14ac:dyDescent="0.35">
      <c r="C652">
        <v>5</v>
      </c>
      <c r="D652">
        <v>7</v>
      </c>
      <c r="E652">
        <v>1</v>
      </c>
    </row>
    <row r="653" spans="3:23" x14ac:dyDescent="0.35">
      <c r="C653">
        <v>6</v>
      </c>
      <c r="D653">
        <v>1</v>
      </c>
      <c r="E653">
        <v>1</v>
      </c>
    </row>
    <row r="654" spans="3:23" x14ac:dyDescent="0.35">
      <c r="C654">
        <v>7</v>
      </c>
      <c r="D654">
        <v>12</v>
      </c>
      <c r="E654">
        <v>1</v>
      </c>
    </row>
    <row r="655" spans="3:23" x14ac:dyDescent="0.35">
      <c r="C655">
        <v>8</v>
      </c>
      <c r="D655">
        <v>0</v>
      </c>
    </row>
    <row r="656" spans="3:23" s="4" customFormat="1" x14ac:dyDescent="0.35">
      <c r="C656" s="4">
        <v>9</v>
      </c>
      <c r="D656" s="4">
        <v>6</v>
      </c>
      <c r="E656" s="4">
        <v>2</v>
      </c>
      <c r="G656" s="7"/>
    </row>
    <row r="657" spans="1:25" x14ac:dyDescent="0.35">
      <c r="A657" s="2">
        <v>43193</v>
      </c>
      <c r="B657" t="s">
        <v>662</v>
      </c>
      <c r="C657">
        <v>1</v>
      </c>
      <c r="D657" s="10">
        <v>6</v>
      </c>
      <c r="E657" s="10">
        <v>5</v>
      </c>
      <c r="X657">
        <v>1</v>
      </c>
      <c r="Y657">
        <f>SUM(D657,D666,D675,D684)</f>
        <v>37</v>
      </c>
    </row>
    <row r="658" spans="1:25" x14ac:dyDescent="0.35">
      <c r="C658">
        <v>2</v>
      </c>
      <c r="D658" s="10">
        <v>4</v>
      </c>
      <c r="E658" s="10">
        <v>1</v>
      </c>
      <c r="X658">
        <v>2</v>
      </c>
      <c r="Y658">
        <f t="shared" ref="Y658:Y664" si="40">SUM(D658,D667,D676,D685)</f>
        <v>10</v>
      </c>
    </row>
    <row r="659" spans="1:25" x14ac:dyDescent="0.35">
      <c r="C659">
        <v>3</v>
      </c>
      <c r="D659">
        <v>2</v>
      </c>
      <c r="X659">
        <v>3</v>
      </c>
      <c r="Y659">
        <f t="shared" si="40"/>
        <v>13</v>
      </c>
    </row>
    <row r="660" spans="1:25" x14ac:dyDescent="0.35">
      <c r="C660">
        <v>4</v>
      </c>
      <c r="D660">
        <v>5</v>
      </c>
      <c r="X660">
        <v>4</v>
      </c>
      <c r="Y660">
        <f t="shared" si="40"/>
        <v>22</v>
      </c>
    </row>
    <row r="661" spans="1:25" x14ac:dyDescent="0.35">
      <c r="C661">
        <v>5</v>
      </c>
      <c r="D661">
        <v>3</v>
      </c>
      <c r="R661">
        <v>1</v>
      </c>
      <c r="X661">
        <v>5</v>
      </c>
      <c r="Y661">
        <f t="shared" si="40"/>
        <v>9</v>
      </c>
    </row>
    <row r="662" spans="1:25" x14ac:dyDescent="0.35">
      <c r="C662">
        <v>6</v>
      </c>
      <c r="D662">
        <v>5</v>
      </c>
      <c r="E662">
        <v>1</v>
      </c>
      <c r="O662">
        <v>1</v>
      </c>
      <c r="X662">
        <v>6</v>
      </c>
      <c r="Y662">
        <f t="shared" si="40"/>
        <v>18</v>
      </c>
    </row>
    <row r="663" spans="1:25" x14ac:dyDescent="0.35">
      <c r="C663">
        <v>7</v>
      </c>
      <c r="D663">
        <v>6</v>
      </c>
      <c r="X663">
        <v>7</v>
      </c>
      <c r="Y663">
        <f t="shared" si="40"/>
        <v>30</v>
      </c>
    </row>
    <row r="664" spans="1:25" x14ac:dyDescent="0.35">
      <c r="C664">
        <v>8</v>
      </c>
      <c r="D664">
        <v>5</v>
      </c>
      <c r="E664">
        <v>1</v>
      </c>
      <c r="R664">
        <v>2</v>
      </c>
      <c r="X664">
        <v>8</v>
      </c>
      <c r="Y664">
        <f t="shared" si="40"/>
        <v>25</v>
      </c>
    </row>
    <row r="665" spans="1:25" x14ac:dyDescent="0.35">
      <c r="C665">
        <v>9</v>
      </c>
      <c r="D665">
        <v>9</v>
      </c>
      <c r="E665">
        <v>3</v>
      </c>
      <c r="X665">
        <v>9</v>
      </c>
      <c r="Y665">
        <f>SUM(D665,D674,D683,D692)</f>
        <v>42</v>
      </c>
    </row>
    <row r="666" spans="1:25" x14ac:dyDescent="0.35">
      <c r="C666">
        <v>1</v>
      </c>
      <c r="D666">
        <v>6</v>
      </c>
      <c r="R666">
        <v>1</v>
      </c>
    </row>
    <row r="667" spans="1:25" x14ac:dyDescent="0.35">
      <c r="C667">
        <v>2</v>
      </c>
      <c r="D667">
        <v>5</v>
      </c>
      <c r="R667">
        <v>1</v>
      </c>
    </row>
    <row r="668" spans="1:25" x14ac:dyDescent="0.35">
      <c r="C668">
        <v>3</v>
      </c>
      <c r="D668">
        <v>3</v>
      </c>
      <c r="E668">
        <v>2</v>
      </c>
    </row>
    <row r="669" spans="1:25" x14ac:dyDescent="0.35">
      <c r="C669">
        <v>4</v>
      </c>
      <c r="D669">
        <v>3</v>
      </c>
      <c r="E669">
        <v>2</v>
      </c>
    </row>
    <row r="670" spans="1:25" x14ac:dyDescent="0.35">
      <c r="C670">
        <v>5</v>
      </c>
      <c r="D670">
        <v>1</v>
      </c>
      <c r="E670">
        <v>2</v>
      </c>
    </row>
    <row r="671" spans="1:25" x14ac:dyDescent="0.35">
      <c r="C671">
        <v>6</v>
      </c>
      <c r="D671">
        <v>1</v>
      </c>
      <c r="E671">
        <v>2</v>
      </c>
    </row>
    <row r="672" spans="1:25" x14ac:dyDescent="0.35">
      <c r="C672">
        <v>7</v>
      </c>
      <c r="D672">
        <v>7</v>
      </c>
      <c r="E672">
        <v>1</v>
      </c>
    </row>
    <row r="673" spans="3:20" x14ac:dyDescent="0.35">
      <c r="C673">
        <v>8</v>
      </c>
      <c r="D673">
        <v>7</v>
      </c>
      <c r="E673">
        <v>2</v>
      </c>
    </row>
    <row r="674" spans="3:20" x14ac:dyDescent="0.35">
      <c r="C674">
        <v>9</v>
      </c>
      <c r="D674">
        <v>9</v>
      </c>
      <c r="R674">
        <v>2</v>
      </c>
      <c r="S674">
        <v>1</v>
      </c>
    </row>
    <row r="675" spans="3:20" x14ac:dyDescent="0.35">
      <c r="C675">
        <v>1</v>
      </c>
      <c r="D675">
        <v>7</v>
      </c>
      <c r="E675">
        <v>1</v>
      </c>
      <c r="T675">
        <v>1</v>
      </c>
    </row>
    <row r="676" spans="3:20" x14ac:dyDescent="0.35">
      <c r="C676">
        <v>2</v>
      </c>
      <c r="D676">
        <v>1</v>
      </c>
    </row>
    <row r="677" spans="3:20" x14ac:dyDescent="0.35">
      <c r="C677">
        <v>3</v>
      </c>
      <c r="D677">
        <v>3</v>
      </c>
    </row>
    <row r="678" spans="3:20" x14ac:dyDescent="0.35">
      <c r="C678">
        <v>4</v>
      </c>
      <c r="D678">
        <v>6</v>
      </c>
    </row>
    <row r="679" spans="3:20" x14ac:dyDescent="0.35">
      <c r="C679">
        <v>5</v>
      </c>
      <c r="D679">
        <v>3</v>
      </c>
      <c r="E679">
        <v>2</v>
      </c>
    </row>
    <row r="680" spans="3:20" x14ac:dyDescent="0.35">
      <c r="C680">
        <v>6</v>
      </c>
      <c r="D680">
        <v>6</v>
      </c>
      <c r="E680">
        <v>2</v>
      </c>
      <c r="H680">
        <v>1</v>
      </c>
    </row>
    <row r="681" spans="3:20" x14ac:dyDescent="0.35">
      <c r="C681">
        <v>7</v>
      </c>
      <c r="D681">
        <v>7</v>
      </c>
      <c r="E681">
        <v>1</v>
      </c>
    </row>
    <row r="682" spans="3:20" x14ac:dyDescent="0.35">
      <c r="C682">
        <v>8</v>
      </c>
      <c r="D682">
        <v>2</v>
      </c>
      <c r="E682">
        <v>4</v>
      </c>
    </row>
    <row r="683" spans="3:20" x14ac:dyDescent="0.35">
      <c r="C683">
        <v>9</v>
      </c>
      <c r="D683">
        <v>8</v>
      </c>
      <c r="E683">
        <v>2</v>
      </c>
    </row>
    <row r="684" spans="3:20" x14ac:dyDescent="0.35">
      <c r="C684">
        <v>1</v>
      </c>
      <c r="D684">
        <v>18</v>
      </c>
      <c r="E684">
        <v>2</v>
      </c>
      <c r="H684">
        <v>1</v>
      </c>
    </row>
    <row r="685" spans="3:20" x14ac:dyDescent="0.35">
      <c r="C685">
        <v>2</v>
      </c>
      <c r="D685">
        <v>0</v>
      </c>
      <c r="E685">
        <v>3</v>
      </c>
    </row>
    <row r="686" spans="3:20" x14ac:dyDescent="0.35">
      <c r="C686">
        <v>3</v>
      </c>
      <c r="D686">
        <v>5</v>
      </c>
      <c r="E686">
        <v>1</v>
      </c>
    </row>
    <row r="687" spans="3:20" x14ac:dyDescent="0.35">
      <c r="C687">
        <v>4</v>
      </c>
      <c r="D687">
        <v>8</v>
      </c>
      <c r="E687">
        <v>2</v>
      </c>
    </row>
    <row r="688" spans="3:20" x14ac:dyDescent="0.35">
      <c r="C688">
        <v>5</v>
      </c>
      <c r="D688">
        <v>2</v>
      </c>
      <c r="E688">
        <v>1</v>
      </c>
      <c r="R688">
        <v>1</v>
      </c>
    </row>
    <row r="689" spans="1:25" x14ac:dyDescent="0.35">
      <c r="C689">
        <v>6</v>
      </c>
      <c r="D689">
        <v>6</v>
      </c>
      <c r="E689">
        <v>4</v>
      </c>
    </row>
    <row r="690" spans="1:25" x14ac:dyDescent="0.35">
      <c r="C690">
        <v>7</v>
      </c>
      <c r="D690">
        <v>10</v>
      </c>
      <c r="E690">
        <v>2</v>
      </c>
    </row>
    <row r="691" spans="1:25" x14ac:dyDescent="0.35">
      <c r="C691">
        <v>8</v>
      </c>
      <c r="D691">
        <v>11</v>
      </c>
      <c r="E691">
        <v>1</v>
      </c>
    </row>
    <row r="692" spans="1:25" s="4" customFormat="1" x14ac:dyDescent="0.35">
      <c r="C692" s="4">
        <v>9</v>
      </c>
      <c r="D692" s="4">
        <v>16</v>
      </c>
      <c r="E692" s="4">
        <v>1</v>
      </c>
      <c r="G692" s="7"/>
    </row>
    <row r="693" spans="1:25" x14ac:dyDescent="0.35">
      <c r="A693" s="2">
        <v>43199</v>
      </c>
      <c r="B693" t="s">
        <v>690</v>
      </c>
      <c r="C693">
        <v>1</v>
      </c>
      <c r="D693" s="10">
        <v>1</v>
      </c>
      <c r="E693" s="10">
        <v>14</v>
      </c>
      <c r="X693">
        <v>1</v>
      </c>
      <c r="Y693">
        <f>SUM(D693,D702,D711,D720)</f>
        <v>6</v>
      </c>
    </row>
    <row r="694" spans="1:25" x14ac:dyDescent="0.35">
      <c r="C694">
        <v>2</v>
      </c>
      <c r="D694" s="10">
        <v>2</v>
      </c>
      <c r="E694" s="10">
        <v>16</v>
      </c>
      <c r="I694">
        <v>1</v>
      </c>
      <c r="R694">
        <v>4</v>
      </c>
      <c r="S694">
        <v>1</v>
      </c>
      <c r="X694">
        <v>2</v>
      </c>
      <c r="Y694">
        <f t="shared" ref="Y694:Y700" si="41">SUM(D694,D703,D712,D721)</f>
        <v>5</v>
      </c>
    </row>
    <row r="695" spans="1:25" x14ac:dyDescent="0.35">
      <c r="C695">
        <v>3</v>
      </c>
      <c r="D695" s="10">
        <v>0</v>
      </c>
      <c r="E695" s="10">
        <v>32</v>
      </c>
      <c r="X695">
        <v>3</v>
      </c>
      <c r="Y695">
        <f t="shared" si="41"/>
        <v>7</v>
      </c>
    </row>
    <row r="696" spans="1:25" x14ac:dyDescent="0.35">
      <c r="C696">
        <v>4</v>
      </c>
      <c r="D696" s="10">
        <v>3</v>
      </c>
      <c r="E696" s="10">
        <v>31</v>
      </c>
      <c r="R696">
        <v>2</v>
      </c>
      <c r="X696">
        <v>4</v>
      </c>
      <c r="Y696">
        <f t="shared" si="41"/>
        <v>12</v>
      </c>
    </row>
    <row r="697" spans="1:25" x14ac:dyDescent="0.35">
      <c r="C697">
        <v>5</v>
      </c>
      <c r="D697">
        <v>0</v>
      </c>
      <c r="E697">
        <v>40</v>
      </c>
      <c r="R697">
        <v>1</v>
      </c>
      <c r="X697">
        <v>5</v>
      </c>
      <c r="Y697">
        <f t="shared" si="41"/>
        <v>9</v>
      </c>
    </row>
    <row r="698" spans="1:25" x14ac:dyDescent="0.35">
      <c r="C698">
        <v>6</v>
      </c>
      <c r="D698">
        <v>2</v>
      </c>
      <c r="E698">
        <v>62</v>
      </c>
      <c r="R698">
        <v>4</v>
      </c>
      <c r="X698">
        <v>6</v>
      </c>
      <c r="Y698">
        <f t="shared" si="41"/>
        <v>18</v>
      </c>
    </row>
    <row r="699" spans="1:25" x14ac:dyDescent="0.35">
      <c r="C699">
        <v>7</v>
      </c>
      <c r="D699">
        <v>1</v>
      </c>
      <c r="E699">
        <v>89</v>
      </c>
      <c r="X699">
        <v>7</v>
      </c>
      <c r="Y699">
        <f t="shared" si="41"/>
        <v>14</v>
      </c>
    </row>
    <row r="700" spans="1:25" x14ac:dyDescent="0.35">
      <c r="C700">
        <v>8</v>
      </c>
      <c r="D700">
        <v>1</v>
      </c>
      <c r="E700">
        <v>12</v>
      </c>
      <c r="X700">
        <v>8</v>
      </c>
      <c r="Y700">
        <f t="shared" si="41"/>
        <v>6</v>
      </c>
    </row>
    <row r="701" spans="1:25" x14ac:dyDescent="0.35">
      <c r="C701">
        <v>9</v>
      </c>
      <c r="D701">
        <v>1</v>
      </c>
      <c r="E701">
        <v>15</v>
      </c>
      <c r="R701">
        <v>2</v>
      </c>
      <c r="X701">
        <v>9</v>
      </c>
      <c r="Y701">
        <f>SUM(D701,D710,D719,D728)</f>
        <v>21</v>
      </c>
    </row>
    <row r="702" spans="1:25" x14ac:dyDescent="0.35">
      <c r="C702">
        <v>1</v>
      </c>
      <c r="D702">
        <v>2</v>
      </c>
      <c r="E702">
        <v>6</v>
      </c>
      <c r="R702">
        <v>3</v>
      </c>
    </row>
    <row r="703" spans="1:25" x14ac:dyDescent="0.35">
      <c r="C703">
        <v>2</v>
      </c>
      <c r="D703">
        <v>0</v>
      </c>
      <c r="E703">
        <v>8</v>
      </c>
      <c r="R703">
        <v>1</v>
      </c>
    </row>
    <row r="704" spans="1:25" x14ac:dyDescent="0.35">
      <c r="C704">
        <v>3</v>
      </c>
      <c r="D704">
        <v>1</v>
      </c>
      <c r="E704">
        <v>15</v>
      </c>
      <c r="F704">
        <v>1</v>
      </c>
      <c r="S704">
        <v>1</v>
      </c>
    </row>
    <row r="705" spans="3:19" x14ac:dyDescent="0.35">
      <c r="C705">
        <v>4</v>
      </c>
      <c r="D705">
        <v>4</v>
      </c>
      <c r="E705">
        <v>14</v>
      </c>
      <c r="R705">
        <v>3</v>
      </c>
    </row>
    <row r="706" spans="3:19" x14ac:dyDescent="0.35">
      <c r="C706">
        <v>5</v>
      </c>
      <c r="D706">
        <v>2</v>
      </c>
      <c r="E706">
        <v>15</v>
      </c>
    </row>
    <row r="707" spans="3:19" x14ac:dyDescent="0.35">
      <c r="C707">
        <v>6</v>
      </c>
      <c r="D707">
        <v>2</v>
      </c>
      <c r="E707">
        <v>6</v>
      </c>
      <c r="R707">
        <v>2</v>
      </c>
    </row>
    <row r="708" spans="3:19" x14ac:dyDescent="0.35">
      <c r="C708">
        <v>7</v>
      </c>
      <c r="D708">
        <v>4</v>
      </c>
      <c r="E708">
        <v>20</v>
      </c>
      <c r="R708">
        <v>2</v>
      </c>
    </row>
    <row r="709" spans="3:19" x14ac:dyDescent="0.35">
      <c r="C709">
        <v>8</v>
      </c>
      <c r="D709">
        <v>0</v>
      </c>
      <c r="E709">
        <v>7</v>
      </c>
    </row>
    <row r="710" spans="3:19" x14ac:dyDescent="0.35">
      <c r="C710">
        <v>9</v>
      </c>
      <c r="D710">
        <v>5</v>
      </c>
      <c r="E710">
        <v>4</v>
      </c>
    </row>
    <row r="711" spans="3:19" x14ac:dyDescent="0.35">
      <c r="C711">
        <v>1</v>
      </c>
      <c r="D711">
        <v>2</v>
      </c>
      <c r="E711">
        <v>4</v>
      </c>
      <c r="F711">
        <v>1</v>
      </c>
      <c r="R711">
        <v>1</v>
      </c>
      <c r="S711">
        <v>1</v>
      </c>
    </row>
    <row r="712" spans="3:19" x14ac:dyDescent="0.35">
      <c r="C712">
        <v>2</v>
      </c>
      <c r="D712">
        <v>0</v>
      </c>
      <c r="E712">
        <v>4</v>
      </c>
      <c r="F712">
        <v>1</v>
      </c>
    </row>
    <row r="713" spans="3:19" x14ac:dyDescent="0.35">
      <c r="C713">
        <v>3</v>
      </c>
      <c r="D713">
        <v>1</v>
      </c>
      <c r="E713">
        <v>7</v>
      </c>
      <c r="R713">
        <v>1</v>
      </c>
    </row>
    <row r="714" spans="3:19" x14ac:dyDescent="0.35">
      <c r="C714">
        <v>4</v>
      </c>
      <c r="D714">
        <v>2</v>
      </c>
      <c r="E714">
        <v>13</v>
      </c>
      <c r="R714">
        <v>2</v>
      </c>
    </row>
    <row r="715" spans="3:19" x14ac:dyDescent="0.35">
      <c r="C715">
        <v>5</v>
      </c>
      <c r="D715">
        <v>4</v>
      </c>
      <c r="E715">
        <v>13</v>
      </c>
    </row>
    <row r="716" spans="3:19" x14ac:dyDescent="0.35">
      <c r="C716">
        <v>6</v>
      </c>
      <c r="D716">
        <v>4</v>
      </c>
      <c r="E716">
        <v>19</v>
      </c>
    </row>
    <row r="717" spans="3:19" x14ac:dyDescent="0.35">
      <c r="C717">
        <v>7</v>
      </c>
      <c r="D717">
        <v>1</v>
      </c>
      <c r="E717">
        <v>51</v>
      </c>
      <c r="R717">
        <v>2</v>
      </c>
    </row>
    <row r="718" spans="3:19" x14ac:dyDescent="0.35">
      <c r="C718">
        <v>8</v>
      </c>
      <c r="D718">
        <v>1</v>
      </c>
      <c r="E718">
        <v>8</v>
      </c>
      <c r="R718">
        <v>1</v>
      </c>
    </row>
    <row r="719" spans="3:19" x14ac:dyDescent="0.35">
      <c r="C719">
        <v>9</v>
      </c>
      <c r="D719">
        <v>11</v>
      </c>
      <c r="E719">
        <v>4</v>
      </c>
      <c r="R719">
        <v>1</v>
      </c>
    </row>
    <row r="720" spans="3:19" x14ac:dyDescent="0.35">
      <c r="C720">
        <v>1</v>
      </c>
      <c r="D720">
        <v>1</v>
      </c>
      <c r="E720">
        <v>1</v>
      </c>
      <c r="R720">
        <v>1</v>
      </c>
    </row>
    <row r="721" spans="1:25" x14ac:dyDescent="0.35">
      <c r="C721">
        <v>2</v>
      </c>
      <c r="D721">
        <v>3</v>
      </c>
      <c r="E721">
        <v>11</v>
      </c>
    </row>
    <row r="722" spans="1:25" x14ac:dyDescent="0.35">
      <c r="C722">
        <v>3</v>
      </c>
      <c r="D722">
        <v>5</v>
      </c>
      <c r="E722">
        <v>7</v>
      </c>
      <c r="F722">
        <v>1</v>
      </c>
      <c r="R722">
        <v>1</v>
      </c>
    </row>
    <row r="723" spans="1:25" x14ac:dyDescent="0.35">
      <c r="C723">
        <v>4</v>
      </c>
      <c r="D723">
        <v>3</v>
      </c>
      <c r="E723">
        <v>8</v>
      </c>
      <c r="R723">
        <v>3</v>
      </c>
    </row>
    <row r="724" spans="1:25" x14ac:dyDescent="0.35">
      <c r="C724">
        <v>5</v>
      </c>
      <c r="D724">
        <v>3</v>
      </c>
      <c r="E724">
        <v>9</v>
      </c>
    </row>
    <row r="725" spans="1:25" x14ac:dyDescent="0.35">
      <c r="C725">
        <v>6</v>
      </c>
      <c r="D725">
        <v>10</v>
      </c>
      <c r="E725">
        <v>10</v>
      </c>
    </row>
    <row r="726" spans="1:25" x14ac:dyDescent="0.35">
      <c r="C726">
        <v>7</v>
      </c>
      <c r="D726">
        <v>8</v>
      </c>
      <c r="E726">
        <v>15</v>
      </c>
      <c r="R726">
        <v>2</v>
      </c>
    </row>
    <row r="727" spans="1:25" x14ac:dyDescent="0.35">
      <c r="C727">
        <v>8</v>
      </c>
      <c r="D727">
        <v>4</v>
      </c>
      <c r="E727">
        <v>4</v>
      </c>
    </row>
    <row r="728" spans="1:25" s="4" customFormat="1" x14ac:dyDescent="0.35">
      <c r="C728" s="4">
        <v>9</v>
      </c>
      <c r="D728" s="4">
        <v>4</v>
      </c>
      <c r="E728" s="4">
        <v>1</v>
      </c>
      <c r="G728" s="7"/>
      <c r="R728" s="4">
        <v>2</v>
      </c>
    </row>
    <row r="729" spans="1:25" x14ac:dyDescent="0.35">
      <c r="A729" s="2">
        <v>43206</v>
      </c>
      <c r="B729" t="s">
        <v>709</v>
      </c>
      <c r="C729">
        <v>1</v>
      </c>
      <c r="D729" s="10">
        <v>19</v>
      </c>
      <c r="E729" s="10">
        <v>23</v>
      </c>
      <c r="X729">
        <v>1</v>
      </c>
      <c r="Y729">
        <f>SUM(D729,D738,D747,D756)</f>
        <v>31</v>
      </c>
    </row>
    <row r="730" spans="1:25" x14ac:dyDescent="0.35">
      <c r="C730">
        <v>2</v>
      </c>
      <c r="D730" s="10">
        <v>4</v>
      </c>
      <c r="E730" s="10">
        <v>14</v>
      </c>
      <c r="X730">
        <v>2</v>
      </c>
      <c r="Y730">
        <f t="shared" ref="Y730:Y736" si="42">SUM(D730,D739,D748,D757)</f>
        <v>16</v>
      </c>
    </row>
    <row r="731" spans="1:25" x14ac:dyDescent="0.35">
      <c r="C731">
        <v>3</v>
      </c>
      <c r="D731">
        <v>1</v>
      </c>
      <c r="E731">
        <v>45</v>
      </c>
      <c r="R731">
        <v>1</v>
      </c>
      <c r="X731">
        <v>3</v>
      </c>
      <c r="Y731">
        <f t="shared" si="42"/>
        <v>11</v>
      </c>
    </row>
    <row r="732" spans="1:25" x14ac:dyDescent="0.35">
      <c r="C732">
        <v>4</v>
      </c>
      <c r="D732">
        <v>3</v>
      </c>
      <c r="E732">
        <v>123</v>
      </c>
      <c r="X732">
        <v>4</v>
      </c>
      <c r="Y732">
        <f t="shared" si="42"/>
        <v>22</v>
      </c>
    </row>
    <row r="733" spans="1:25" x14ac:dyDescent="0.35">
      <c r="C733">
        <v>5</v>
      </c>
      <c r="D733">
        <v>2</v>
      </c>
      <c r="E733">
        <v>32</v>
      </c>
      <c r="X733">
        <v>5</v>
      </c>
      <c r="Y733">
        <f t="shared" si="42"/>
        <v>15</v>
      </c>
    </row>
    <row r="734" spans="1:25" x14ac:dyDescent="0.35">
      <c r="C734">
        <v>6</v>
      </c>
      <c r="D734">
        <v>3</v>
      </c>
      <c r="E734">
        <v>18</v>
      </c>
      <c r="X734">
        <v>6</v>
      </c>
      <c r="Y734">
        <f t="shared" si="42"/>
        <v>25</v>
      </c>
    </row>
    <row r="735" spans="1:25" x14ac:dyDescent="0.35">
      <c r="C735">
        <v>7</v>
      </c>
      <c r="D735">
        <v>3</v>
      </c>
      <c r="E735">
        <v>40</v>
      </c>
      <c r="X735">
        <v>7</v>
      </c>
      <c r="Y735">
        <f t="shared" si="42"/>
        <v>24</v>
      </c>
    </row>
    <row r="736" spans="1:25" x14ac:dyDescent="0.35">
      <c r="C736">
        <v>8</v>
      </c>
      <c r="D736">
        <v>2</v>
      </c>
      <c r="E736">
        <v>17</v>
      </c>
      <c r="X736">
        <v>8</v>
      </c>
      <c r="Y736">
        <f t="shared" si="42"/>
        <v>8</v>
      </c>
    </row>
    <row r="737" spans="3:25" x14ac:dyDescent="0.35">
      <c r="C737">
        <v>9</v>
      </c>
      <c r="D737">
        <v>8</v>
      </c>
      <c r="E737">
        <v>31</v>
      </c>
      <c r="X737">
        <v>9</v>
      </c>
      <c r="Y737">
        <f>SUM(D737,D746,D755,D764)</f>
        <v>24</v>
      </c>
    </row>
    <row r="738" spans="3:25" x14ac:dyDescent="0.35">
      <c r="C738">
        <v>1</v>
      </c>
      <c r="D738">
        <v>4</v>
      </c>
      <c r="E738">
        <v>18</v>
      </c>
    </row>
    <row r="739" spans="3:25" x14ac:dyDescent="0.35">
      <c r="C739">
        <v>2</v>
      </c>
      <c r="D739">
        <v>6</v>
      </c>
      <c r="E739">
        <v>18</v>
      </c>
    </row>
    <row r="740" spans="3:25" x14ac:dyDescent="0.35">
      <c r="C740">
        <v>3</v>
      </c>
      <c r="D740">
        <v>2</v>
      </c>
      <c r="E740">
        <v>20</v>
      </c>
      <c r="I740">
        <v>1</v>
      </c>
    </row>
    <row r="741" spans="3:25" x14ac:dyDescent="0.35">
      <c r="C741">
        <v>4</v>
      </c>
      <c r="D741">
        <v>7</v>
      </c>
      <c r="E741">
        <v>13</v>
      </c>
    </row>
    <row r="742" spans="3:25" x14ac:dyDescent="0.35">
      <c r="C742">
        <v>5</v>
      </c>
      <c r="D742">
        <v>3</v>
      </c>
      <c r="E742">
        <v>12</v>
      </c>
    </row>
    <row r="743" spans="3:25" x14ac:dyDescent="0.35">
      <c r="C743">
        <v>6</v>
      </c>
      <c r="D743">
        <v>8</v>
      </c>
      <c r="E743">
        <v>25</v>
      </c>
      <c r="P743">
        <v>1</v>
      </c>
    </row>
    <row r="744" spans="3:25" x14ac:dyDescent="0.35">
      <c r="C744">
        <v>7</v>
      </c>
      <c r="D744">
        <v>5</v>
      </c>
      <c r="E744">
        <v>18</v>
      </c>
    </row>
    <row r="745" spans="3:25" x14ac:dyDescent="0.35">
      <c r="C745">
        <v>8</v>
      </c>
      <c r="D745">
        <v>4</v>
      </c>
      <c r="E745">
        <v>18</v>
      </c>
    </row>
    <row r="746" spans="3:25" x14ac:dyDescent="0.35">
      <c r="C746">
        <v>9</v>
      </c>
      <c r="D746">
        <v>3</v>
      </c>
      <c r="E746">
        <v>22</v>
      </c>
    </row>
    <row r="747" spans="3:25" x14ac:dyDescent="0.35">
      <c r="C747">
        <v>1</v>
      </c>
      <c r="D747">
        <v>6</v>
      </c>
      <c r="E747">
        <v>21</v>
      </c>
    </row>
    <row r="748" spans="3:25" x14ac:dyDescent="0.35">
      <c r="C748">
        <v>2</v>
      </c>
      <c r="D748">
        <v>4</v>
      </c>
      <c r="E748">
        <v>12</v>
      </c>
      <c r="W748">
        <v>1</v>
      </c>
    </row>
    <row r="749" spans="3:25" x14ac:dyDescent="0.35">
      <c r="C749">
        <v>3</v>
      </c>
      <c r="D749">
        <v>3</v>
      </c>
      <c r="E749">
        <v>14</v>
      </c>
    </row>
    <row r="750" spans="3:25" x14ac:dyDescent="0.35">
      <c r="C750">
        <v>4</v>
      </c>
      <c r="D750">
        <v>8</v>
      </c>
      <c r="E750">
        <v>24</v>
      </c>
    </row>
    <row r="751" spans="3:25" x14ac:dyDescent="0.35">
      <c r="C751">
        <v>5</v>
      </c>
      <c r="D751">
        <v>7</v>
      </c>
      <c r="E751">
        <v>23</v>
      </c>
    </row>
    <row r="752" spans="3:25" x14ac:dyDescent="0.35">
      <c r="C752">
        <v>6</v>
      </c>
      <c r="D752">
        <v>5</v>
      </c>
      <c r="E752">
        <v>32</v>
      </c>
      <c r="H752">
        <v>1</v>
      </c>
    </row>
    <row r="753" spans="1:25" x14ac:dyDescent="0.35">
      <c r="C753">
        <v>7</v>
      </c>
      <c r="D753">
        <v>9</v>
      </c>
      <c r="E753">
        <v>25</v>
      </c>
    </row>
    <row r="754" spans="1:25" x14ac:dyDescent="0.35">
      <c r="C754">
        <v>8</v>
      </c>
      <c r="D754">
        <v>1</v>
      </c>
      <c r="E754">
        <v>23</v>
      </c>
    </row>
    <row r="755" spans="1:25" x14ac:dyDescent="0.35">
      <c r="C755">
        <v>9</v>
      </c>
      <c r="D755">
        <v>8</v>
      </c>
      <c r="E755">
        <v>24</v>
      </c>
    </row>
    <row r="756" spans="1:25" x14ac:dyDescent="0.35">
      <c r="C756">
        <v>1</v>
      </c>
      <c r="D756">
        <v>2</v>
      </c>
      <c r="E756">
        <v>15</v>
      </c>
    </row>
    <row r="757" spans="1:25" x14ac:dyDescent="0.35">
      <c r="C757">
        <v>2</v>
      </c>
      <c r="D757">
        <v>2</v>
      </c>
      <c r="E757">
        <v>10</v>
      </c>
    </row>
    <row r="758" spans="1:25" x14ac:dyDescent="0.35">
      <c r="C758">
        <v>3</v>
      </c>
      <c r="D758">
        <v>5</v>
      </c>
      <c r="E758">
        <v>13</v>
      </c>
      <c r="R758">
        <v>1</v>
      </c>
    </row>
    <row r="759" spans="1:25" x14ac:dyDescent="0.35">
      <c r="C759">
        <v>4</v>
      </c>
      <c r="D759">
        <v>4</v>
      </c>
      <c r="E759">
        <v>18</v>
      </c>
    </row>
    <row r="760" spans="1:25" x14ac:dyDescent="0.35">
      <c r="C760">
        <v>5</v>
      </c>
      <c r="D760">
        <v>3</v>
      </c>
      <c r="E760">
        <v>19</v>
      </c>
    </row>
    <row r="761" spans="1:25" x14ac:dyDescent="0.35">
      <c r="C761">
        <v>6</v>
      </c>
      <c r="D761">
        <v>9</v>
      </c>
      <c r="E761">
        <v>28</v>
      </c>
    </row>
    <row r="762" spans="1:25" x14ac:dyDescent="0.35">
      <c r="C762">
        <v>7</v>
      </c>
      <c r="D762">
        <v>7</v>
      </c>
      <c r="E762">
        <v>9</v>
      </c>
    </row>
    <row r="763" spans="1:25" x14ac:dyDescent="0.35">
      <c r="C763">
        <v>8</v>
      </c>
      <c r="D763">
        <v>1</v>
      </c>
      <c r="E763">
        <v>23</v>
      </c>
    </row>
    <row r="764" spans="1:25" s="4" customFormat="1" x14ac:dyDescent="0.35">
      <c r="C764" s="4">
        <v>9</v>
      </c>
      <c r="D764" s="4">
        <v>5</v>
      </c>
      <c r="E764" s="4">
        <v>27</v>
      </c>
      <c r="G764" s="7"/>
    </row>
    <row r="765" spans="1:25" x14ac:dyDescent="0.35">
      <c r="A765" s="2">
        <v>43214</v>
      </c>
      <c r="B765" t="s">
        <v>768</v>
      </c>
      <c r="C765">
        <v>1</v>
      </c>
      <c r="D765" s="10">
        <v>4</v>
      </c>
      <c r="E765" s="10">
        <v>35</v>
      </c>
      <c r="R765">
        <v>1</v>
      </c>
      <c r="T765">
        <v>1</v>
      </c>
      <c r="X765">
        <v>1</v>
      </c>
      <c r="Y765">
        <f>SUM(D765,D774,D783,D792)</f>
        <v>13</v>
      </c>
    </row>
    <row r="766" spans="1:25" x14ac:dyDescent="0.35">
      <c r="C766">
        <v>2</v>
      </c>
      <c r="D766" s="10">
        <v>3</v>
      </c>
      <c r="E766" s="10">
        <v>36</v>
      </c>
      <c r="X766">
        <v>2</v>
      </c>
      <c r="Y766">
        <f t="shared" ref="Y766:Y772" si="43">SUM(D766,D775,D784,D793)</f>
        <v>8</v>
      </c>
    </row>
    <row r="767" spans="1:25" x14ac:dyDescent="0.35">
      <c r="C767">
        <v>3</v>
      </c>
      <c r="D767">
        <v>2</v>
      </c>
      <c r="E767">
        <v>16</v>
      </c>
      <c r="R767">
        <v>3</v>
      </c>
      <c r="S767">
        <v>1</v>
      </c>
      <c r="X767">
        <v>3</v>
      </c>
      <c r="Y767">
        <f t="shared" si="43"/>
        <v>12</v>
      </c>
    </row>
    <row r="768" spans="1:25" x14ac:dyDescent="0.35">
      <c r="C768">
        <v>4</v>
      </c>
      <c r="D768">
        <v>1</v>
      </c>
      <c r="E768">
        <v>24</v>
      </c>
      <c r="R768">
        <v>5</v>
      </c>
      <c r="X768">
        <v>4</v>
      </c>
      <c r="Y768">
        <f t="shared" si="43"/>
        <v>11</v>
      </c>
    </row>
    <row r="769" spans="3:25" x14ac:dyDescent="0.35">
      <c r="C769">
        <v>5</v>
      </c>
      <c r="D769">
        <v>3</v>
      </c>
      <c r="E769">
        <v>22</v>
      </c>
      <c r="R769">
        <v>1</v>
      </c>
      <c r="X769">
        <v>5</v>
      </c>
      <c r="Y769">
        <f t="shared" si="43"/>
        <v>15</v>
      </c>
    </row>
    <row r="770" spans="3:25" x14ac:dyDescent="0.35">
      <c r="C770">
        <v>6</v>
      </c>
      <c r="D770">
        <v>5</v>
      </c>
      <c r="E770">
        <v>14</v>
      </c>
      <c r="T770">
        <v>3</v>
      </c>
      <c r="X770">
        <v>6</v>
      </c>
      <c r="Y770">
        <f t="shared" si="43"/>
        <v>14</v>
      </c>
    </row>
    <row r="771" spans="3:25" x14ac:dyDescent="0.35">
      <c r="C771">
        <v>7</v>
      </c>
      <c r="D771">
        <v>3</v>
      </c>
      <c r="E771">
        <v>18</v>
      </c>
      <c r="T771">
        <v>1</v>
      </c>
      <c r="X771">
        <v>7</v>
      </c>
      <c r="Y771">
        <f t="shared" si="43"/>
        <v>16</v>
      </c>
    </row>
    <row r="772" spans="3:25" x14ac:dyDescent="0.35">
      <c r="C772">
        <v>8</v>
      </c>
      <c r="D772">
        <v>3</v>
      </c>
      <c r="E772">
        <v>13</v>
      </c>
      <c r="T772">
        <v>2</v>
      </c>
      <c r="X772">
        <v>8</v>
      </c>
      <c r="Y772">
        <f t="shared" si="43"/>
        <v>12</v>
      </c>
    </row>
    <row r="773" spans="3:25" x14ac:dyDescent="0.35">
      <c r="C773">
        <v>9</v>
      </c>
      <c r="D773">
        <v>4</v>
      </c>
      <c r="E773">
        <v>20</v>
      </c>
      <c r="R773">
        <v>2</v>
      </c>
      <c r="T773">
        <v>1</v>
      </c>
      <c r="X773">
        <v>9</v>
      </c>
      <c r="Y773">
        <f>SUM(D773,D782,D791,D800)</f>
        <v>22</v>
      </c>
    </row>
    <row r="774" spans="3:25" x14ac:dyDescent="0.35">
      <c r="C774">
        <v>1</v>
      </c>
      <c r="D774">
        <v>3</v>
      </c>
      <c r="E774">
        <v>16</v>
      </c>
      <c r="T774">
        <v>2</v>
      </c>
    </row>
    <row r="775" spans="3:25" x14ac:dyDescent="0.35">
      <c r="C775">
        <v>2</v>
      </c>
      <c r="D775">
        <v>1</v>
      </c>
      <c r="E775">
        <v>15</v>
      </c>
      <c r="T775">
        <v>1</v>
      </c>
    </row>
    <row r="776" spans="3:25" x14ac:dyDescent="0.35">
      <c r="C776">
        <v>3</v>
      </c>
      <c r="D776">
        <v>3</v>
      </c>
      <c r="E776">
        <v>12</v>
      </c>
      <c r="R776">
        <v>5</v>
      </c>
      <c r="T776">
        <v>1</v>
      </c>
    </row>
    <row r="777" spans="3:25" x14ac:dyDescent="0.35">
      <c r="C777">
        <v>4</v>
      </c>
      <c r="D777">
        <v>5</v>
      </c>
      <c r="E777">
        <v>6</v>
      </c>
      <c r="R777">
        <v>4</v>
      </c>
    </row>
    <row r="778" spans="3:25" x14ac:dyDescent="0.35">
      <c r="C778">
        <v>5</v>
      </c>
      <c r="D778">
        <v>2</v>
      </c>
      <c r="E778">
        <v>14</v>
      </c>
      <c r="R778">
        <v>1</v>
      </c>
    </row>
    <row r="779" spans="3:25" x14ac:dyDescent="0.35">
      <c r="C779">
        <v>6</v>
      </c>
      <c r="D779">
        <v>3</v>
      </c>
      <c r="E779">
        <v>18</v>
      </c>
      <c r="T779">
        <v>3</v>
      </c>
    </row>
    <row r="780" spans="3:25" x14ac:dyDescent="0.35">
      <c r="C780">
        <v>7</v>
      </c>
      <c r="D780">
        <v>5</v>
      </c>
      <c r="E780">
        <v>7</v>
      </c>
      <c r="O780">
        <v>1</v>
      </c>
      <c r="R780">
        <v>1</v>
      </c>
      <c r="S780">
        <v>1</v>
      </c>
      <c r="T780">
        <v>1</v>
      </c>
    </row>
    <row r="781" spans="3:25" x14ac:dyDescent="0.35">
      <c r="C781">
        <v>8</v>
      </c>
      <c r="D781">
        <v>3</v>
      </c>
      <c r="E781">
        <v>7</v>
      </c>
      <c r="R781">
        <v>1</v>
      </c>
    </row>
    <row r="782" spans="3:25" x14ac:dyDescent="0.35">
      <c r="C782">
        <v>9</v>
      </c>
      <c r="D782">
        <v>9</v>
      </c>
      <c r="E782">
        <v>8</v>
      </c>
      <c r="R782">
        <v>1</v>
      </c>
      <c r="T782">
        <v>1</v>
      </c>
    </row>
    <row r="783" spans="3:25" x14ac:dyDescent="0.35">
      <c r="C783">
        <v>1</v>
      </c>
      <c r="D783">
        <v>3</v>
      </c>
      <c r="E783">
        <v>11</v>
      </c>
      <c r="T783">
        <v>1</v>
      </c>
    </row>
    <row r="784" spans="3:25" x14ac:dyDescent="0.35">
      <c r="C784">
        <v>2</v>
      </c>
      <c r="D784">
        <v>3</v>
      </c>
      <c r="E784">
        <v>10</v>
      </c>
    </row>
    <row r="785" spans="3:20" x14ac:dyDescent="0.35">
      <c r="C785">
        <v>3</v>
      </c>
      <c r="D785">
        <v>2</v>
      </c>
      <c r="E785">
        <v>12</v>
      </c>
      <c r="R785">
        <v>1</v>
      </c>
    </row>
    <row r="786" spans="3:20" x14ac:dyDescent="0.35">
      <c r="C786">
        <v>4</v>
      </c>
      <c r="D786">
        <v>4</v>
      </c>
      <c r="E786">
        <v>10</v>
      </c>
      <c r="T786">
        <v>1</v>
      </c>
    </row>
    <row r="787" spans="3:20" x14ac:dyDescent="0.35">
      <c r="C787">
        <v>5</v>
      </c>
      <c r="D787">
        <v>6</v>
      </c>
      <c r="E787">
        <v>7</v>
      </c>
      <c r="R787">
        <v>1</v>
      </c>
      <c r="S787">
        <v>1</v>
      </c>
      <c r="T787">
        <v>1</v>
      </c>
    </row>
    <row r="788" spans="3:20" x14ac:dyDescent="0.35">
      <c r="C788">
        <v>6</v>
      </c>
      <c r="D788">
        <v>4</v>
      </c>
      <c r="E788">
        <v>9</v>
      </c>
      <c r="R788">
        <v>1</v>
      </c>
      <c r="T788">
        <v>1</v>
      </c>
    </row>
    <row r="789" spans="3:20" x14ac:dyDescent="0.35">
      <c r="C789">
        <v>7</v>
      </c>
      <c r="D789">
        <v>4</v>
      </c>
      <c r="E789">
        <v>10</v>
      </c>
      <c r="R789">
        <v>5</v>
      </c>
      <c r="T789">
        <v>1</v>
      </c>
    </row>
    <row r="790" spans="3:20" x14ac:dyDescent="0.35">
      <c r="C790">
        <v>8</v>
      </c>
      <c r="D790">
        <v>2</v>
      </c>
      <c r="E790">
        <v>11</v>
      </c>
      <c r="T790">
        <v>1</v>
      </c>
    </row>
    <row r="791" spans="3:20" x14ac:dyDescent="0.35">
      <c r="C791">
        <v>9</v>
      </c>
      <c r="D791">
        <v>3</v>
      </c>
      <c r="E791">
        <v>12</v>
      </c>
      <c r="T791">
        <v>2</v>
      </c>
    </row>
    <row r="792" spans="3:20" x14ac:dyDescent="0.35">
      <c r="C792">
        <v>1</v>
      </c>
      <c r="D792">
        <v>3</v>
      </c>
      <c r="E792">
        <v>7</v>
      </c>
      <c r="R792">
        <v>1</v>
      </c>
      <c r="S792">
        <v>1</v>
      </c>
      <c r="T792">
        <v>2</v>
      </c>
    </row>
    <row r="793" spans="3:20" x14ac:dyDescent="0.35">
      <c r="C793">
        <v>2</v>
      </c>
      <c r="D793">
        <v>1</v>
      </c>
      <c r="E793">
        <v>24</v>
      </c>
      <c r="R793">
        <v>1</v>
      </c>
      <c r="T793">
        <v>1</v>
      </c>
    </row>
    <row r="794" spans="3:20" x14ac:dyDescent="0.35">
      <c r="C794">
        <v>3</v>
      </c>
      <c r="D794">
        <v>5</v>
      </c>
      <c r="E794">
        <v>8</v>
      </c>
    </row>
    <row r="795" spans="3:20" x14ac:dyDescent="0.35">
      <c r="C795">
        <v>4</v>
      </c>
      <c r="D795">
        <v>1</v>
      </c>
      <c r="E795">
        <v>4</v>
      </c>
      <c r="R795">
        <v>1</v>
      </c>
    </row>
    <row r="796" spans="3:20" x14ac:dyDescent="0.35">
      <c r="C796">
        <v>5</v>
      </c>
      <c r="D796">
        <v>4</v>
      </c>
      <c r="E796">
        <v>2</v>
      </c>
      <c r="R796">
        <v>1</v>
      </c>
      <c r="S796">
        <v>1</v>
      </c>
      <c r="T796">
        <v>1</v>
      </c>
    </row>
    <row r="797" spans="3:20" x14ac:dyDescent="0.35">
      <c r="C797">
        <v>6</v>
      </c>
      <c r="D797">
        <v>2</v>
      </c>
      <c r="E797">
        <v>8</v>
      </c>
      <c r="R797">
        <v>2</v>
      </c>
    </row>
    <row r="798" spans="3:20" x14ac:dyDescent="0.35">
      <c r="C798">
        <v>7</v>
      </c>
      <c r="D798">
        <v>4</v>
      </c>
      <c r="E798">
        <v>7</v>
      </c>
      <c r="S798">
        <v>1</v>
      </c>
      <c r="T798">
        <v>1</v>
      </c>
    </row>
    <row r="799" spans="3:20" x14ac:dyDescent="0.35">
      <c r="C799">
        <v>8</v>
      </c>
      <c r="D799">
        <v>4</v>
      </c>
      <c r="E799">
        <v>11</v>
      </c>
    </row>
    <row r="800" spans="3:20" s="4" customFormat="1" x14ac:dyDescent="0.35">
      <c r="C800" s="4">
        <v>9</v>
      </c>
      <c r="D800" s="4">
        <v>6</v>
      </c>
      <c r="E800" s="4">
        <v>7</v>
      </c>
      <c r="G800" s="7"/>
      <c r="H800" s="4">
        <v>1</v>
      </c>
      <c r="S800" s="4">
        <v>1</v>
      </c>
      <c r="T800" s="4">
        <v>1</v>
      </c>
    </row>
    <row r="801" spans="1:25" x14ac:dyDescent="0.35">
      <c r="A801" s="2">
        <v>43222</v>
      </c>
      <c r="B801" t="s">
        <v>793</v>
      </c>
      <c r="C801">
        <v>1</v>
      </c>
      <c r="D801" s="10">
        <v>6</v>
      </c>
      <c r="E801" s="10">
        <v>25</v>
      </c>
      <c r="T801" s="10">
        <v>3</v>
      </c>
      <c r="X801">
        <v>1</v>
      </c>
      <c r="Y801">
        <f>SUM(D801,D810,D819,D828)</f>
        <v>14</v>
      </c>
    </row>
    <row r="802" spans="1:25" x14ac:dyDescent="0.35">
      <c r="C802">
        <v>2</v>
      </c>
      <c r="D802" s="10">
        <v>4</v>
      </c>
      <c r="E802" s="10">
        <v>11</v>
      </c>
      <c r="H802">
        <v>1</v>
      </c>
      <c r="T802" s="10">
        <v>3</v>
      </c>
      <c r="X802">
        <v>2</v>
      </c>
      <c r="Y802">
        <f t="shared" ref="Y802:Y808" si="44">SUM(D802,D811,D820,D829)</f>
        <v>10</v>
      </c>
    </row>
    <row r="803" spans="1:25" x14ac:dyDescent="0.35">
      <c r="C803">
        <v>3</v>
      </c>
      <c r="D803">
        <v>1</v>
      </c>
      <c r="E803">
        <v>35</v>
      </c>
      <c r="T803">
        <v>1</v>
      </c>
      <c r="X803">
        <v>3</v>
      </c>
      <c r="Y803">
        <f t="shared" si="44"/>
        <v>4</v>
      </c>
    </row>
    <row r="804" spans="1:25" x14ac:dyDescent="0.35">
      <c r="C804">
        <v>4</v>
      </c>
      <c r="D804">
        <v>1</v>
      </c>
      <c r="E804">
        <v>19</v>
      </c>
      <c r="X804">
        <v>4</v>
      </c>
      <c r="Y804">
        <f t="shared" si="44"/>
        <v>5</v>
      </c>
    </row>
    <row r="805" spans="1:25" x14ac:dyDescent="0.35">
      <c r="C805">
        <v>5</v>
      </c>
      <c r="D805">
        <v>0</v>
      </c>
      <c r="E805">
        <v>30</v>
      </c>
      <c r="I805">
        <v>1</v>
      </c>
      <c r="T805">
        <v>3</v>
      </c>
      <c r="X805">
        <v>5</v>
      </c>
      <c r="Y805">
        <f t="shared" si="44"/>
        <v>1</v>
      </c>
    </row>
    <row r="806" spans="1:25" x14ac:dyDescent="0.35">
      <c r="C806">
        <v>6</v>
      </c>
      <c r="D806">
        <v>0</v>
      </c>
      <c r="E806">
        <v>9</v>
      </c>
      <c r="T806">
        <v>3</v>
      </c>
      <c r="X806">
        <v>6</v>
      </c>
      <c r="Y806">
        <f t="shared" si="44"/>
        <v>1</v>
      </c>
    </row>
    <row r="807" spans="1:25" x14ac:dyDescent="0.35">
      <c r="C807">
        <v>7</v>
      </c>
      <c r="D807">
        <v>1</v>
      </c>
      <c r="E807">
        <v>35</v>
      </c>
      <c r="T807">
        <v>1</v>
      </c>
      <c r="X807">
        <v>7</v>
      </c>
      <c r="Y807">
        <f t="shared" si="44"/>
        <v>6</v>
      </c>
    </row>
    <row r="808" spans="1:25" x14ac:dyDescent="0.35">
      <c r="C808">
        <v>8</v>
      </c>
      <c r="D808">
        <v>5</v>
      </c>
      <c r="E808">
        <v>11</v>
      </c>
      <c r="X808">
        <v>8</v>
      </c>
      <c r="Y808">
        <f t="shared" si="44"/>
        <v>7</v>
      </c>
    </row>
    <row r="809" spans="1:25" x14ac:dyDescent="0.35">
      <c r="C809">
        <v>9</v>
      </c>
      <c r="D809">
        <v>6</v>
      </c>
      <c r="E809">
        <v>22</v>
      </c>
      <c r="X809">
        <v>9</v>
      </c>
      <c r="Y809">
        <f>SUM(D809,D818,D827,D836)</f>
        <v>12</v>
      </c>
    </row>
    <row r="810" spans="1:25" x14ac:dyDescent="0.35">
      <c r="C810">
        <v>1</v>
      </c>
      <c r="D810">
        <v>5</v>
      </c>
      <c r="E810">
        <v>15</v>
      </c>
    </row>
    <row r="811" spans="1:25" x14ac:dyDescent="0.35">
      <c r="C811">
        <v>2</v>
      </c>
      <c r="D811">
        <v>4</v>
      </c>
      <c r="E811">
        <v>16</v>
      </c>
      <c r="T811">
        <v>20</v>
      </c>
    </row>
    <row r="812" spans="1:25" x14ac:dyDescent="0.35">
      <c r="C812">
        <v>3</v>
      </c>
      <c r="D812">
        <v>1</v>
      </c>
      <c r="E812">
        <v>16</v>
      </c>
    </row>
    <row r="813" spans="1:25" x14ac:dyDescent="0.35">
      <c r="C813">
        <v>4</v>
      </c>
      <c r="D813">
        <v>0</v>
      </c>
      <c r="E813">
        <v>5</v>
      </c>
      <c r="T813">
        <v>40</v>
      </c>
    </row>
    <row r="814" spans="1:25" x14ac:dyDescent="0.35">
      <c r="C814">
        <v>5</v>
      </c>
      <c r="D814">
        <v>1</v>
      </c>
      <c r="E814">
        <v>8</v>
      </c>
      <c r="T814">
        <v>3</v>
      </c>
      <c r="V814">
        <v>1</v>
      </c>
    </row>
    <row r="815" spans="1:25" x14ac:dyDescent="0.35">
      <c r="C815">
        <v>6</v>
      </c>
      <c r="D815">
        <v>1</v>
      </c>
      <c r="E815">
        <v>9</v>
      </c>
      <c r="T815">
        <v>60</v>
      </c>
    </row>
    <row r="816" spans="1:25" x14ac:dyDescent="0.35">
      <c r="C816">
        <v>7</v>
      </c>
      <c r="D816">
        <v>2</v>
      </c>
      <c r="E816">
        <v>13</v>
      </c>
      <c r="T816">
        <v>50</v>
      </c>
    </row>
    <row r="817" spans="3:21" x14ac:dyDescent="0.35">
      <c r="C817">
        <v>8</v>
      </c>
      <c r="D817">
        <v>1</v>
      </c>
      <c r="E817">
        <v>8</v>
      </c>
      <c r="T817">
        <v>30</v>
      </c>
    </row>
    <row r="818" spans="3:21" x14ac:dyDescent="0.35">
      <c r="C818">
        <v>9</v>
      </c>
      <c r="D818">
        <v>5</v>
      </c>
      <c r="E818">
        <v>8</v>
      </c>
      <c r="T818">
        <v>20</v>
      </c>
    </row>
    <row r="819" spans="3:21" x14ac:dyDescent="0.35">
      <c r="C819">
        <v>1</v>
      </c>
      <c r="D819">
        <v>2</v>
      </c>
      <c r="E819">
        <v>18</v>
      </c>
      <c r="T819">
        <v>100</v>
      </c>
    </row>
    <row r="820" spans="3:21" x14ac:dyDescent="0.35">
      <c r="C820">
        <v>2</v>
      </c>
      <c r="D820">
        <v>1</v>
      </c>
      <c r="E820">
        <v>7</v>
      </c>
      <c r="T820">
        <v>30</v>
      </c>
    </row>
    <row r="821" spans="3:21" x14ac:dyDescent="0.35">
      <c r="C821">
        <v>3</v>
      </c>
      <c r="D821">
        <v>1</v>
      </c>
      <c r="E821">
        <v>8</v>
      </c>
      <c r="T821">
        <v>30</v>
      </c>
    </row>
    <row r="822" spans="3:21" x14ac:dyDescent="0.35">
      <c r="C822">
        <v>4</v>
      </c>
      <c r="D822">
        <v>0</v>
      </c>
      <c r="E822">
        <v>9</v>
      </c>
      <c r="T822">
        <v>20</v>
      </c>
    </row>
    <row r="823" spans="3:21" x14ac:dyDescent="0.35">
      <c r="C823">
        <v>5</v>
      </c>
      <c r="D823">
        <v>0</v>
      </c>
      <c r="E823">
        <v>5</v>
      </c>
      <c r="T823">
        <v>20</v>
      </c>
    </row>
    <row r="824" spans="3:21" x14ac:dyDescent="0.35">
      <c r="C824">
        <v>6</v>
      </c>
      <c r="D824">
        <v>0</v>
      </c>
      <c r="E824">
        <v>2</v>
      </c>
      <c r="T824">
        <v>200</v>
      </c>
    </row>
    <row r="825" spans="3:21" x14ac:dyDescent="0.35">
      <c r="C825">
        <v>7</v>
      </c>
      <c r="D825">
        <v>3</v>
      </c>
      <c r="E825">
        <v>9</v>
      </c>
      <c r="T825">
        <v>20</v>
      </c>
    </row>
    <row r="826" spans="3:21" x14ac:dyDescent="0.35">
      <c r="C826">
        <v>8</v>
      </c>
      <c r="D826">
        <v>1</v>
      </c>
      <c r="E826">
        <v>11</v>
      </c>
      <c r="T826">
        <v>40</v>
      </c>
    </row>
    <row r="827" spans="3:21" x14ac:dyDescent="0.35">
      <c r="C827">
        <v>9</v>
      </c>
      <c r="D827">
        <v>0</v>
      </c>
      <c r="E827">
        <v>8</v>
      </c>
      <c r="T827">
        <v>20</v>
      </c>
    </row>
    <row r="828" spans="3:21" x14ac:dyDescent="0.35">
      <c r="C828">
        <v>1</v>
      </c>
      <c r="D828">
        <v>1</v>
      </c>
      <c r="E828">
        <v>13</v>
      </c>
      <c r="T828">
        <v>20</v>
      </c>
    </row>
    <row r="829" spans="3:21" x14ac:dyDescent="0.35">
      <c r="C829">
        <v>2</v>
      </c>
      <c r="D829">
        <v>1</v>
      </c>
      <c r="E829">
        <v>4</v>
      </c>
      <c r="T829">
        <v>20</v>
      </c>
    </row>
    <row r="830" spans="3:21" x14ac:dyDescent="0.35">
      <c r="C830">
        <v>3</v>
      </c>
      <c r="D830">
        <v>1</v>
      </c>
      <c r="E830">
        <v>9</v>
      </c>
      <c r="R830">
        <v>2</v>
      </c>
      <c r="T830">
        <v>30</v>
      </c>
    </row>
    <row r="831" spans="3:21" x14ac:dyDescent="0.35">
      <c r="C831">
        <v>4</v>
      </c>
      <c r="D831">
        <v>4</v>
      </c>
      <c r="E831">
        <v>7</v>
      </c>
      <c r="H831">
        <v>1</v>
      </c>
      <c r="T831">
        <v>10</v>
      </c>
    </row>
    <row r="832" spans="3:21" x14ac:dyDescent="0.35">
      <c r="C832">
        <v>5</v>
      </c>
      <c r="D832">
        <v>0</v>
      </c>
      <c r="E832">
        <v>2</v>
      </c>
      <c r="T832">
        <v>20</v>
      </c>
      <c r="U832">
        <v>1</v>
      </c>
    </row>
    <row r="833" spans="1:25" x14ac:dyDescent="0.35">
      <c r="C833">
        <v>6</v>
      </c>
      <c r="D833">
        <v>0</v>
      </c>
      <c r="E833">
        <v>8</v>
      </c>
      <c r="R833">
        <v>1</v>
      </c>
      <c r="T833">
        <v>10</v>
      </c>
    </row>
    <row r="834" spans="1:25" x14ac:dyDescent="0.35">
      <c r="C834">
        <v>7</v>
      </c>
      <c r="D834">
        <v>0</v>
      </c>
      <c r="E834">
        <v>8</v>
      </c>
      <c r="T834">
        <v>10</v>
      </c>
    </row>
    <row r="835" spans="1:25" x14ac:dyDescent="0.35">
      <c r="C835">
        <v>8</v>
      </c>
      <c r="D835">
        <v>0</v>
      </c>
      <c r="E835">
        <v>3</v>
      </c>
      <c r="T835">
        <v>10</v>
      </c>
    </row>
    <row r="836" spans="1:25" s="4" customFormat="1" x14ac:dyDescent="0.35">
      <c r="C836" s="4">
        <v>9</v>
      </c>
      <c r="D836" s="4">
        <v>1</v>
      </c>
      <c r="E836" s="4">
        <v>4</v>
      </c>
      <c r="G836" s="7"/>
      <c r="T836" s="4">
        <v>5</v>
      </c>
    </row>
    <row r="837" spans="1:25" x14ac:dyDescent="0.35">
      <c r="A837" s="2">
        <v>43235</v>
      </c>
      <c r="B837" t="s">
        <v>806</v>
      </c>
      <c r="C837">
        <v>1</v>
      </c>
      <c r="D837" s="10">
        <v>6</v>
      </c>
      <c r="E837" s="10">
        <v>170</v>
      </c>
      <c r="R837">
        <v>2</v>
      </c>
      <c r="T837" s="10">
        <v>15</v>
      </c>
      <c r="X837">
        <v>1</v>
      </c>
      <c r="Y837">
        <f>SUM(D837,D846,D855,D864)</f>
        <v>9</v>
      </c>
    </row>
    <row r="838" spans="1:25" x14ac:dyDescent="0.35">
      <c r="C838">
        <v>2</v>
      </c>
      <c r="D838" s="10">
        <v>0</v>
      </c>
      <c r="E838" s="10">
        <v>95</v>
      </c>
      <c r="R838">
        <v>2</v>
      </c>
      <c r="T838" s="10">
        <v>11</v>
      </c>
      <c r="X838">
        <v>2</v>
      </c>
      <c r="Y838">
        <f t="shared" ref="Y838:Y844" si="45">SUM(D838,D847,D856,D865)</f>
        <v>0</v>
      </c>
    </row>
    <row r="839" spans="1:25" x14ac:dyDescent="0.35">
      <c r="C839">
        <v>3</v>
      </c>
      <c r="D839">
        <v>0</v>
      </c>
      <c r="E839">
        <v>104</v>
      </c>
      <c r="T839">
        <v>4</v>
      </c>
      <c r="X839">
        <v>3</v>
      </c>
      <c r="Y839">
        <f t="shared" si="45"/>
        <v>0</v>
      </c>
    </row>
    <row r="840" spans="1:25" x14ac:dyDescent="0.35">
      <c r="C840">
        <v>4</v>
      </c>
      <c r="D840">
        <v>0</v>
      </c>
      <c r="E840">
        <v>78</v>
      </c>
      <c r="R840">
        <v>1</v>
      </c>
      <c r="T840">
        <v>6</v>
      </c>
      <c r="X840">
        <v>4</v>
      </c>
      <c r="Y840">
        <f t="shared" si="45"/>
        <v>5</v>
      </c>
    </row>
    <row r="841" spans="1:25" x14ac:dyDescent="0.35">
      <c r="C841">
        <v>5</v>
      </c>
      <c r="D841">
        <v>0</v>
      </c>
      <c r="E841">
        <v>83</v>
      </c>
      <c r="R841">
        <v>2</v>
      </c>
      <c r="T841">
        <v>16</v>
      </c>
      <c r="X841">
        <v>5</v>
      </c>
      <c r="Y841">
        <f t="shared" si="45"/>
        <v>1</v>
      </c>
    </row>
    <row r="842" spans="1:25" x14ac:dyDescent="0.35">
      <c r="C842">
        <v>6</v>
      </c>
      <c r="D842">
        <v>0</v>
      </c>
      <c r="E842">
        <v>59</v>
      </c>
      <c r="T842">
        <v>5</v>
      </c>
      <c r="X842">
        <v>6</v>
      </c>
      <c r="Y842">
        <f t="shared" si="45"/>
        <v>8</v>
      </c>
    </row>
    <row r="843" spans="1:25" x14ac:dyDescent="0.35">
      <c r="C843">
        <v>7</v>
      </c>
      <c r="D843">
        <v>0</v>
      </c>
      <c r="E843">
        <v>74</v>
      </c>
      <c r="X843">
        <v>7</v>
      </c>
      <c r="Y843">
        <f t="shared" si="45"/>
        <v>3</v>
      </c>
    </row>
    <row r="844" spans="1:25" x14ac:dyDescent="0.35">
      <c r="C844">
        <v>8</v>
      </c>
      <c r="D844">
        <v>0</v>
      </c>
      <c r="E844">
        <v>40</v>
      </c>
      <c r="T844">
        <v>3</v>
      </c>
      <c r="X844">
        <v>8</v>
      </c>
      <c r="Y844">
        <f t="shared" si="45"/>
        <v>8</v>
      </c>
    </row>
    <row r="845" spans="1:25" x14ac:dyDescent="0.35">
      <c r="C845">
        <v>9</v>
      </c>
      <c r="D845">
        <v>1</v>
      </c>
      <c r="E845">
        <v>120</v>
      </c>
      <c r="R845">
        <v>3</v>
      </c>
      <c r="T845">
        <v>9</v>
      </c>
      <c r="X845">
        <v>9</v>
      </c>
      <c r="Y845">
        <f>SUM(D845,D854,D863,D872)</f>
        <v>6</v>
      </c>
    </row>
    <row r="846" spans="1:25" x14ac:dyDescent="0.35">
      <c r="C846">
        <v>1</v>
      </c>
      <c r="D846">
        <v>2</v>
      </c>
      <c r="E846">
        <v>51</v>
      </c>
      <c r="R846">
        <v>1</v>
      </c>
      <c r="T846">
        <v>10</v>
      </c>
    </row>
    <row r="847" spans="1:25" x14ac:dyDescent="0.35">
      <c r="C847">
        <v>2</v>
      </c>
      <c r="D847">
        <v>0</v>
      </c>
      <c r="E847">
        <v>65</v>
      </c>
      <c r="R847">
        <v>2</v>
      </c>
      <c r="T847">
        <v>8</v>
      </c>
    </row>
    <row r="848" spans="1:25" x14ac:dyDescent="0.35">
      <c r="C848">
        <v>3</v>
      </c>
      <c r="D848">
        <v>0</v>
      </c>
      <c r="E848">
        <v>60</v>
      </c>
      <c r="R848">
        <v>3</v>
      </c>
      <c r="T848">
        <v>2</v>
      </c>
    </row>
    <row r="849" spans="3:20" x14ac:dyDescent="0.35">
      <c r="C849">
        <v>4</v>
      </c>
      <c r="D849">
        <v>0</v>
      </c>
      <c r="E849">
        <v>45</v>
      </c>
      <c r="O849">
        <v>1</v>
      </c>
      <c r="R849">
        <v>2</v>
      </c>
      <c r="S849">
        <v>1</v>
      </c>
      <c r="T849">
        <v>2</v>
      </c>
    </row>
    <row r="850" spans="3:20" x14ac:dyDescent="0.35">
      <c r="C850">
        <v>5</v>
      </c>
      <c r="D850">
        <v>0</v>
      </c>
      <c r="E850">
        <v>40</v>
      </c>
      <c r="T850">
        <v>5</v>
      </c>
    </row>
    <row r="851" spans="3:20" x14ac:dyDescent="0.35">
      <c r="C851">
        <v>6</v>
      </c>
      <c r="D851">
        <v>2</v>
      </c>
      <c r="E851">
        <v>30</v>
      </c>
      <c r="R851">
        <v>1</v>
      </c>
      <c r="S851">
        <v>1</v>
      </c>
      <c r="T851">
        <v>1</v>
      </c>
    </row>
    <row r="852" spans="3:20" x14ac:dyDescent="0.35">
      <c r="C852">
        <v>7</v>
      </c>
      <c r="D852">
        <v>0</v>
      </c>
      <c r="E852">
        <v>42</v>
      </c>
      <c r="T852">
        <v>4</v>
      </c>
    </row>
    <row r="853" spans="3:20" x14ac:dyDescent="0.35">
      <c r="C853">
        <v>8</v>
      </c>
      <c r="D853">
        <v>4</v>
      </c>
      <c r="E853">
        <v>50</v>
      </c>
      <c r="I853">
        <v>1</v>
      </c>
      <c r="R853">
        <v>1</v>
      </c>
      <c r="T853">
        <v>2</v>
      </c>
    </row>
    <row r="854" spans="3:20" x14ac:dyDescent="0.35">
      <c r="C854">
        <v>9</v>
      </c>
      <c r="D854">
        <v>2</v>
      </c>
      <c r="E854">
        <v>20</v>
      </c>
    </row>
    <row r="855" spans="3:20" x14ac:dyDescent="0.35">
      <c r="C855">
        <v>1</v>
      </c>
      <c r="D855">
        <v>1</v>
      </c>
      <c r="E855">
        <v>65</v>
      </c>
      <c r="O855">
        <v>1</v>
      </c>
      <c r="P855">
        <v>1</v>
      </c>
      <c r="R855">
        <v>1</v>
      </c>
      <c r="T855">
        <v>2</v>
      </c>
    </row>
    <row r="856" spans="3:20" x14ac:dyDescent="0.35">
      <c r="C856">
        <v>2</v>
      </c>
      <c r="D856">
        <v>0</v>
      </c>
      <c r="E856">
        <v>65</v>
      </c>
      <c r="R856">
        <v>2</v>
      </c>
      <c r="T856">
        <v>3</v>
      </c>
    </row>
    <row r="857" spans="3:20" x14ac:dyDescent="0.35">
      <c r="C857">
        <v>3</v>
      </c>
      <c r="D857">
        <v>0</v>
      </c>
      <c r="E857">
        <v>50</v>
      </c>
      <c r="R857">
        <v>1</v>
      </c>
      <c r="T857">
        <v>7</v>
      </c>
    </row>
    <row r="858" spans="3:20" x14ac:dyDescent="0.35">
      <c r="C858">
        <v>4</v>
      </c>
      <c r="D858">
        <v>0</v>
      </c>
      <c r="E858">
        <v>40</v>
      </c>
    </row>
    <row r="859" spans="3:20" x14ac:dyDescent="0.35">
      <c r="C859">
        <v>5</v>
      </c>
      <c r="D859">
        <v>0</v>
      </c>
      <c r="E859">
        <v>19</v>
      </c>
      <c r="R859">
        <v>1</v>
      </c>
      <c r="T859">
        <v>1</v>
      </c>
    </row>
    <row r="860" spans="3:20" x14ac:dyDescent="0.35">
      <c r="C860">
        <v>6</v>
      </c>
      <c r="D860">
        <v>4</v>
      </c>
      <c r="E860">
        <v>20</v>
      </c>
    </row>
    <row r="861" spans="3:20" x14ac:dyDescent="0.35">
      <c r="C861">
        <v>7</v>
      </c>
      <c r="D861">
        <v>1</v>
      </c>
      <c r="E861">
        <v>50</v>
      </c>
      <c r="T861">
        <v>2</v>
      </c>
    </row>
    <row r="862" spans="3:20" x14ac:dyDescent="0.35">
      <c r="C862">
        <v>8</v>
      </c>
      <c r="D862">
        <v>2</v>
      </c>
      <c r="E862">
        <v>30</v>
      </c>
      <c r="M862" s="23">
        <v>1</v>
      </c>
      <c r="T862">
        <v>2</v>
      </c>
    </row>
    <row r="863" spans="3:20" x14ac:dyDescent="0.35">
      <c r="C863">
        <v>9</v>
      </c>
      <c r="D863">
        <v>0</v>
      </c>
      <c r="E863">
        <v>15</v>
      </c>
      <c r="T863">
        <v>4</v>
      </c>
    </row>
    <row r="864" spans="3:20" x14ac:dyDescent="0.35">
      <c r="C864">
        <v>1</v>
      </c>
      <c r="D864">
        <v>0</v>
      </c>
      <c r="E864">
        <v>50</v>
      </c>
      <c r="T864">
        <v>1</v>
      </c>
    </row>
    <row r="865" spans="3:23" x14ac:dyDescent="0.35">
      <c r="C865">
        <v>2</v>
      </c>
      <c r="D865">
        <v>0</v>
      </c>
      <c r="E865">
        <v>25</v>
      </c>
      <c r="T865">
        <v>3</v>
      </c>
    </row>
    <row r="866" spans="3:23" x14ac:dyDescent="0.35">
      <c r="C866">
        <v>3</v>
      </c>
      <c r="D866">
        <v>0</v>
      </c>
      <c r="E866">
        <v>20</v>
      </c>
      <c r="T866">
        <v>2</v>
      </c>
    </row>
    <row r="867" spans="3:23" x14ac:dyDescent="0.35">
      <c r="C867">
        <v>4</v>
      </c>
      <c r="D867">
        <v>5</v>
      </c>
      <c r="E867">
        <v>20</v>
      </c>
    </row>
    <row r="868" spans="3:23" x14ac:dyDescent="0.35">
      <c r="C868">
        <v>5</v>
      </c>
      <c r="D868">
        <v>1</v>
      </c>
      <c r="E868">
        <v>20</v>
      </c>
      <c r="R868">
        <v>2</v>
      </c>
    </row>
    <row r="869" spans="3:23" x14ac:dyDescent="0.35">
      <c r="C869">
        <v>6</v>
      </c>
      <c r="D869">
        <v>2</v>
      </c>
      <c r="E869">
        <v>20</v>
      </c>
    </row>
    <row r="870" spans="3:23" x14ac:dyDescent="0.35">
      <c r="C870">
        <v>7</v>
      </c>
      <c r="D870">
        <v>2</v>
      </c>
      <c r="E870">
        <v>15</v>
      </c>
      <c r="T870">
        <v>5</v>
      </c>
    </row>
    <row r="871" spans="3:23" x14ac:dyDescent="0.35">
      <c r="C871">
        <v>8</v>
      </c>
      <c r="D871">
        <v>2</v>
      </c>
      <c r="E871">
        <v>20</v>
      </c>
      <c r="R871">
        <v>4</v>
      </c>
      <c r="T871">
        <v>2</v>
      </c>
    </row>
    <row r="872" spans="3:23" s="4" customFormat="1" x14ac:dyDescent="0.35">
      <c r="C872" s="4">
        <v>9</v>
      </c>
      <c r="D872" s="4">
        <v>3</v>
      </c>
      <c r="E872" s="4">
        <v>20</v>
      </c>
      <c r="G872" s="7"/>
      <c r="T872" s="4">
        <v>4</v>
      </c>
    </row>
    <row r="874" spans="3:23" x14ac:dyDescent="0.35">
      <c r="D874">
        <f>SUM(D585:D872)</f>
        <v>1027</v>
      </c>
      <c r="E874">
        <f t="shared" ref="E874:W874" si="46">SUM(E585:E872)</f>
        <v>4271</v>
      </c>
      <c r="F874">
        <f t="shared" si="46"/>
        <v>5</v>
      </c>
      <c r="G874">
        <f t="shared" si="46"/>
        <v>1</v>
      </c>
      <c r="H874">
        <f t="shared" si="46"/>
        <v>8</v>
      </c>
      <c r="I874">
        <f t="shared" si="46"/>
        <v>4</v>
      </c>
      <c r="J874">
        <f t="shared" si="46"/>
        <v>0</v>
      </c>
      <c r="K874">
        <f t="shared" si="46"/>
        <v>0</v>
      </c>
      <c r="L874">
        <f t="shared" si="46"/>
        <v>0</v>
      </c>
      <c r="M874">
        <f t="shared" si="46"/>
        <v>1</v>
      </c>
      <c r="N874">
        <f t="shared" si="46"/>
        <v>0</v>
      </c>
      <c r="O874">
        <f t="shared" si="46"/>
        <v>4</v>
      </c>
      <c r="P874">
        <f t="shared" si="46"/>
        <v>2</v>
      </c>
      <c r="Q874">
        <f t="shared" si="46"/>
        <v>0</v>
      </c>
      <c r="R874">
        <f t="shared" si="46"/>
        <v>138</v>
      </c>
      <c r="S874">
        <f t="shared" si="46"/>
        <v>15</v>
      </c>
      <c r="T874">
        <f t="shared" si="46"/>
        <v>1025</v>
      </c>
      <c r="U874">
        <f t="shared" si="46"/>
        <v>5</v>
      </c>
      <c r="V874">
        <f t="shared" si="46"/>
        <v>1</v>
      </c>
      <c r="W874">
        <f t="shared" si="46"/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8965"/>
  <sheetViews>
    <sheetView topLeftCell="A7267" zoomScale="84" zoomScaleNormal="84" workbookViewId="0">
      <selection activeCell="M8506" sqref="M8506"/>
    </sheetView>
  </sheetViews>
  <sheetFormatPr defaultRowHeight="14.5" x14ac:dyDescent="0.35"/>
  <cols>
    <col min="1" max="1" width="13.26953125" customWidth="1"/>
    <col min="2" max="2" width="20.1796875" style="70" customWidth="1"/>
    <col min="3" max="3" width="12.81640625" customWidth="1"/>
    <col min="4" max="4" width="11.54296875" customWidth="1"/>
    <col min="5" max="5" width="13.7265625" customWidth="1"/>
    <col min="15" max="15" width="13.26953125" customWidth="1"/>
    <col min="16" max="16" width="15.453125" customWidth="1"/>
  </cols>
  <sheetData>
    <row r="1" spans="1:5" x14ac:dyDescent="0.35">
      <c r="A1" t="s">
        <v>0</v>
      </c>
      <c r="B1" s="70" t="s">
        <v>1</v>
      </c>
      <c r="C1" t="s">
        <v>30</v>
      </c>
      <c r="D1" t="s">
        <v>35</v>
      </c>
      <c r="E1" t="s">
        <v>31</v>
      </c>
    </row>
    <row r="2" spans="1:5" x14ac:dyDescent="0.35">
      <c r="A2" s="2">
        <v>42433</v>
      </c>
      <c r="B2" s="70" t="s">
        <v>29</v>
      </c>
      <c r="C2">
        <v>67</v>
      </c>
      <c r="D2">
        <v>200</v>
      </c>
      <c r="E2" t="s">
        <v>34</v>
      </c>
    </row>
    <row r="3" spans="1:5" x14ac:dyDescent="0.35">
      <c r="A3" s="2">
        <v>42433</v>
      </c>
      <c r="B3" s="70" t="s">
        <v>29</v>
      </c>
      <c r="C3">
        <v>64</v>
      </c>
      <c r="D3">
        <v>200</v>
      </c>
      <c r="E3" t="s">
        <v>33</v>
      </c>
    </row>
    <row r="4" spans="1:5" x14ac:dyDescent="0.35">
      <c r="A4" s="2">
        <v>42433</v>
      </c>
      <c r="B4" s="70" t="s">
        <v>29</v>
      </c>
      <c r="C4">
        <v>72</v>
      </c>
      <c r="D4">
        <v>300</v>
      </c>
      <c r="E4" t="s">
        <v>32</v>
      </c>
    </row>
    <row r="5" spans="1:5" x14ac:dyDescent="0.35">
      <c r="A5" s="2">
        <v>42433</v>
      </c>
      <c r="B5" s="70" t="s">
        <v>29</v>
      </c>
      <c r="C5">
        <v>67</v>
      </c>
      <c r="D5">
        <v>200</v>
      </c>
      <c r="E5" t="s">
        <v>34</v>
      </c>
    </row>
    <row r="6" spans="1:5" s="4" customFormat="1" x14ac:dyDescent="0.35">
      <c r="A6" s="3">
        <v>42433</v>
      </c>
      <c r="B6" s="44" t="s">
        <v>29</v>
      </c>
      <c r="C6" s="4">
        <v>67</v>
      </c>
      <c r="D6" s="4">
        <v>300</v>
      </c>
      <c r="E6" s="4" t="s">
        <v>34</v>
      </c>
    </row>
    <row r="7" spans="1:5" x14ac:dyDescent="0.35">
      <c r="A7" s="2">
        <v>42440</v>
      </c>
      <c r="B7" s="70" t="s">
        <v>29</v>
      </c>
      <c r="C7">
        <v>76</v>
      </c>
      <c r="D7">
        <v>358</v>
      </c>
      <c r="E7" t="s">
        <v>32</v>
      </c>
    </row>
    <row r="8" spans="1:5" x14ac:dyDescent="0.35">
      <c r="A8" s="2">
        <v>42440</v>
      </c>
      <c r="B8" s="70" t="s">
        <v>29</v>
      </c>
      <c r="C8">
        <v>78</v>
      </c>
      <c r="D8">
        <v>394</v>
      </c>
      <c r="E8" t="s">
        <v>32</v>
      </c>
    </row>
    <row r="9" spans="1:5" x14ac:dyDescent="0.35">
      <c r="A9" s="2">
        <v>42440</v>
      </c>
      <c r="B9" s="70" t="s">
        <v>29</v>
      </c>
      <c r="C9">
        <v>80</v>
      </c>
      <c r="D9">
        <v>425</v>
      </c>
      <c r="E9" t="s">
        <v>36</v>
      </c>
    </row>
    <row r="10" spans="1:5" s="4" customFormat="1" x14ac:dyDescent="0.35">
      <c r="A10" s="3">
        <v>42440</v>
      </c>
      <c r="B10" s="44" t="s">
        <v>29</v>
      </c>
      <c r="C10" s="4">
        <v>80</v>
      </c>
      <c r="D10" s="4">
        <v>510</v>
      </c>
      <c r="E10" s="4" t="s">
        <v>37</v>
      </c>
    </row>
    <row r="11" spans="1:5" x14ac:dyDescent="0.35">
      <c r="A11" s="2">
        <v>42440</v>
      </c>
      <c r="B11" s="70" t="s">
        <v>38</v>
      </c>
      <c r="C11">
        <v>66</v>
      </c>
      <c r="D11">
        <v>231</v>
      </c>
      <c r="E11" t="s">
        <v>39</v>
      </c>
    </row>
    <row r="12" spans="1:5" x14ac:dyDescent="0.35">
      <c r="A12" s="2">
        <v>42440</v>
      </c>
      <c r="B12" s="70" t="s">
        <v>38</v>
      </c>
      <c r="C12">
        <v>78</v>
      </c>
      <c r="D12">
        <v>383</v>
      </c>
      <c r="E12" t="s">
        <v>33</v>
      </c>
    </row>
    <row r="13" spans="1:5" x14ac:dyDescent="0.35">
      <c r="A13" s="2">
        <v>42440</v>
      </c>
      <c r="B13" s="70" t="s">
        <v>38</v>
      </c>
      <c r="C13">
        <v>69</v>
      </c>
      <c r="D13">
        <v>266</v>
      </c>
      <c r="E13" t="s">
        <v>36</v>
      </c>
    </row>
    <row r="14" spans="1:5" x14ac:dyDescent="0.35">
      <c r="A14" s="2">
        <v>42440</v>
      </c>
      <c r="B14" s="70" t="s">
        <v>38</v>
      </c>
      <c r="C14">
        <v>74</v>
      </c>
      <c r="D14">
        <v>320</v>
      </c>
      <c r="E14" t="s">
        <v>33</v>
      </c>
    </row>
    <row r="15" spans="1:5" x14ac:dyDescent="0.35">
      <c r="A15" s="2">
        <v>42440</v>
      </c>
      <c r="B15" s="70" t="s">
        <v>38</v>
      </c>
      <c r="C15">
        <v>64</v>
      </c>
      <c r="D15">
        <v>174</v>
      </c>
      <c r="E15" t="s">
        <v>36</v>
      </c>
    </row>
    <row r="16" spans="1:5" x14ac:dyDescent="0.35">
      <c r="A16" s="2">
        <v>42440</v>
      </c>
      <c r="B16" s="70" t="s">
        <v>38</v>
      </c>
      <c r="C16">
        <v>72</v>
      </c>
      <c r="D16">
        <v>371</v>
      </c>
      <c r="E16" t="s">
        <v>32</v>
      </c>
    </row>
    <row r="17" spans="1:5" x14ac:dyDescent="0.35">
      <c r="A17" s="2">
        <v>42440</v>
      </c>
      <c r="B17" s="70" t="s">
        <v>38</v>
      </c>
      <c r="C17">
        <v>72</v>
      </c>
      <c r="D17">
        <v>364</v>
      </c>
      <c r="E17" t="s">
        <v>34</v>
      </c>
    </row>
    <row r="18" spans="1:5" x14ac:dyDescent="0.35">
      <c r="A18" s="2">
        <v>42440</v>
      </c>
      <c r="B18" s="70" t="s">
        <v>38</v>
      </c>
      <c r="C18">
        <v>77</v>
      </c>
      <c r="D18">
        <v>353</v>
      </c>
      <c r="E18" t="s">
        <v>34</v>
      </c>
    </row>
    <row r="19" spans="1:5" x14ac:dyDescent="0.35">
      <c r="A19" s="2">
        <v>42440</v>
      </c>
      <c r="B19" s="70" t="s">
        <v>38</v>
      </c>
      <c r="C19">
        <v>72</v>
      </c>
      <c r="D19">
        <v>330</v>
      </c>
      <c r="E19" t="s">
        <v>34</v>
      </c>
    </row>
    <row r="20" spans="1:5" x14ac:dyDescent="0.35">
      <c r="A20" s="2">
        <v>42440</v>
      </c>
      <c r="B20" s="70" t="s">
        <v>38</v>
      </c>
      <c r="C20">
        <v>77</v>
      </c>
      <c r="D20">
        <v>351</v>
      </c>
      <c r="E20" t="s">
        <v>39</v>
      </c>
    </row>
    <row r="21" spans="1:5" x14ac:dyDescent="0.35">
      <c r="A21" s="2">
        <v>42440</v>
      </c>
      <c r="B21" s="70" t="s">
        <v>38</v>
      </c>
      <c r="C21">
        <v>71</v>
      </c>
      <c r="D21">
        <v>293</v>
      </c>
      <c r="E21" t="s">
        <v>36</v>
      </c>
    </row>
    <row r="22" spans="1:5" x14ac:dyDescent="0.35">
      <c r="A22" s="2">
        <v>42440</v>
      </c>
      <c r="B22" s="70" t="s">
        <v>38</v>
      </c>
      <c r="C22">
        <v>76</v>
      </c>
      <c r="D22">
        <v>357</v>
      </c>
      <c r="E22" t="s">
        <v>39</v>
      </c>
    </row>
    <row r="23" spans="1:5" x14ac:dyDescent="0.35">
      <c r="A23" s="2">
        <v>42440</v>
      </c>
      <c r="B23" s="70" t="s">
        <v>38</v>
      </c>
      <c r="C23">
        <v>65</v>
      </c>
      <c r="D23">
        <v>230</v>
      </c>
      <c r="E23" t="s">
        <v>40</v>
      </c>
    </row>
    <row r="24" spans="1:5" x14ac:dyDescent="0.35">
      <c r="A24" s="2">
        <v>42440</v>
      </c>
      <c r="B24" s="70" t="s">
        <v>38</v>
      </c>
      <c r="C24">
        <v>74</v>
      </c>
      <c r="D24">
        <v>313</v>
      </c>
      <c r="E24" t="s">
        <v>39</v>
      </c>
    </row>
    <row r="25" spans="1:5" x14ac:dyDescent="0.35">
      <c r="A25" s="2">
        <v>42440</v>
      </c>
      <c r="B25" s="70" t="s">
        <v>38</v>
      </c>
      <c r="C25">
        <v>73</v>
      </c>
      <c r="D25">
        <v>290</v>
      </c>
      <c r="E25" t="s">
        <v>40</v>
      </c>
    </row>
    <row r="26" spans="1:5" x14ac:dyDescent="0.35">
      <c r="A26" s="2">
        <v>42440</v>
      </c>
      <c r="B26" s="70" t="s">
        <v>38</v>
      </c>
      <c r="C26">
        <v>73</v>
      </c>
      <c r="D26">
        <v>344</v>
      </c>
      <c r="E26" t="s">
        <v>36</v>
      </c>
    </row>
    <row r="27" spans="1:5" x14ac:dyDescent="0.35">
      <c r="A27" s="2">
        <v>42440</v>
      </c>
      <c r="B27" s="70" t="s">
        <v>38</v>
      </c>
      <c r="C27">
        <v>74</v>
      </c>
      <c r="D27">
        <v>360</v>
      </c>
      <c r="E27" t="s">
        <v>33</v>
      </c>
    </row>
    <row r="28" spans="1:5" x14ac:dyDescent="0.35">
      <c r="A28" s="2">
        <v>42440</v>
      </c>
      <c r="B28" s="70" t="s">
        <v>38</v>
      </c>
      <c r="C28">
        <v>67</v>
      </c>
      <c r="D28">
        <v>300</v>
      </c>
      <c r="E28" t="s">
        <v>32</v>
      </c>
    </row>
    <row r="29" spans="1:5" x14ac:dyDescent="0.35">
      <c r="A29" s="2">
        <v>42440</v>
      </c>
      <c r="B29" s="70" t="s">
        <v>38</v>
      </c>
      <c r="C29">
        <v>77</v>
      </c>
      <c r="D29">
        <v>368</v>
      </c>
      <c r="E29" t="s">
        <v>34</v>
      </c>
    </row>
    <row r="30" spans="1:5" x14ac:dyDescent="0.35">
      <c r="A30" s="2">
        <v>42440</v>
      </c>
      <c r="B30" s="70" t="s">
        <v>38</v>
      </c>
      <c r="C30">
        <v>73</v>
      </c>
      <c r="D30">
        <v>339</v>
      </c>
      <c r="E30" t="s">
        <v>39</v>
      </c>
    </row>
    <row r="31" spans="1:5" x14ac:dyDescent="0.35">
      <c r="A31" s="2">
        <v>42440</v>
      </c>
      <c r="B31" s="70" t="s">
        <v>38</v>
      </c>
      <c r="C31">
        <v>73</v>
      </c>
      <c r="D31">
        <v>404</v>
      </c>
      <c r="E31" t="s">
        <v>36</v>
      </c>
    </row>
    <row r="32" spans="1:5" x14ac:dyDescent="0.35">
      <c r="A32" s="2">
        <v>42440</v>
      </c>
      <c r="B32" s="70" t="s">
        <v>38</v>
      </c>
      <c r="C32">
        <v>69</v>
      </c>
      <c r="D32">
        <v>271</v>
      </c>
      <c r="E32" t="s">
        <v>36</v>
      </c>
    </row>
    <row r="33" spans="1:8" x14ac:dyDescent="0.35">
      <c r="A33" s="2">
        <v>42440</v>
      </c>
      <c r="B33" s="70" t="s">
        <v>38</v>
      </c>
      <c r="C33">
        <v>75</v>
      </c>
      <c r="D33">
        <v>365</v>
      </c>
      <c r="E33" t="s">
        <v>36</v>
      </c>
    </row>
    <row r="34" spans="1:8" x14ac:dyDescent="0.35">
      <c r="A34" s="2">
        <v>42440</v>
      </c>
      <c r="B34" s="70" t="s">
        <v>38</v>
      </c>
      <c r="C34">
        <v>75</v>
      </c>
      <c r="D34">
        <v>328</v>
      </c>
      <c r="E34" t="s">
        <v>36</v>
      </c>
    </row>
    <row r="35" spans="1:8" x14ac:dyDescent="0.35">
      <c r="A35" s="2">
        <v>42440</v>
      </c>
      <c r="B35" s="70" t="s">
        <v>38</v>
      </c>
      <c r="C35">
        <v>70</v>
      </c>
      <c r="D35">
        <v>304</v>
      </c>
      <c r="E35" t="s">
        <v>39</v>
      </c>
    </row>
    <row r="36" spans="1:8" x14ac:dyDescent="0.35">
      <c r="A36" s="2">
        <v>42440</v>
      </c>
      <c r="B36" s="70" t="s">
        <v>38</v>
      </c>
      <c r="C36">
        <v>65</v>
      </c>
      <c r="D36">
        <v>231</v>
      </c>
      <c r="E36" t="s">
        <v>36</v>
      </c>
    </row>
    <row r="37" spans="1:8" x14ac:dyDescent="0.35">
      <c r="A37" s="2">
        <v>42440</v>
      </c>
      <c r="B37" s="70" t="s">
        <v>38</v>
      </c>
      <c r="C37">
        <v>71</v>
      </c>
      <c r="D37">
        <v>316</v>
      </c>
      <c r="E37" t="s">
        <v>40</v>
      </c>
    </row>
    <row r="38" spans="1:8" x14ac:dyDescent="0.35">
      <c r="A38" s="2">
        <v>42440</v>
      </c>
      <c r="B38" s="70" t="s">
        <v>38</v>
      </c>
      <c r="C38">
        <v>74</v>
      </c>
      <c r="D38">
        <v>355</v>
      </c>
      <c r="E38" t="s">
        <v>34</v>
      </c>
    </row>
    <row r="39" spans="1:8" x14ac:dyDescent="0.35">
      <c r="A39" s="2">
        <v>42440</v>
      </c>
      <c r="B39" s="70" t="s">
        <v>38</v>
      </c>
      <c r="C39">
        <v>72</v>
      </c>
      <c r="D39">
        <v>306</v>
      </c>
      <c r="E39" t="s">
        <v>33</v>
      </c>
    </row>
    <row r="40" spans="1:8" x14ac:dyDescent="0.35">
      <c r="A40" s="2">
        <v>42440</v>
      </c>
      <c r="B40" s="70" t="s">
        <v>38</v>
      </c>
      <c r="C40">
        <v>67</v>
      </c>
      <c r="D40">
        <v>212</v>
      </c>
      <c r="E40" t="s">
        <v>40</v>
      </c>
    </row>
    <row r="41" spans="1:8" x14ac:dyDescent="0.35">
      <c r="A41" s="2">
        <v>42440</v>
      </c>
      <c r="B41" s="70" t="s">
        <v>38</v>
      </c>
      <c r="C41">
        <v>73</v>
      </c>
      <c r="D41">
        <v>322</v>
      </c>
      <c r="E41" t="s">
        <v>34</v>
      </c>
    </row>
    <row r="42" spans="1:8" x14ac:dyDescent="0.35">
      <c r="A42" s="2">
        <v>42440</v>
      </c>
      <c r="B42" s="70" t="s">
        <v>38</v>
      </c>
      <c r="C42">
        <v>75</v>
      </c>
      <c r="D42">
        <v>376</v>
      </c>
      <c r="E42" t="s">
        <v>34</v>
      </c>
    </row>
    <row r="43" spans="1:8" x14ac:dyDescent="0.35">
      <c r="A43" s="2">
        <v>42440</v>
      </c>
      <c r="B43" s="70" t="s">
        <v>38</v>
      </c>
      <c r="C43">
        <v>70</v>
      </c>
      <c r="D43">
        <v>279</v>
      </c>
      <c r="E43" t="s">
        <v>39</v>
      </c>
    </row>
    <row r="44" spans="1:8" x14ac:dyDescent="0.35">
      <c r="A44" s="2">
        <v>42440</v>
      </c>
      <c r="B44" s="70" t="s">
        <v>38</v>
      </c>
      <c r="C44">
        <v>70</v>
      </c>
      <c r="D44">
        <v>303</v>
      </c>
      <c r="E44" t="s">
        <v>39</v>
      </c>
    </row>
    <row r="45" spans="1:8" x14ac:dyDescent="0.35">
      <c r="A45" s="2">
        <v>42440</v>
      </c>
      <c r="B45" s="70" t="s">
        <v>38</v>
      </c>
      <c r="C45">
        <v>76</v>
      </c>
      <c r="D45">
        <v>424</v>
      </c>
      <c r="E45" t="s">
        <v>40</v>
      </c>
    </row>
    <row r="46" spans="1:8" x14ac:dyDescent="0.35">
      <c r="A46" s="2">
        <v>42440</v>
      </c>
      <c r="B46" s="70" t="s">
        <v>38</v>
      </c>
      <c r="C46">
        <v>75</v>
      </c>
      <c r="D46">
        <v>343</v>
      </c>
      <c r="E46" t="s">
        <v>34</v>
      </c>
      <c r="H46" s="42"/>
    </row>
    <row r="47" spans="1:8" x14ac:dyDescent="0.35">
      <c r="A47" s="2">
        <v>42440</v>
      </c>
      <c r="B47" s="70" t="s">
        <v>38</v>
      </c>
      <c r="C47">
        <v>75</v>
      </c>
      <c r="D47">
        <v>308</v>
      </c>
      <c r="E47" t="s">
        <v>39</v>
      </c>
    </row>
    <row r="48" spans="1:8" x14ac:dyDescent="0.35">
      <c r="A48" s="2">
        <v>42440</v>
      </c>
      <c r="B48" s="70" t="s">
        <v>38</v>
      </c>
      <c r="C48">
        <v>69</v>
      </c>
      <c r="D48">
        <v>316</v>
      </c>
      <c r="E48" t="s">
        <v>36</v>
      </c>
    </row>
    <row r="49" spans="1:17" x14ac:dyDescent="0.35">
      <c r="A49" s="2">
        <v>42440</v>
      </c>
      <c r="B49" s="70" t="s">
        <v>38</v>
      </c>
      <c r="C49">
        <v>72</v>
      </c>
      <c r="D49">
        <v>324</v>
      </c>
      <c r="E49" t="s">
        <v>39</v>
      </c>
    </row>
    <row r="50" spans="1:17" x14ac:dyDescent="0.35">
      <c r="A50" s="2">
        <v>42440</v>
      </c>
      <c r="B50" s="70" t="s">
        <v>38</v>
      </c>
      <c r="C50">
        <v>73</v>
      </c>
      <c r="D50">
        <v>351</v>
      </c>
      <c r="E50" t="s">
        <v>32</v>
      </c>
    </row>
    <row r="51" spans="1:17" x14ac:dyDescent="0.35">
      <c r="A51" s="2">
        <v>42440</v>
      </c>
      <c r="B51" s="70" t="s">
        <v>38</v>
      </c>
      <c r="C51">
        <v>71</v>
      </c>
      <c r="D51">
        <v>250</v>
      </c>
      <c r="E51" t="s">
        <v>34</v>
      </c>
    </row>
    <row r="52" spans="1:17" x14ac:dyDescent="0.35">
      <c r="A52" s="2">
        <v>42440</v>
      </c>
      <c r="B52" s="70" t="s">
        <v>38</v>
      </c>
      <c r="C52">
        <v>75</v>
      </c>
      <c r="D52">
        <v>378</v>
      </c>
      <c r="E52" t="s">
        <v>34</v>
      </c>
    </row>
    <row r="53" spans="1:17" x14ac:dyDescent="0.35">
      <c r="A53" s="2">
        <v>42440</v>
      </c>
      <c r="B53" s="70" t="s">
        <v>38</v>
      </c>
      <c r="C53">
        <v>68</v>
      </c>
      <c r="D53">
        <v>302</v>
      </c>
      <c r="E53" t="s">
        <v>39</v>
      </c>
    </row>
    <row r="54" spans="1:17" x14ac:dyDescent="0.35">
      <c r="A54" s="2">
        <v>42440</v>
      </c>
      <c r="B54" s="70" t="s">
        <v>38</v>
      </c>
      <c r="C54">
        <v>77</v>
      </c>
      <c r="D54">
        <v>385</v>
      </c>
      <c r="E54" t="s">
        <v>34</v>
      </c>
      <c r="G54" t="s">
        <v>42</v>
      </c>
      <c r="H54" t="s">
        <v>39</v>
      </c>
      <c r="I54" t="s">
        <v>40</v>
      </c>
      <c r="J54" t="s">
        <v>36</v>
      </c>
      <c r="K54" t="s">
        <v>33</v>
      </c>
      <c r="L54" t="s">
        <v>34</v>
      </c>
      <c r="M54" t="s">
        <v>32</v>
      </c>
      <c r="N54" t="s">
        <v>37</v>
      </c>
      <c r="P54" t="s">
        <v>155</v>
      </c>
      <c r="Q54" t="s">
        <v>156</v>
      </c>
    </row>
    <row r="55" spans="1:17" x14ac:dyDescent="0.35">
      <c r="A55" s="2">
        <v>42440</v>
      </c>
      <c r="B55" s="70" t="s">
        <v>38</v>
      </c>
      <c r="C55">
        <v>77</v>
      </c>
      <c r="D55">
        <v>373</v>
      </c>
      <c r="E55" t="s">
        <v>32</v>
      </c>
      <c r="G55" s="5">
        <f>COUNTIF(E7:E62,"VA")</f>
        <v>0</v>
      </c>
      <c r="H55" s="5">
        <f>COUNTIF(E7:E62,"VB")</f>
        <v>13</v>
      </c>
      <c r="I55" s="5">
        <f>COUNTIF(E7:E62,"VIA0")</f>
        <v>5</v>
      </c>
      <c r="J55" s="5">
        <f>COUNTIF(E7:E62,"VIA1")</f>
        <v>11</v>
      </c>
      <c r="K55" s="5">
        <f>COUNTIF(E7:E62,"VIA2")</f>
        <v>5</v>
      </c>
      <c r="L55" s="5">
        <v>19</v>
      </c>
      <c r="M55" s="5">
        <v>2</v>
      </c>
      <c r="N55" s="5">
        <f>COUNTIF(E7:E62,"VIB")</f>
        <v>1</v>
      </c>
      <c r="P55" s="7">
        <f>AVERAGE(C7:C62)</f>
        <v>72.821428571428569</v>
      </c>
      <c r="Q55" s="7">
        <f>AVERAGE(D7:D62)</f>
        <v>330.80357142857144</v>
      </c>
    </row>
    <row r="56" spans="1:17" x14ac:dyDescent="0.35">
      <c r="A56" s="2">
        <v>42440</v>
      </c>
      <c r="B56" s="70" t="s">
        <v>38</v>
      </c>
      <c r="C56">
        <v>71</v>
      </c>
      <c r="D56">
        <v>330</v>
      </c>
      <c r="E56" t="s">
        <v>39</v>
      </c>
      <c r="G56" s="6">
        <f>G55/56*100</f>
        <v>0</v>
      </c>
      <c r="H56" s="6">
        <f t="shared" ref="H56:N56" si="0">H55/56*100</f>
        <v>23.214285714285715</v>
      </c>
      <c r="I56" s="6">
        <f t="shared" si="0"/>
        <v>8.9285714285714288</v>
      </c>
      <c r="J56" s="6">
        <f t="shared" si="0"/>
        <v>19.642857142857142</v>
      </c>
      <c r="K56" s="6">
        <f t="shared" si="0"/>
        <v>8.9285714285714288</v>
      </c>
      <c r="L56" s="6">
        <f t="shared" si="0"/>
        <v>33.928571428571431</v>
      </c>
      <c r="M56" s="6">
        <f t="shared" si="0"/>
        <v>3.5714285714285712</v>
      </c>
      <c r="N56" s="6">
        <f t="shared" si="0"/>
        <v>1.7857142857142856</v>
      </c>
      <c r="O56" s="6">
        <f>SUM(G56:N56)</f>
        <v>100.00000000000001</v>
      </c>
      <c r="P56" s="4"/>
      <c r="Q56" s="4"/>
    </row>
    <row r="57" spans="1:17" x14ac:dyDescent="0.35">
      <c r="A57" s="2">
        <v>42440</v>
      </c>
      <c r="B57" s="70" t="s">
        <v>38</v>
      </c>
      <c r="C57">
        <v>74</v>
      </c>
      <c r="D57">
        <v>358</v>
      </c>
      <c r="E57" t="s">
        <v>39</v>
      </c>
    </row>
    <row r="58" spans="1:17" x14ac:dyDescent="0.35">
      <c r="A58" s="2">
        <v>42440</v>
      </c>
      <c r="B58" s="70" t="s">
        <v>38</v>
      </c>
      <c r="C58">
        <v>69</v>
      </c>
      <c r="D58">
        <v>304</v>
      </c>
      <c r="E58" t="s">
        <v>34</v>
      </c>
    </row>
    <row r="59" spans="1:17" x14ac:dyDescent="0.35">
      <c r="A59" s="2">
        <v>42440</v>
      </c>
      <c r="B59" s="70" t="s">
        <v>38</v>
      </c>
      <c r="C59">
        <v>74</v>
      </c>
      <c r="D59">
        <v>317</v>
      </c>
      <c r="E59" t="s">
        <v>34</v>
      </c>
      <c r="F59" t="s">
        <v>282</v>
      </c>
    </row>
    <row r="60" spans="1:17" x14ac:dyDescent="0.35">
      <c r="A60" s="2">
        <v>42440</v>
      </c>
      <c r="B60" s="70" t="s">
        <v>38</v>
      </c>
      <c r="C60">
        <v>79</v>
      </c>
      <c r="D60">
        <v>376</v>
      </c>
      <c r="E60" t="s">
        <v>34</v>
      </c>
      <c r="G60" t="s">
        <v>42</v>
      </c>
      <c r="H60" t="s">
        <v>39</v>
      </c>
      <c r="I60" t="s">
        <v>40</v>
      </c>
      <c r="J60" t="s">
        <v>36</v>
      </c>
      <c r="K60" t="s">
        <v>33</v>
      </c>
      <c r="L60" t="s">
        <v>34</v>
      </c>
      <c r="M60" t="s">
        <v>32</v>
      </c>
      <c r="N60" t="s">
        <v>37</v>
      </c>
      <c r="P60" t="s">
        <v>155</v>
      </c>
      <c r="Q60" t="s">
        <v>156</v>
      </c>
    </row>
    <row r="61" spans="1:17" x14ac:dyDescent="0.35">
      <c r="A61" s="2">
        <v>42440</v>
      </c>
      <c r="B61" s="70" t="s">
        <v>38</v>
      </c>
      <c r="C61">
        <v>74</v>
      </c>
      <c r="D61">
        <v>372</v>
      </c>
      <c r="E61" t="s">
        <v>33</v>
      </c>
      <c r="G61" s="5">
        <f>COUNTIF(E11:E62,"VA")</f>
        <v>0</v>
      </c>
      <c r="H61" s="5">
        <f>COUNTIF(E11:E62,"VB")</f>
        <v>13</v>
      </c>
      <c r="I61" s="5">
        <f>COUNTIF(E11:E62,"VIA0")</f>
        <v>5</v>
      </c>
      <c r="J61" s="5">
        <f>COUNTIF(E11:E62,"VIA1")</f>
        <v>10</v>
      </c>
      <c r="K61" s="5">
        <f>COUNTIF(E11:E62,"VIA2")</f>
        <v>5</v>
      </c>
      <c r="L61" s="5">
        <v>18</v>
      </c>
      <c r="M61" s="5">
        <v>1</v>
      </c>
      <c r="N61" s="5">
        <f>COUNTIF(E11:E62,"VIB")</f>
        <v>0</v>
      </c>
      <c r="P61" s="7">
        <f>AVERAGE(C11:C62)</f>
        <v>72.384615384615387</v>
      </c>
      <c r="Q61" s="8">
        <f>AVERAGE(D11:D62)</f>
        <v>323.80769230769232</v>
      </c>
    </row>
    <row r="62" spans="1:17" s="4" customFormat="1" x14ac:dyDescent="0.35">
      <c r="A62" s="3">
        <v>42440</v>
      </c>
      <c r="B62" s="44" t="s">
        <v>38</v>
      </c>
      <c r="C62" s="4">
        <v>72</v>
      </c>
      <c r="D62" s="4">
        <v>318</v>
      </c>
      <c r="E62" s="4" t="s">
        <v>34</v>
      </c>
      <c r="G62" s="6">
        <f t="shared" ref="G62:N62" si="1">G61/52*100</f>
        <v>0</v>
      </c>
      <c r="H62" s="6">
        <f t="shared" si="1"/>
        <v>25</v>
      </c>
      <c r="I62" s="6">
        <f t="shared" si="1"/>
        <v>9.6153846153846168</v>
      </c>
      <c r="J62" s="6">
        <f t="shared" si="1"/>
        <v>19.230769230769234</v>
      </c>
      <c r="K62" s="6">
        <f t="shared" si="1"/>
        <v>9.6153846153846168</v>
      </c>
      <c r="L62" s="6">
        <f t="shared" si="1"/>
        <v>34.615384615384613</v>
      </c>
      <c r="M62" s="6">
        <f t="shared" si="1"/>
        <v>1.9230769230769231</v>
      </c>
      <c r="N62" s="6">
        <f t="shared" si="1"/>
        <v>0</v>
      </c>
      <c r="O62" s="6">
        <f>SUM(G62:N62)</f>
        <v>100</v>
      </c>
    </row>
    <row r="63" spans="1:17" x14ac:dyDescent="0.35">
      <c r="A63" s="2">
        <v>42441</v>
      </c>
      <c r="B63" s="70" t="s">
        <v>41</v>
      </c>
      <c r="C63">
        <v>73</v>
      </c>
      <c r="D63">
        <v>332</v>
      </c>
      <c r="E63" t="s">
        <v>36</v>
      </c>
    </row>
    <row r="64" spans="1:17" x14ac:dyDescent="0.35">
      <c r="A64" s="2">
        <v>42441</v>
      </c>
      <c r="B64" s="70" t="s">
        <v>41</v>
      </c>
      <c r="C64">
        <v>75</v>
      </c>
      <c r="D64">
        <v>341</v>
      </c>
      <c r="E64" t="s">
        <v>36</v>
      </c>
    </row>
    <row r="65" spans="1:5" x14ac:dyDescent="0.35">
      <c r="A65" s="2">
        <v>42441</v>
      </c>
      <c r="B65" s="70" t="s">
        <v>41</v>
      </c>
      <c r="C65">
        <v>75</v>
      </c>
      <c r="D65">
        <v>406</v>
      </c>
      <c r="E65" t="s">
        <v>40</v>
      </c>
    </row>
    <row r="66" spans="1:5" x14ac:dyDescent="0.35">
      <c r="A66" s="2">
        <v>42441</v>
      </c>
      <c r="B66" s="70" t="s">
        <v>41</v>
      </c>
      <c r="C66">
        <v>67</v>
      </c>
      <c r="D66">
        <v>263</v>
      </c>
      <c r="E66" t="s">
        <v>34</v>
      </c>
    </row>
    <row r="67" spans="1:5" x14ac:dyDescent="0.35">
      <c r="A67" s="2">
        <v>42441</v>
      </c>
      <c r="B67" s="70" t="s">
        <v>41</v>
      </c>
      <c r="C67">
        <v>75</v>
      </c>
      <c r="D67">
        <v>298</v>
      </c>
      <c r="E67" t="s">
        <v>33</v>
      </c>
    </row>
    <row r="68" spans="1:5" x14ac:dyDescent="0.35">
      <c r="A68" s="2">
        <v>42441</v>
      </c>
      <c r="B68" s="70" t="s">
        <v>41</v>
      </c>
      <c r="C68">
        <v>77</v>
      </c>
      <c r="D68">
        <v>352</v>
      </c>
      <c r="E68" t="s">
        <v>36</v>
      </c>
    </row>
    <row r="69" spans="1:5" x14ac:dyDescent="0.35">
      <c r="A69" s="2">
        <v>42441</v>
      </c>
      <c r="B69" s="70" t="s">
        <v>41</v>
      </c>
      <c r="C69">
        <v>71</v>
      </c>
      <c r="D69">
        <v>349</v>
      </c>
      <c r="E69" t="s">
        <v>33</v>
      </c>
    </row>
    <row r="70" spans="1:5" x14ac:dyDescent="0.35">
      <c r="A70" s="2">
        <v>42441</v>
      </c>
      <c r="B70" s="70" t="s">
        <v>41</v>
      </c>
      <c r="C70">
        <v>73</v>
      </c>
      <c r="D70">
        <v>385</v>
      </c>
      <c r="E70" t="s">
        <v>33</v>
      </c>
    </row>
    <row r="71" spans="1:5" x14ac:dyDescent="0.35">
      <c r="A71" s="2">
        <v>42441</v>
      </c>
      <c r="B71" s="70" t="s">
        <v>41</v>
      </c>
      <c r="C71">
        <v>78</v>
      </c>
      <c r="D71">
        <v>380</v>
      </c>
      <c r="E71" t="s">
        <v>33</v>
      </c>
    </row>
    <row r="72" spans="1:5" x14ac:dyDescent="0.35">
      <c r="A72" s="2">
        <v>42441</v>
      </c>
      <c r="B72" s="70" t="s">
        <v>41</v>
      </c>
      <c r="C72">
        <v>71</v>
      </c>
      <c r="D72">
        <v>335</v>
      </c>
      <c r="E72" t="s">
        <v>40</v>
      </c>
    </row>
    <row r="73" spans="1:5" x14ac:dyDescent="0.35">
      <c r="A73" s="2">
        <v>42441</v>
      </c>
      <c r="B73" s="70" t="s">
        <v>41</v>
      </c>
      <c r="C73">
        <v>77</v>
      </c>
      <c r="D73">
        <v>463</v>
      </c>
      <c r="E73" t="s">
        <v>34</v>
      </c>
    </row>
    <row r="74" spans="1:5" x14ac:dyDescent="0.35">
      <c r="A74" s="2">
        <v>42441</v>
      </c>
      <c r="B74" s="70" t="s">
        <v>41</v>
      </c>
      <c r="C74">
        <v>81</v>
      </c>
      <c r="D74">
        <v>345</v>
      </c>
      <c r="E74" t="s">
        <v>34</v>
      </c>
    </row>
    <row r="75" spans="1:5" x14ac:dyDescent="0.35">
      <c r="A75" s="2">
        <v>42441</v>
      </c>
      <c r="B75" s="70" t="s">
        <v>41</v>
      </c>
      <c r="C75">
        <v>62</v>
      </c>
      <c r="D75">
        <v>194</v>
      </c>
      <c r="E75" t="s">
        <v>39</v>
      </c>
    </row>
    <row r="76" spans="1:5" x14ac:dyDescent="0.35">
      <c r="A76" s="2">
        <v>42441</v>
      </c>
      <c r="B76" s="70" t="s">
        <v>41</v>
      </c>
      <c r="C76">
        <v>71</v>
      </c>
      <c r="D76">
        <v>310</v>
      </c>
      <c r="E76" t="s">
        <v>34</v>
      </c>
    </row>
    <row r="77" spans="1:5" x14ac:dyDescent="0.35">
      <c r="A77" s="2">
        <v>42441</v>
      </c>
      <c r="B77" s="70" t="s">
        <v>41</v>
      </c>
      <c r="C77">
        <v>67</v>
      </c>
      <c r="D77">
        <v>283</v>
      </c>
      <c r="E77" t="s">
        <v>36</v>
      </c>
    </row>
    <row r="78" spans="1:5" x14ac:dyDescent="0.35">
      <c r="A78" s="2">
        <v>42441</v>
      </c>
      <c r="B78" s="70" t="s">
        <v>41</v>
      </c>
      <c r="C78">
        <v>75</v>
      </c>
      <c r="D78">
        <v>337</v>
      </c>
      <c r="E78" t="s">
        <v>34</v>
      </c>
    </row>
    <row r="79" spans="1:5" x14ac:dyDescent="0.35">
      <c r="A79" s="2">
        <v>42441</v>
      </c>
      <c r="B79" s="70" t="s">
        <v>41</v>
      </c>
      <c r="C79">
        <v>72</v>
      </c>
      <c r="D79">
        <v>361</v>
      </c>
      <c r="E79" t="s">
        <v>40</v>
      </c>
    </row>
    <row r="80" spans="1:5" x14ac:dyDescent="0.35">
      <c r="A80" s="2">
        <v>42441</v>
      </c>
      <c r="B80" s="70" t="s">
        <v>41</v>
      </c>
      <c r="C80">
        <v>72</v>
      </c>
      <c r="D80">
        <v>327</v>
      </c>
      <c r="E80" t="s">
        <v>34</v>
      </c>
    </row>
    <row r="81" spans="1:31" x14ac:dyDescent="0.35">
      <c r="A81" s="2">
        <v>42441</v>
      </c>
      <c r="B81" s="70" t="s">
        <v>41</v>
      </c>
      <c r="C81">
        <v>73</v>
      </c>
      <c r="D81">
        <v>326</v>
      </c>
      <c r="E81" t="s">
        <v>36</v>
      </c>
    </row>
    <row r="82" spans="1:31" x14ac:dyDescent="0.35">
      <c r="A82" s="2">
        <v>42441</v>
      </c>
      <c r="B82" s="70" t="s">
        <v>41</v>
      </c>
      <c r="C82">
        <v>75</v>
      </c>
      <c r="D82">
        <v>427</v>
      </c>
      <c r="E82" t="s">
        <v>36</v>
      </c>
    </row>
    <row r="83" spans="1:31" x14ac:dyDescent="0.35">
      <c r="A83" s="2">
        <v>42441</v>
      </c>
      <c r="B83" s="70" t="s">
        <v>41</v>
      </c>
      <c r="C83">
        <v>81</v>
      </c>
      <c r="D83">
        <v>486</v>
      </c>
      <c r="E83" t="s">
        <v>34</v>
      </c>
    </row>
    <row r="84" spans="1:31" x14ac:dyDescent="0.35">
      <c r="A84" s="2">
        <v>42441</v>
      </c>
      <c r="B84" s="70" t="s">
        <v>41</v>
      </c>
      <c r="C84">
        <v>78</v>
      </c>
      <c r="D84">
        <v>462</v>
      </c>
      <c r="E84" t="s">
        <v>36</v>
      </c>
    </row>
    <row r="85" spans="1:31" x14ac:dyDescent="0.35">
      <c r="A85" s="2">
        <v>42441</v>
      </c>
      <c r="B85" s="70" t="s">
        <v>41</v>
      </c>
      <c r="C85">
        <v>76</v>
      </c>
      <c r="D85">
        <v>413</v>
      </c>
      <c r="E85" t="s">
        <v>34</v>
      </c>
    </row>
    <row r="86" spans="1:31" x14ac:dyDescent="0.35">
      <c r="A86" s="2">
        <v>42441</v>
      </c>
      <c r="B86" s="70" t="s">
        <v>41</v>
      </c>
      <c r="C86">
        <v>76</v>
      </c>
      <c r="D86">
        <v>300</v>
      </c>
      <c r="E86" t="s">
        <v>36</v>
      </c>
    </row>
    <row r="87" spans="1:31" x14ac:dyDescent="0.35">
      <c r="A87" s="2">
        <v>42441</v>
      </c>
      <c r="B87" s="70" t="s">
        <v>41</v>
      </c>
      <c r="C87">
        <v>72</v>
      </c>
      <c r="D87">
        <v>350</v>
      </c>
      <c r="E87" t="s">
        <v>33</v>
      </c>
      <c r="G87" s="42" t="e">
        <f>AVERAGE(#REF!)</f>
        <v>#REF!</v>
      </c>
    </row>
    <row r="88" spans="1:31" x14ac:dyDescent="0.35">
      <c r="A88" s="2">
        <v>42441</v>
      </c>
      <c r="B88" s="70" t="s">
        <v>41</v>
      </c>
      <c r="C88">
        <v>73</v>
      </c>
      <c r="D88">
        <v>372</v>
      </c>
      <c r="E88" t="s">
        <v>40</v>
      </c>
    </row>
    <row r="89" spans="1:31" x14ac:dyDescent="0.35">
      <c r="A89" s="2">
        <v>42441</v>
      </c>
      <c r="B89" s="70" t="s">
        <v>41</v>
      </c>
      <c r="C89">
        <v>73</v>
      </c>
      <c r="D89">
        <v>328</v>
      </c>
      <c r="E89" t="s">
        <v>34</v>
      </c>
      <c r="G89" t="s">
        <v>276</v>
      </c>
      <c r="T89" t="s">
        <v>115</v>
      </c>
    </row>
    <row r="90" spans="1:31" x14ac:dyDescent="0.35">
      <c r="A90" s="2">
        <v>42441</v>
      </c>
      <c r="B90" s="70" t="s">
        <v>41</v>
      </c>
      <c r="C90">
        <v>74</v>
      </c>
      <c r="D90">
        <v>198</v>
      </c>
      <c r="E90" t="s">
        <v>40</v>
      </c>
      <c r="G90" t="s">
        <v>42</v>
      </c>
      <c r="H90" t="s">
        <v>39</v>
      </c>
      <c r="I90" t="s">
        <v>40</v>
      </c>
      <c r="J90" t="s">
        <v>36</v>
      </c>
      <c r="K90" t="s">
        <v>33</v>
      </c>
      <c r="L90" t="s">
        <v>34</v>
      </c>
      <c r="M90" t="s">
        <v>32</v>
      </c>
      <c r="N90" t="s">
        <v>37</v>
      </c>
      <c r="P90" t="s">
        <v>155</v>
      </c>
      <c r="Q90" t="s">
        <v>156</v>
      </c>
      <c r="U90" t="s">
        <v>42</v>
      </c>
      <c r="V90" t="s">
        <v>39</v>
      </c>
      <c r="W90" t="s">
        <v>40</v>
      </c>
      <c r="X90" t="s">
        <v>36</v>
      </c>
      <c r="Y90" t="s">
        <v>33</v>
      </c>
      <c r="Z90" t="s">
        <v>34</v>
      </c>
      <c r="AA90" t="s">
        <v>32</v>
      </c>
      <c r="AB90" t="s">
        <v>37</v>
      </c>
      <c r="AD90" t="s">
        <v>155</v>
      </c>
      <c r="AE90" t="s">
        <v>156</v>
      </c>
    </row>
    <row r="91" spans="1:31" x14ac:dyDescent="0.35">
      <c r="A91" s="2">
        <v>42441</v>
      </c>
      <c r="B91" s="70" t="s">
        <v>41</v>
      </c>
      <c r="C91">
        <v>69</v>
      </c>
      <c r="D91">
        <v>277</v>
      </c>
      <c r="E91" t="s">
        <v>36</v>
      </c>
      <c r="G91" s="5">
        <f>COUNTIF(E63:E92,"VA")</f>
        <v>0</v>
      </c>
      <c r="H91" s="5">
        <f>COUNTIF(E63:E92,"VB")</f>
        <v>1</v>
      </c>
      <c r="I91" s="5">
        <f>COUNTIF(E63:E92,"VIA0")</f>
        <v>5</v>
      </c>
      <c r="J91" s="5">
        <f>COUNTIF(E63:E92,"VIA1")</f>
        <v>9</v>
      </c>
      <c r="K91" s="5">
        <f>COUNTIF(E63:E92,"VIA2")</f>
        <v>5</v>
      </c>
      <c r="L91" s="5">
        <v>10</v>
      </c>
      <c r="M91" s="5">
        <v>0</v>
      </c>
      <c r="N91" s="5">
        <f>COUNTIF(E63:E92,"VIB")</f>
        <v>0</v>
      </c>
      <c r="P91" s="7">
        <f>AVERAGE(C63:C92)</f>
        <v>73.7</v>
      </c>
      <c r="Q91" s="8">
        <f>AVERAGE(D64:D92)</f>
        <v>348.93103448275861</v>
      </c>
      <c r="U91" s="27">
        <f>COUNTIF(E7:E92,"VA")</f>
        <v>0</v>
      </c>
      <c r="V91" s="27">
        <f>COUNTIF(E7:E92,"VB")</f>
        <v>14</v>
      </c>
      <c r="W91" s="27">
        <f>COUNTIF(E7:E92,"VIA0")</f>
        <v>10</v>
      </c>
      <c r="X91" s="27">
        <f>COUNTIF(E7:E92,"VIA1")</f>
        <v>20</v>
      </c>
      <c r="Y91" s="27">
        <f>COUNTIF(E7:E92,"VIA2")</f>
        <v>10</v>
      </c>
      <c r="Z91" s="27">
        <v>29</v>
      </c>
      <c r="AA91" s="27">
        <v>5</v>
      </c>
      <c r="AB91" s="27">
        <f>COUNTIF(E7:E92,"VIB")</f>
        <v>1</v>
      </c>
      <c r="AD91" s="7">
        <f>AVERAGE(C7:C92)</f>
        <v>73.127906976744185</v>
      </c>
      <c r="AE91" s="8">
        <f>AVERAGE(D7:D92)</f>
        <v>336.93023255813955</v>
      </c>
    </row>
    <row r="92" spans="1:31" s="4" customFormat="1" x14ac:dyDescent="0.35">
      <c r="A92" s="3">
        <v>42441</v>
      </c>
      <c r="B92" s="44" t="s">
        <v>41</v>
      </c>
      <c r="C92" s="4">
        <v>79</v>
      </c>
      <c r="D92" s="4">
        <v>451</v>
      </c>
      <c r="E92" s="4" t="s">
        <v>32</v>
      </c>
      <c r="G92" s="6">
        <f>G91/30*100</f>
        <v>0</v>
      </c>
      <c r="H92" s="6">
        <f t="shared" ref="H92:I92" si="2">H91/30*100</f>
        <v>3.3333333333333335</v>
      </c>
      <c r="I92" s="6">
        <f t="shared" si="2"/>
        <v>16.666666666666664</v>
      </c>
      <c r="J92" s="6">
        <f>J91/30*100</f>
        <v>30</v>
      </c>
      <c r="K92" s="6">
        <f>K91/30*100</f>
        <v>16.666666666666664</v>
      </c>
      <c r="L92" s="6">
        <f>L91/30*100</f>
        <v>33.333333333333329</v>
      </c>
      <c r="M92" s="6">
        <f>M91/30*100</f>
        <v>0</v>
      </c>
      <c r="N92" s="6">
        <f>N91/30*100</f>
        <v>0</v>
      </c>
      <c r="U92" s="28">
        <f>U91/86*100</f>
        <v>0</v>
      </c>
      <c r="V92" s="28">
        <f t="shared" ref="V92:AB92" si="3">V91/86*100</f>
        <v>16.279069767441861</v>
      </c>
      <c r="W92" s="28">
        <f t="shared" si="3"/>
        <v>11.627906976744185</v>
      </c>
      <c r="X92" s="28">
        <f t="shared" si="3"/>
        <v>23.255813953488371</v>
      </c>
      <c r="Y92" s="28">
        <f t="shared" si="3"/>
        <v>11.627906976744185</v>
      </c>
      <c r="Z92" s="28">
        <f t="shared" si="3"/>
        <v>33.720930232558139</v>
      </c>
      <c r="AA92" s="28">
        <f t="shared" si="3"/>
        <v>5.8139534883720927</v>
      </c>
      <c r="AB92" s="28">
        <f t="shared" si="3"/>
        <v>1.1627906976744187</v>
      </c>
    </row>
    <row r="93" spans="1:31" x14ac:dyDescent="0.35">
      <c r="A93" s="2">
        <v>42447</v>
      </c>
      <c r="B93" s="70" t="s">
        <v>29</v>
      </c>
      <c r="C93" s="10">
        <v>80</v>
      </c>
      <c r="D93" s="10">
        <v>475</v>
      </c>
      <c r="E93" s="10" t="s">
        <v>34</v>
      </c>
    </row>
    <row r="94" spans="1:31" x14ac:dyDescent="0.35">
      <c r="A94" s="2">
        <v>42447</v>
      </c>
      <c r="B94" s="70" t="s">
        <v>29</v>
      </c>
      <c r="C94" s="10">
        <v>73</v>
      </c>
      <c r="D94" s="10">
        <v>372</v>
      </c>
      <c r="E94" s="10" t="s">
        <v>40</v>
      </c>
    </row>
    <row r="95" spans="1:31" x14ac:dyDescent="0.35">
      <c r="A95" s="2">
        <v>42447</v>
      </c>
      <c r="B95" s="70" t="s">
        <v>29</v>
      </c>
      <c r="C95" s="10">
        <v>67</v>
      </c>
      <c r="D95" s="10">
        <v>291</v>
      </c>
      <c r="E95" s="10" t="s">
        <v>39</v>
      </c>
    </row>
    <row r="96" spans="1:31" x14ac:dyDescent="0.35">
      <c r="A96" s="2">
        <v>42447</v>
      </c>
      <c r="B96" s="70" t="s">
        <v>29</v>
      </c>
      <c r="C96" s="10">
        <v>82</v>
      </c>
      <c r="D96" s="10">
        <v>467</v>
      </c>
      <c r="E96" s="10" t="s">
        <v>40</v>
      </c>
    </row>
    <row r="97" spans="1:5" x14ac:dyDescent="0.35">
      <c r="A97" s="2">
        <v>42447</v>
      </c>
      <c r="B97" s="40" t="s">
        <v>29</v>
      </c>
      <c r="C97" s="10">
        <v>72</v>
      </c>
      <c r="D97" s="10">
        <v>341</v>
      </c>
      <c r="E97" s="10" t="s">
        <v>32</v>
      </c>
    </row>
    <row r="98" spans="1:5" x14ac:dyDescent="0.35">
      <c r="A98" s="2">
        <v>42447</v>
      </c>
      <c r="B98" s="70" t="s">
        <v>29</v>
      </c>
      <c r="C98" s="10">
        <v>78</v>
      </c>
      <c r="D98" s="10">
        <v>428</v>
      </c>
      <c r="E98" s="10" t="s">
        <v>40</v>
      </c>
    </row>
    <row r="99" spans="1:5" x14ac:dyDescent="0.35">
      <c r="A99" s="2">
        <v>42447</v>
      </c>
      <c r="B99" s="70" t="s">
        <v>29</v>
      </c>
      <c r="C99" s="10">
        <v>82</v>
      </c>
      <c r="D99" s="10">
        <v>472</v>
      </c>
      <c r="E99" s="10" t="s">
        <v>33</v>
      </c>
    </row>
    <row r="100" spans="1:5" x14ac:dyDescent="0.35">
      <c r="A100" s="2">
        <v>42447</v>
      </c>
      <c r="B100" s="40" t="s">
        <v>29</v>
      </c>
      <c r="C100" s="10">
        <v>74</v>
      </c>
      <c r="D100" s="10">
        <v>359</v>
      </c>
      <c r="E100" s="10" t="s">
        <v>40</v>
      </c>
    </row>
    <row r="101" spans="1:5" x14ac:dyDescent="0.35">
      <c r="A101" s="2">
        <v>42447</v>
      </c>
      <c r="B101" s="70" t="s">
        <v>29</v>
      </c>
      <c r="C101" s="10">
        <v>68</v>
      </c>
      <c r="D101" s="10">
        <v>257</v>
      </c>
      <c r="E101" s="10" t="s">
        <v>33</v>
      </c>
    </row>
    <row r="102" spans="1:5" x14ac:dyDescent="0.35">
      <c r="A102" s="2">
        <v>42447</v>
      </c>
      <c r="B102" s="70" t="s">
        <v>29</v>
      </c>
      <c r="C102" s="10">
        <v>77</v>
      </c>
      <c r="D102" s="10">
        <v>389</v>
      </c>
      <c r="E102" s="10" t="s">
        <v>33</v>
      </c>
    </row>
    <row r="103" spans="1:5" x14ac:dyDescent="0.35">
      <c r="A103" s="2">
        <v>42447</v>
      </c>
      <c r="B103" s="40" t="s">
        <v>29</v>
      </c>
      <c r="C103" s="10">
        <v>78</v>
      </c>
      <c r="D103" s="10">
        <v>394</v>
      </c>
      <c r="E103" s="10" t="s">
        <v>39</v>
      </c>
    </row>
    <row r="104" spans="1:5" x14ac:dyDescent="0.35">
      <c r="A104" s="2">
        <v>42447</v>
      </c>
      <c r="B104" s="70" t="s">
        <v>29</v>
      </c>
      <c r="C104" s="10">
        <v>81</v>
      </c>
      <c r="D104" s="10">
        <v>353</v>
      </c>
      <c r="E104" s="10" t="s">
        <v>33</v>
      </c>
    </row>
    <row r="105" spans="1:5" x14ac:dyDescent="0.35">
      <c r="A105" s="2">
        <v>42447</v>
      </c>
      <c r="B105" s="70" t="s">
        <v>29</v>
      </c>
      <c r="C105" s="10">
        <v>78</v>
      </c>
      <c r="D105" s="10">
        <v>433</v>
      </c>
      <c r="E105" s="10" t="s">
        <v>33</v>
      </c>
    </row>
    <row r="106" spans="1:5" x14ac:dyDescent="0.35">
      <c r="A106" s="2">
        <v>42447</v>
      </c>
      <c r="B106" s="40" t="s">
        <v>29</v>
      </c>
      <c r="C106" s="10">
        <v>68</v>
      </c>
      <c r="D106" s="10">
        <v>254</v>
      </c>
      <c r="E106" s="10" t="s">
        <v>36</v>
      </c>
    </row>
    <row r="107" spans="1:5" x14ac:dyDescent="0.35">
      <c r="A107" s="2">
        <v>42447</v>
      </c>
      <c r="B107" s="70" t="s">
        <v>29</v>
      </c>
      <c r="C107" s="10">
        <v>78</v>
      </c>
      <c r="D107" s="10">
        <v>438</v>
      </c>
      <c r="E107" s="10" t="s">
        <v>36</v>
      </c>
    </row>
    <row r="108" spans="1:5" x14ac:dyDescent="0.35">
      <c r="A108" s="2">
        <v>42447</v>
      </c>
      <c r="B108" s="70" t="s">
        <v>29</v>
      </c>
      <c r="C108" s="10">
        <v>74</v>
      </c>
      <c r="D108" s="10">
        <v>313</v>
      </c>
      <c r="E108" s="10" t="s">
        <v>40</v>
      </c>
    </row>
    <row r="109" spans="1:5" x14ac:dyDescent="0.35">
      <c r="A109" s="2">
        <v>42447</v>
      </c>
      <c r="B109" s="40" t="s">
        <v>29</v>
      </c>
      <c r="C109" s="10">
        <v>72</v>
      </c>
      <c r="D109" s="10">
        <v>273</v>
      </c>
      <c r="E109" s="10" t="s">
        <v>32</v>
      </c>
    </row>
    <row r="110" spans="1:5" x14ac:dyDescent="0.35">
      <c r="A110" s="2">
        <v>42447</v>
      </c>
      <c r="B110" s="70" t="s">
        <v>29</v>
      </c>
      <c r="C110" s="10">
        <v>71</v>
      </c>
      <c r="D110" s="10">
        <v>326</v>
      </c>
      <c r="E110" s="10" t="s">
        <v>32</v>
      </c>
    </row>
    <row r="111" spans="1:5" x14ac:dyDescent="0.35">
      <c r="A111" s="2">
        <v>42447</v>
      </c>
      <c r="B111" s="70" t="s">
        <v>29</v>
      </c>
      <c r="C111" s="10">
        <v>79</v>
      </c>
      <c r="D111" s="10">
        <v>367</v>
      </c>
      <c r="E111" s="10" t="s">
        <v>32</v>
      </c>
    </row>
    <row r="112" spans="1:5" x14ac:dyDescent="0.35">
      <c r="A112" s="2">
        <v>42447</v>
      </c>
      <c r="B112" s="40" t="s">
        <v>29</v>
      </c>
      <c r="C112" s="10">
        <v>66</v>
      </c>
      <c r="D112" s="10">
        <v>286</v>
      </c>
      <c r="E112" s="10" t="s">
        <v>34</v>
      </c>
    </row>
    <row r="113" spans="1:5" x14ac:dyDescent="0.35">
      <c r="A113" s="2">
        <v>42447</v>
      </c>
      <c r="B113" s="70" t="s">
        <v>29</v>
      </c>
      <c r="C113" s="10">
        <v>75</v>
      </c>
      <c r="D113" s="10">
        <v>362</v>
      </c>
      <c r="E113" s="10" t="s">
        <v>36</v>
      </c>
    </row>
    <row r="114" spans="1:5" x14ac:dyDescent="0.35">
      <c r="A114" s="2">
        <v>42447</v>
      </c>
      <c r="B114" s="70" t="s">
        <v>29</v>
      </c>
      <c r="C114" s="10">
        <v>71</v>
      </c>
      <c r="D114" s="10">
        <v>268</v>
      </c>
      <c r="E114" s="10" t="s">
        <v>33</v>
      </c>
    </row>
    <row r="115" spans="1:5" x14ac:dyDescent="0.35">
      <c r="A115" s="2">
        <v>42447</v>
      </c>
      <c r="B115" s="40" t="s">
        <v>29</v>
      </c>
      <c r="C115" s="10">
        <v>78</v>
      </c>
      <c r="D115" s="10">
        <v>394</v>
      </c>
      <c r="E115" s="10" t="s">
        <v>33</v>
      </c>
    </row>
    <row r="116" spans="1:5" x14ac:dyDescent="0.35">
      <c r="A116" s="2">
        <v>42447</v>
      </c>
      <c r="B116" s="70" t="s">
        <v>29</v>
      </c>
      <c r="C116" s="10">
        <v>79</v>
      </c>
      <c r="D116" s="10">
        <v>468</v>
      </c>
      <c r="E116" s="10" t="s">
        <v>32</v>
      </c>
    </row>
    <row r="117" spans="1:5" x14ac:dyDescent="0.35">
      <c r="A117" s="2">
        <v>42447</v>
      </c>
      <c r="B117" s="70" t="s">
        <v>29</v>
      </c>
      <c r="C117" s="10">
        <v>71</v>
      </c>
      <c r="D117" s="10">
        <v>303</v>
      </c>
      <c r="E117" s="10" t="s">
        <v>40</v>
      </c>
    </row>
    <row r="118" spans="1:5" x14ac:dyDescent="0.35">
      <c r="A118" s="2">
        <v>42447</v>
      </c>
      <c r="B118" s="40" t="s">
        <v>29</v>
      </c>
      <c r="C118" s="10">
        <v>75</v>
      </c>
      <c r="D118" s="10">
        <v>370</v>
      </c>
      <c r="E118" s="10" t="s">
        <v>34</v>
      </c>
    </row>
    <row r="119" spans="1:5" x14ac:dyDescent="0.35">
      <c r="A119" s="2">
        <v>42447</v>
      </c>
      <c r="B119" s="70" t="s">
        <v>29</v>
      </c>
      <c r="C119" s="10">
        <v>76</v>
      </c>
      <c r="D119" s="10">
        <v>382</v>
      </c>
      <c r="E119" s="10" t="s">
        <v>34</v>
      </c>
    </row>
    <row r="120" spans="1:5" x14ac:dyDescent="0.35">
      <c r="A120" s="2">
        <v>42447</v>
      </c>
      <c r="B120" s="70" t="s">
        <v>29</v>
      </c>
      <c r="C120" s="10">
        <v>73</v>
      </c>
      <c r="D120" s="10">
        <v>344</v>
      </c>
      <c r="E120" s="10" t="s">
        <v>39</v>
      </c>
    </row>
    <row r="121" spans="1:5" x14ac:dyDescent="0.35">
      <c r="A121" s="2">
        <v>42447</v>
      </c>
      <c r="B121" s="40" t="s">
        <v>29</v>
      </c>
      <c r="C121" s="10">
        <v>76</v>
      </c>
      <c r="D121" s="10">
        <v>365</v>
      </c>
      <c r="E121" s="10" t="s">
        <v>40</v>
      </c>
    </row>
    <row r="122" spans="1:5" x14ac:dyDescent="0.35">
      <c r="A122" s="2">
        <v>42447</v>
      </c>
      <c r="B122" s="70" t="s">
        <v>29</v>
      </c>
      <c r="C122" s="10">
        <v>78</v>
      </c>
      <c r="D122" s="10">
        <v>425</v>
      </c>
      <c r="E122" s="10" t="s">
        <v>34</v>
      </c>
    </row>
    <row r="123" spans="1:5" x14ac:dyDescent="0.35">
      <c r="A123" s="2">
        <v>42447</v>
      </c>
      <c r="B123" s="70" t="s">
        <v>29</v>
      </c>
      <c r="C123" s="10">
        <v>74</v>
      </c>
      <c r="D123" s="10">
        <v>322</v>
      </c>
      <c r="E123" s="10" t="s">
        <v>39</v>
      </c>
    </row>
    <row r="124" spans="1:5" x14ac:dyDescent="0.35">
      <c r="A124" s="2">
        <v>42447</v>
      </c>
      <c r="B124" s="40" t="s">
        <v>29</v>
      </c>
      <c r="C124" s="10">
        <v>75</v>
      </c>
      <c r="D124" s="10">
        <v>416</v>
      </c>
      <c r="E124" s="10" t="s">
        <v>36</v>
      </c>
    </row>
    <row r="125" spans="1:5" x14ac:dyDescent="0.35">
      <c r="A125" s="2">
        <v>42447</v>
      </c>
      <c r="B125" s="70" t="s">
        <v>29</v>
      </c>
      <c r="C125" s="10">
        <v>76</v>
      </c>
      <c r="D125" s="10">
        <v>374</v>
      </c>
      <c r="E125" s="10" t="s">
        <v>39</v>
      </c>
    </row>
    <row r="126" spans="1:5" x14ac:dyDescent="0.35">
      <c r="A126" s="2">
        <v>42447</v>
      </c>
      <c r="B126" s="70" t="s">
        <v>29</v>
      </c>
      <c r="C126" s="10">
        <v>68</v>
      </c>
      <c r="D126" s="10">
        <v>305</v>
      </c>
      <c r="E126" s="10" t="s">
        <v>39</v>
      </c>
    </row>
    <row r="127" spans="1:5" x14ac:dyDescent="0.35">
      <c r="A127" s="2">
        <v>42447</v>
      </c>
      <c r="B127" s="40" t="s">
        <v>29</v>
      </c>
      <c r="C127" s="10">
        <v>75</v>
      </c>
      <c r="D127" s="10">
        <v>270</v>
      </c>
      <c r="E127" s="10" t="s">
        <v>39</v>
      </c>
    </row>
    <row r="128" spans="1:5" x14ac:dyDescent="0.35">
      <c r="A128" s="2">
        <v>42447</v>
      </c>
      <c r="B128" s="70" t="s">
        <v>29</v>
      </c>
      <c r="C128" s="10">
        <v>68</v>
      </c>
      <c r="D128" s="10">
        <v>312</v>
      </c>
      <c r="E128" s="10" t="s">
        <v>36</v>
      </c>
    </row>
    <row r="129" spans="1:19" x14ac:dyDescent="0.35">
      <c r="A129" s="2">
        <v>42447</v>
      </c>
      <c r="B129" s="70" t="s">
        <v>29</v>
      </c>
      <c r="C129" s="10">
        <v>69</v>
      </c>
      <c r="D129" s="10">
        <v>273</v>
      </c>
      <c r="E129" s="10" t="s">
        <v>40</v>
      </c>
    </row>
    <row r="130" spans="1:19" x14ac:dyDescent="0.35">
      <c r="A130" s="2">
        <v>42447</v>
      </c>
      <c r="B130" s="40" t="s">
        <v>29</v>
      </c>
      <c r="C130" s="10">
        <v>74</v>
      </c>
      <c r="D130" s="10">
        <v>371</v>
      </c>
      <c r="E130" s="10" t="s">
        <v>39</v>
      </c>
    </row>
    <row r="131" spans="1:19" x14ac:dyDescent="0.35">
      <c r="A131" s="2">
        <v>42447</v>
      </c>
      <c r="B131" s="70" t="s">
        <v>29</v>
      </c>
      <c r="C131" s="10">
        <v>77</v>
      </c>
      <c r="D131" s="10">
        <v>421</v>
      </c>
      <c r="E131" s="10" t="s">
        <v>33</v>
      </c>
    </row>
    <row r="132" spans="1:19" x14ac:dyDescent="0.35">
      <c r="A132" s="2">
        <v>42447</v>
      </c>
      <c r="B132" s="70" t="s">
        <v>29</v>
      </c>
      <c r="C132" s="10">
        <v>73</v>
      </c>
      <c r="D132" s="10">
        <v>321</v>
      </c>
      <c r="E132" s="10" t="s">
        <v>33</v>
      </c>
    </row>
    <row r="133" spans="1:19" x14ac:dyDescent="0.35">
      <c r="A133" s="2">
        <v>42447</v>
      </c>
      <c r="B133" s="40" t="s">
        <v>29</v>
      </c>
      <c r="C133" s="10">
        <v>73</v>
      </c>
      <c r="D133" s="10">
        <v>282</v>
      </c>
      <c r="E133" s="10" t="s">
        <v>39</v>
      </c>
    </row>
    <row r="134" spans="1:19" x14ac:dyDescent="0.35">
      <c r="A134" s="2">
        <v>42447</v>
      </c>
      <c r="B134" s="70" t="s">
        <v>29</v>
      </c>
      <c r="C134" s="10">
        <v>71</v>
      </c>
      <c r="D134" s="10">
        <v>381</v>
      </c>
      <c r="E134" s="10" t="s">
        <v>33</v>
      </c>
    </row>
    <row r="135" spans="1:19" x14ac:dyDescent="0.35">
      <c r="A135" s="2">
        <v>42447</v>
      </c>
      <c r="B135" s="70" t="s">
        <v>29</v>
      </c>
      <c r="C135" s="10">
        <v>76</v>
      </c>
      <c r="D135" s="10">
        <v>368</v>
      </c>
      <c r="E135" s="10" t="s">
        <v>39</v>
      </c>
    </row>
    <row r="136" spans="1:19" x14ac:dyDescent="0.35">
      <c r="A136" s="2">
        <v>42447</v>
      </c>
      <c r="B136" s="40" t="s">
        <v>29</v>
      </c>
      <c r="C136" s="10">
        <v>76</v>
      </c>
      <c r="D136" s="10">
        <v>367</v>
      </c>
      <c r="E136" s="10" t="s">
        <v>34</v>
      </c>
    </row>
    <row r="137" spans="1:19" x14ac:dyDescent="0.35">
      <c r="A137" s="2">
        <v>42447</v>
      </c>
      <c r="B137" s="70" t="s">
        <v>29</v>
      </c>
      <c r="C137" s="10">
        <v>77</v>
      </c>
      <c r="D137" s="10">
        <v>390</v>
      </c>
      <c r="E137" s="10" t="s">
        <v>40</v>
      </c>
    </row>
    <row r="138" spans="1:19" x14ac:dyDescent="0.35">
      <c r="A138" s="2">
        <v>42447</v>
      </c>
      <c r="B138" s="70" t="s">
        <v>29</v>
      </c>
      <c r="C138" s="10">
        <v>73</v>
      </c>
      <c r="D138" s="10">
        <v>366</v>
      </c>
      <c r="E138" s="10" t="s">
        <v>34</v>
      </c>
    </row>
    <row r="139" spans="1:19" x14ac:dyDescent="0.35">
      <c r="A139" s="2">
        <v>42447</v>
      </c>
      <c r="B139" s="40" t="s">
        <v>29</v>
      </c>
      <c r="C139" s="10">
        <v>79</v>
      </c>
      <c r="D139" s="10">
        <v>400</v>
      </c>
      <c r="E139" s="10" t="s">
        <v>33</v>
      </c>
    </row>
    <row r="140" spans="1:19" x14ac:dyDescent="0.35">
      <c r="A140" s="2">
        <v>42447</v>
      </c>
      <c r="B140" s="70" t="s">
        <v>29</v>
      </c>
      <c r="C140" s="10">
        <v>78</v>
      </c>
      <c r="D140" s="10">
        <v>426</v>
      </c>
      <c r="E140" s="10" t="s">
        <v>40</v>
      </c>
      <c r="F140" t="s">
        <v>277</v>
      </c>
    </row>
    <row r="141" spans="1:19" x14ac:dyDescent="0.35">
      <c r="A141" s="2">
        <v>42447</v>
      </c>
      <c r="B141" s="70" t="s">
        <v>29</v>
      </c>
      <c r="C141" s="10">
        <v>78</v>
      </c>
      <c r="D141" s="10">
        <v>456</v>
      </c>
      <c r="E141" s="10" t="s">
        <v>33</v>
      </c>
      <c r="G141" t="s">
        <v>42</v>
      </c>
      <c r="H141" t="s">
        <v>39</v>
      </c>
      <c r="I141" t="s">
        <v>40</v>
      </c>
      <c r="J141" t="s">
        <v>36</v>
      </c>
      <c r="K141" t="s">
        <v>33</v>
      </c>
      <c r="L141" t="s">
        <v>34</v>
      </c>
      <c r="M141" t="s">
        <v>32</v>
      </c>
      <c r="N141" t="s">
        <v>37</v>
      </c>
      <c r="P141" t="s">
        <v>43</v>
      </c>
      <c r="Q141" t="s">
        <v>44</v>
      </c>
    </row>
    <row r="142" spans="1:19" x14ac:dyDescent="0.35">
      <c r="A142" s="2">
        <v>42447</v>
      </c>
      <c r="B142" s="70" t="s">
        <v>29</v>
      </c>
      <c r="C142" s="10">
        <v>72</v>
      </c>
      <c r="D142" s="10">
        <v>411</v>
      </c>
      <c r="E142" s="10" t="s">
        <v>34</v>
      </c>
      <c r="G142" s="5">
        <f>COUNTIF(E93:E142,"VA")</f>
        <v>0</v>
      </c>
      <c r="H142" s="5">
        <f>COUNTIF(E93:E142,"VB")</f>
        <v>10</v>
      </c>
      <c r="I142" s="5">
        <f>COUNTIF(E93:E142,"VIA0")</f>
        <v>10</v>
      </c>
      <c r="J142" s="5">
        <f>COUNTIF(E93:E142,"VIA1")</f>
        <v>5</v>
      </c>
      <c r="K142" s="5">
        <f>COUNTIF(E93:E142,"VIA2")</f>
        <v>12</v>
      </c>
      <c r="L142" s="5">
        <v>12</v>
      </c>
      <c r="M142" s="5">
        <v>1</v>
      </c>
      <c r="N142" s="5">
        <f>COUNTIF(E93:E142,"VIB")</f>
        <v>0</v>
      </c>
      <c r="P142" s="7">
        <f>AVERAGE(C93:C142)</f>
        <v>74.64</v>
      </c>
      <c r="Q142" s="8">
        <f>AVERAGE(D93:D142)</f>
        <v>364.02</v>
      </c>
      <c r="R142" s="8"/>
      <c r="S142" s="42" t="e">
        <f>AVERAGE(#REF!)</f>
        <v>#REF!</v>
      </c>
    </row>
    <row r="143" spans="1:19" s="4" customFormat="1" x14ac:dyDescent="0.35">
      <c r="A143" s="3">
        <v>42447</v>
      </c>
      <c r="B143" s="44" t="s">
        <v>29</v>
      </c>
      <c r="C143" s="4">
        <v>353</v>
      </c>
      <c r="E143" s="4" t="s">
        <v>58</v>
      </c>
      <c r="G143" s="6">
        <f>G142/50*100</f>
        <v>0</v>
      </c>
      <c r="H143" s="6">
        <f t="shared" ref="H143:N143" si="4">H142/50*100</f>
        <v>20</v>
      </c>
      <c r="I143" s="6">
        <f t="shared" si="4"/>
        <v>20</v>
      </c>
      <c r="J143" s="6">
        <f t="shared" si="4"/>
        <v>10</v>
      </c>
      <c r="K143" s="6">
        <f t="shared" si="4"/>
        <v>24</v>
      </c>
      <c r="L143" s="6">
        <f t="shared" si="4"/>
        <v>24</v>
      </c>
      <c r="M143" s="6">
        <f t="shared" si="4"/>
        <v>2</v>
      </c>
      <c r="N143" s="6">
        <f t="shared" si="4"/>
        <v>0</v>
      </c>
    </row>
    <row r="144" spans="1:19" x14ac:dyDescent="0.35">
      <c r="A144" s="2">
        <v>42447</v>
      </c>
      <c r="B144" s="70" t="s">
        <v>38</v>
      </c>
      <c r="C144" s="10">
        <v>69</v>
      </c>
      <c r="D144" s="10">
        <v>302</v>
      </c>
      <c r="E144" s="10" t="s">
        <v>32</v>
      </c>
    </row>
    <row r="145" spans="1:5" x14ac:dyDescent="0.35">
      <c r="A145" s="2">
        <v>42447</v>
      </c>
      <c r="B145" s="70" t="s">
        <v>38</v>
      </c>
      <c r="C145" s="10">
        <v>76</v>
      </c>
      <c r="D145" s="10">
        <v>397</v>
      </c>
      <c r="E145" s="10" t="s">
        <v>36</v>
      </c>
    </row>
    <row r="146" spans="1:5" x14ac:dyDescent="0.35">
      <c r="A146" s="2">
        <v>42447</v>
      </c>
      <c r="B146" s="70" t="s">
        <v>38</v>
      </c>
      <c r="C146" s="10">
        <v>69</v>
      </c>
      <c r="D146" s="10">
        <v>202</v>
      </c>
      <c r="E146" s="10" t="s">
        <v>39</v>
      </c>
    </row>
    <row r="147" spans="1:5" x14ac:dyDescent="0.35">
      <c r="A147" s="2">
        <v>42447</v>
      </c>
      <c r="B147" s="70" t="s">
        <v>38</v>
      </c>
      <c r="C147" s="10">
        <v>77</v>
      </c>
      <c r="D147" s="10">
        <v>438</v>
      </c>
      <c r="E147" s="10" t="s">
        <v>34</v>
      </c>
    </row>
    <row r="148" spans="1:5" x14ac:dyDescent="0.35">
      <c r="A148" s="2">
        <v>42447</v>
      </c>
      <c r="B148" s="70" t="s">
        <v>38</v>
      </c>
      <c r="C148" s="10">
        <v>76</v>
      </c>
      <c r="D148" s="10">
        <v>311</v>
      </c>
      <c r="E148" s="10" t="s">
        <v>40</v>
      </c>
    </row>
    <row r="149" spans="1:5" x14ac:dyDescent="0.35">
      <c r="A149" s="2">
        <v>42447</v>
      </c>
      <c r="B149" s="70" t="s">
        <v>38</v>
      </c>
      <c r="C149" s="10">
        <v>68</v>
      </c>
      <c r="D149" s="10">
        <v>247</v>
      </c>
      <c r="E149" s="10" t="s">
        <v>39</v>
      </c>
    </row>
    <row r="150" spans="1:5" x14ac:dyDescent="0.35">
      <c r="A150" s="2">
        <v>42447</v>
      </c>
      <c r="B150" s="70" t="s">
        <v>38</v>
      </c>
      <c r="C150" s="10">
        <v>74</v>
      </c>
      <c r="D150" s="10">
        <v>440</v>
      </c>
      <c r="E150" s="10" t="s">
        <v>34</v>
      </c>
    </row>
    <row r="151" spans="1:5" x14ac:dyDescent="0.35">
      <c r="A151" s="2">
        <v>42447</v>
      </c>
      <c r="B151" s="70" t="s">
        <v>38</v>
      </c>
      <c r="C151" s="10">
        <v>74</v>
      </c>
      <c r="D151" s="10">
        <v>333</v>
      </c>
      <c r="E151" s="10" t="s">
        <v>34</v>
      </c>
    </row>
    <row r="152" spans="1:5" x14ac:dyDescent="0.35">
      <c r="A152" s="2">
        <v>42447</v>
      </c>
      <c r="B152" s="70" t="s">
        <v>38</v>
      </c>
      <c r="C152" s="10">
        <v>67</v>
      </c>
      <c r="D152" s="10">
        <v>253</v>
      </c>
      <c r="E152" s="10" t="s">
        <v>33</v>
      </c>
    </row>
    <row r="153" spans="1:5" x14ac:dyDescent="0.35">
      <c r="A153" s="2">
        <v>42447</v>
      </c>
      <c r="B153" s="70" t="s">
        <v>38</v>
      </c>
      <c r="C153" s="10">
        <v>74</v>
      </c>
      <c r="D153" s="10">
        <v>336</v>
      </c>
      <c r="E153" s="10" t="s">
        <v>36</v>
      </c>
    </row>
    <row r="154" spans="1:5" x14ac:dyDescent="0.35">
      <c r="A154" s="2">
        <v>42447</v>
      </c>
      <c r="B154" s="70" t="s">
        <v>38</v>
      </c>
      <c r="C154" s="10">
        <v>71</v>
      </c>
      <c r="D154" s="10">
        <v>245</v>
      </c>
      <c r="E154" s="10" t="s">
        <v>40</v>
      </c>
    </row>
    <row r="155" spans="1:5" x14ac:dyDescent="0.35">
      <c r="A155" s="2">
        <v>42447</v>
      </c>
      <c r="B155" s="70" t="s">
        <v>38</v>
      </c>
      <c r="C155" s="10">
        <v>73</v>
      </c>
      <c r="D155" s="10">
        <v>317</v>
      </c>
      <c r="E155" s="10" t="s">
        <v>39</v>
      </c>
    </row>
    <row r="156" spans="1:5" x14ac:dyDescent="0.35">
      <c r="A156" s="2">
        <v>42447</v>
      </c>
      <c r="B156" s="70" t="s">
        <v>38</v>
      </c>
      <c r="C156" s="10">
        <v>67</v>
      </c>
      <c r="D156" s="10">
        <v>244</v>
      </c>
      <c r="E156" s="10" t="s">
        <v>39</v>
      </c>
    </row>
    <row r="157" spans="1:5" x14ac:dyDescent="0.35">
      <c r="A157" s="2">
        <v>42447</v>
      </c>
      <c r="B157" s="70" t="s">
        <v>38</v>
      </c>
      <c r="C157" s="10">
        <v>72</v>
      </c>
      <c r="D157" s="10">
        <v>291</v>
      </c>
      <c r="E157" s="10" t="s">
        <v>33</v>
      </c>
    </row>
    <row r="158" spans="1:5" x14ac:dyDescent="0.35">
      <c r="A158" s="2">
        <v>42447</v>
      </c>
      <c r="B158" s="70" t="s">
        <v>38</v>
      </c>
      <c r="C158" s="10">
        <v>75</v>
      </c>
      <c r="D158" s="10">
        <v>344</v>
      </c>
      <c r="E158" s="10" t="s">
        <v>39</v>
      </c>
    </row>
    <row r="159" spans="1:5" x14ac:dyDescent="0.35">
      <c r="A159" s="2">
        <v>42447</v>
      </c>
      <c r="B159" s="70" t="s">
        <v>38</v>
      </c>
      <c r="C159" s="10">
        <v>70</v>
      </c>
      <c r="D159" s="10">
        <v>255</v>
      </c>
      <c r="E159" s="10" t="s">
        <v>39</v>
      </c>
    </row>
    <row r="160" spans="1:5" x14ac:dyDescent="0.35">
      <c r="A160" s="2">
        <v>42447</v>
      </c>
      <c r="B160" s="70" t="s">
        <v>38</v>
      </c>
      <c r="C160" s="10">
        <v>71</v>
      </c>
      <c r="D160" s="10">
        <v>256</v>
      </c>
      <c r="E160" s="10" t="s">
        <v>33</v>
      </c>
    </row>
    <row r="161" spans="1:5" x14ac:dyDescent="0.35">
      <c r="A161" s="2">
        <v>42447</v>
      </c>
      <c r="B161" s="70" t="s">
        <v>38</v>
      </c>
      <c r="C161" s="10">
        <v>67</v>
      </c>
      <c r="D161" s="10">
        <v>173</v>
      </c>
      <c r="E161" s="10" t="s">
        <v>39</v>
      </c>
    </row>
    <row r="162" spans="1:5" x14ac:dyDescent="0.35">
      <c r="A162" s="2">
        <v>42447</v>
      </c>
      <c r="B162" s="70" t="s">
        <v>38</v>
      </c>
      <c r="C162" s="10">
        <v>75</v>
      </c>
      <c r="D162" s="10">
        <v>400</v>
      </c>
      <c r="E162" s="10" t="s">
        <v>36</v>
      </c>
    </row>
    <row r="163" spans="1:5" x14ac:dyDescent="0.35">
      <c r="A163" s="2">
        <v>42447</v>
      </c>
      <c r="B163" s="70" t="s">
        <v>38</v>
      </c>
      <c r="C163" s="10">
        <v>71</v>
      </c>
      <c r="D163" s="10">
        <v>310</v>
      </c>
      <c r="E163" s="10" t="s">
        <v>36</v>
      </c>
    </row>
    <row r="164" spans="1:5" x14ac:dyDescent="0.35">
      <c r="A164" s="2">
        <v>42447</v>
      </c>
      <c r="B164" s="70" t="s">
        <v>38</v>
      </c>
      <c r="C164" s="10">
        <v>64</v>
      </c>
      <c r="D164" s="10">
        <v>244</v>
      </c>
      <c r="E164" s="10" t="s">
        <v>36</v>
      </c>
    </row>
    <row r="165" spans="1:5" x14ac:dyDescent="0.35">
      <c r="A165" s="2">
        <v>42447</v>
      </c>
      <c r="B165" s="70" t="s">
        <v>38</v>
      </c>
      <c r="C165" s="10">
        <v>71</v>
      </c>
      <c r="D165" s="10">
        <v>223</v>
      </c>
      <c r="E165" s="10" t="s">
        <v>33</v>
      </c>
    </row>
    <row r="166" spans="1:5" x14ac:dyDescent="0.35">
      <c r="A166" s="2">
        <v>42447</v>
      </c>
      <c r="B166" s="70" t="s">
        <v>38</v>
      </c>
      <c r="C166" s="10">
        <v>71</v>
      </c>
      <c r="D166" s="10">
        <v>243</v>
      </c>
      <c r="E166" s="10" t="s">
        <v>40</v>
      </c>
    </row>
    <row r="167" spans="1:5" x14ac:dyDescent="0.35">
      <c r="A167" s="2">
        <v>42447</v>
      </c>
      <c r="B167" s="70" t="s">
        <v>38</v>
      </c>
      <c r="C167" s="10">
        <v>74</v>
      </c>
      <c r="D167" s="10">
        <v>321</v>
      </c>
      <c r="E167" s="10" t="s">
        <v>36</v>
      </c>
    </row>
    <row r="168" spans="1:5" x14ac:dyDescent="0.35">
      <c r="A168" s="2">
        <v>42447</v>
      </c>
      <c r="B168" s="70" t="s">
        <v>38</v>
      </c>
      <c r="C168" s="10">
        <v>76</v>
      </c>
      <c r="D168" s="10">
        <v>353</v>
      </c>
      <c r="E168" s="10" t="s">
        <v>40</v>
      </c>
    </row>
    <row r="169" spans="1:5" x14ac:dyDescent="0.35">
      <c r="A169" s="2">
        <v>42447</v>
      </c>
      <c r="B169" s="70" t="s">
        <v>38</v>
      </c>
      <c r="C169" s="10">
        <v>69</v>
      </c>
      <c r="D169" s="10">
        <v>291</v>
      </c>
      <c r="E169" s="10" t="s">
        <v>40</v>
      </c>
    </row>
    <row r="170" spans="1:5" x14ac:dyDescent="0.35">
      <c r="A170" s="2">
        <v>42447</v>
      </c>
      <c r="B170" s="70" t="s">
        <v>38</v>
      </c>
      <c r="C170" s="10">
        <v>70</v>
      </c>
      <c r="D170" s="10">
        <v>314</v>
      </c>
      <c r="E170" s="10" t="s">
        <v>40</v>
      </c>
    </row>
    <row r="171" spans="1:5" x14ac:dyDescent="0.35">
      <c r="A171" s="2">
        <v>42447</v>
      </c>
      <c r="B171" s="70" t="s">
        <v>38</v>
      </c>
      <c r="C171" s="10">
        <v>68</v>
      </c>
      <c r="D171" s="10">
        <v>385</v>
      </c>
      <c r="E171" s="10" t="s">
        <v>40</v>
      </c>
    </row>
    <row r="172" spans="1:5" x14ac:dyDescent="0.35">
      <c r="A172" s="2">
        <v>42447</v>
      </c>
      <c r="B172" s="70" t="s">
        <v>38</v>
      </c>
      <c r="C172" s="10">
        <v>73</v>
      </c>
      <c r="D172" s="10">
        <v>325</v>
      </c>
      <c r="E172" s="10" t="s">
        <v>40</v>
      </c>
    </row>
    <row r="173" spans="1:5" x14ac:dyDescent="0.35">
      <c r="A173" s="2">
        <v>42447</v>
      </c>
      <c r="B173" s="70" t="s">
        <v>38</v>
      </c>
      <c r="C173" s="10">
        <v>77</v>
      </c>
      <c r="D173" s="10">
        <v>405</v>
      </c>
      <c r="E173" s="10" t="s">
        <v>33</v>
      </c>
    </row>
    <row r="174" spans="1:5" x14ac:dyDescent="0.35">
      <c r="A174" s="2">
        <v>42447</v>
      </c>
      <c r="B174" s="70" t="s">
        <v>38</v>
      </c>
      <c r="C174" s="10">
        <v>71</v>
      </c>
      <c r="D174" s="10">
        <v>304</v>
      </c>
      <c r="E174" s="10" t="s">
        <v>40</v>
      </c>
    </row>
    <row r="175" spans="1:5" x14ac:dyDescent="0.35">
      <c r="A175" s="2">
        <v>42447</v>
      </c>
      <c r="B175" s="70" t="s">
        <v>38</v>
      </c>
      <c r="C175" s="10">
        <v>67</v>
      </c>
      <c r="D175" s="10">
        <v>267</v>
      </c>
      <c r="E175" s="10" t="s">
        <v>33</v>
      </c>
    </row>
    <row r="176" spans="1:5" x14ac:dyDescent="0.35">
      <c r="A176" s="2">
        <v>42447</v>
      </c>
      <c r="B176" s="70" t="s">
        <v>38</v>
      </c>
      <c r="C176" s="10">
        <v>71</v>
      </c>
      <c r="D176" s="10">
        <v>375</v>
      </c>
      <c r="E176" s="10" t="s">
        <v>39</v>
      </c>
    </row>
    <row r="177" spans="1:31" x14ac:dyDescent="0.35">
      <c r="A177" s="2">
        <v>42447</v>
      </c>
      <c r="B177" s="70" t="s">
        <v>38</v>
      </c>
      <c r="C177" s="10">
        <v>75</v>
      </c>
      <c r="D177" s="10">
        <v>382</v>
      </c>
      <c r="E177" s="10" t="s">
        <v>32</v>
      </c>
    </row>
    <row r="178" spans="1:31" x14ac:dyDescent="0.35">
      <c r="A178" s="2">
        <v>42447</v>
      </c>
      <c r="B178" s="70" t="s">
        <v>38</v>
      </c>
      <c r="C178" s="10">
        <v>72</v>
      </c>
      <c r="D178" s="10">
        <v>315</v>
      </c>
      <c r="E178" s="10" t="s">
        <v>40</v>
      </c>
    </row>
    <row r="179" spans="1:31" x14ac:dyDescent="0.35">
      <c r="A179" s="2">
        <v>42447</v>
      </c>
      <c r="B179" s="70" t="s">
        <v>38</v>
      </c>
      <c r="C179" s="10">
        <v>77</v>
      </c>
      <c r="D179" s="10">
        <v>407</v>
      </c>
      <c r="E179" s="10" t="s">
        <v>40</v>
      </c>
    </row>
    <row r="180" spans="1:31" x14ac:dyDescent="0.35">
      <c r="A180" s="2">
        <v>42447</v>
      </c>
      <c r="B180" s="70" t="s">
        <v>38</v>
      </c>
      <c r="C180" s="10">
        <v>65</v>
      </c>
      <c r="D180" s="10">
        <v>213</v>
      </c>
      <c r="E180" s="10" t="s">
        <v>33</v>
      </c>
    </row>
    <row r="181" spans="1:31" x14ac:dyDescent="0.35">
      <c r="A181" s="2">
        <v>42447</v>
      </c>
      <c r="B181" s="70" t="s">
        <v>38</v>
      </c>
      <c r="C181" s="10">
        <v>72</v>
      </c>
      <c r="D181" s="10">
        <v>284</v>
      </c>
      <c r="E181" s="10" t="s">
        <v>40</v>
      </c>
    </row>
    <row r="182" spans="1:31" x14ac:dyDescent="0.35">
      <c r="A182" s="2">
        <v>42447</v>
      </c>
      <c r="B182" s="70" t="s">
        <v>38</v>
      </c>
      <c r="C182" s="10">
        <v>79</v>
      </c>
      <c r="D182" s="10">
        <v>459</v>
      </c>
      <c r="E182" s="10" t="s">
        <v>33</v>
      </c>
      <c r="N182" s="42"/>
    </row>
    <row r="183" spans="1:31" x14ac:dyDescent="0.35">
      <c r="A183" s="2">
        <v>42447</v>
      </c>
      <c r="B183" s="70" t="s">
        <v>38</v>
      </c>
      <c r="C183" s="10">
        <v>72</v>
      </c>
      <c r="D183" s="10">
        <v>286</v>
      </c>
      <c r="E183" s="10" t="s">
        <v>40</v>
      </c>
    </row>
    <row r="184" spans="1:31" x14ac:dyDescent="0.35">
      <c r="A184" s="2">
        <v>42447</v>
      </c>
      <c r="B184" s="70" t="s">
        <v>38</v>
      </c>
      <c r="C184" s="10">
        <v>72</v>
      </c>
      <c r="D184" s="10">
        <v>280</v>
      </c>
      <c r="E184" s="10" t="s">
        <v>39</v>
      </c>
    </row>
    <row r="185" spans="1:31" x14ac:dyDescent="0.35">
      <c r="A185" s="2">
        <v>42447</v>
      </c>
      <c r="B185" s="70" t="s">
        <v>38</v>
      </c>
      <c r="C185" s="10">
        <v>70</v>
      </c>
      <c r="D185" s="10">
        <v>255</v>
      </c>
      <c r="E185" s="10" t="s">
        <v>33</v>
      </c>
    </row>
    <row r="186" spans="1:31" x14ac:dyDescent="0.35">
      <c r="A186" s="2">
        <v>42447</v>
      </c>
      <c r="B186" s="70" t="s">
        <v>38</v>
      </c>
      <c r="C186" s="10">
        <v>68</v>
      </c>
      <c r="D186" s="10">
        <v>247</v>
      </c>
      <c r="E186" s="10" t="s">
        <v>40</v>
      </c>
      <c r="G186" t="s">
        <v>42</v>
      </c>
      <c r="H186" t="s">
        <v>39</v>
      </c>
      <c r="I186" t="s">
        <v>40</v>
      </c>
      <c r="J186" t="s">
        <v>36</v>
      </c>
      <c r="K186" t="s">
        <v>33</v>
      </c>
      <c r="L186" t="s">
        <v>34</v>
      </c>
      <c r="M186" t="s">
        <v>32</v>
      </c>
      <c r="N186" t="s">
        <v>37</v>
      </c>
    </row>
    <row r="187" spans="1:31" x14ac:dyDescent="0.35">
      <c r="A187" s="2">
        <v>42447</v>
      </c>
      <c r="B187" s="70" t="s">
        <v>38</v>
      </c>
      <c r="C187" s="10">
        <v>77</v>
      </c>
      <c r="D187" s="10">
        <v>402</v>
      </c>
      <c r="E187" s="10" t="s">
        <v>32</v>
      </c>
      <c r="G187" s="5">
        <f>COUNTIF(E93:E193,"VA")</f>
        <v>0</v>
      </c>
      <c r="H187" s="5">
        <f>COUNTIF(E93:E193,"VB")</f>
        <v>19</v>
      </c>
      <c r="I187" s="5">
        <f>COUNTIF(E93:E193,"VIA0")</f>
        <v>26</v>
      </c>
      <c r="J187" s="5">
        <f>COUNTIF(E93:E193,"VIA1")</f>
        <v>13</v>
      </c>
      <c r="K187" s="5">
        <f>COUNTIF(E93:E193,"VIA2")</f>
        <v>23</v>
      </c>
      <c r="L187" s="5">
        <v>17</v>
      </c>
      <c r="M187" s="5">
        <v>2</v>
      </c>
      <c r="N187" s="5">
        <f>COUNTIF(E93:E193,"VIB")</f>
        <v>0</v>
      </c>
      <c r="P187">
        <f>AVERAGE(C144:C193,C93:C142)</f>
        <v>73.16</v>
      </c>
      <c r="Q187">
        <f>AVERAGE(D144:D193,D93:D142)</f>
        <v>337.99</v>
      </c>
    </row>
    <row r="188" spans="1:31" x14ac:dyDescent="0.35">
      <c r="A188" s="2">
        <v>42447</v>
      </c>
      <c r="B188" s="70" t="s">
        <v>38</v>
      </c>
      <c r="C188" s="10">
        <v>77</v>
      </c>
      <c r="D188" s="10">
        <v>469</v>
      </c>
      <c r="E188" s="10" t="s">
        <v>33</v>
      </c>
      <c r="G188" s="6">
        <f>G187/50*100</f>
        <v>0</v>
      </c>
      <c r="H188" s="6">
        <f t="shared" ref="H188:N188" si="5">H187/50*100</f>
        <v>38</v>
      </c>
      <c r="I188" s="6">
        <f t="shared" si="5"/>
        <v>52</v>
      </c>
      <c r="J188" s="6">
        <f t="shared" si="5"/>
        <v>26</v>
      </c>
      <c r="K188" s="6">
        <f t="shared" si="5"/>
        <v>46</v>
      </c>
      <c r="L188" s="6">
        <f t="shared" si="5"/>
        <v>34</v>
      </c>
      <c r="M188" s="6">
        <f t="shared" si="5"/>
        <v>4</v>
      </c>
      <c r="N188" s="6">
        <f t="shared" si="5"/>
        <v>0</v>
      </c>
    </row>
    <row r="189" spans="1:31" x14ac:dyDescent="0.35">
      <c r="A189" s="2">
        <v>42447</v>
      </c>
      <c r="B189" s="70" t="s">
        <v>38</v>
      </c>
      <c r="C189" s="10">
        <v>71</v>
      </c>
      <c r="D189" s="10">
        <v>282</v>
      </c>
      <c r="E189" s="10" t="s">
        <v>40</v>
      </c>
      <c r="U189" s="5"/>
      <c r="V189" s="5"/>
      <c r="W189" s="5"/>
      <c r="X189" s="5"/>
      <c r="Y189" s="5"/>
      <c r="Z189" s="5"/>
      <c r="AA189" s="5"/>
      <c r="AB189" s="5"/>
      <c r="AD189" s="7"/>
      <c r="AE189" s="8"/>
    </row>
    <row r="190" spans="1:31" x14ac:dyDescent="0.35">
      <c r="A190" s="2">
        <v>42447</v>
      </c>
      <c r="B190" s="70" t="s">
        <v>38</v>
      </c>
      <c r="C190" s="10">
        <v>72</v>
      </c>
      <c r="D190" s="10">
        <v>325</v>
      </c>
      <c r="E190" s="10" t="s">
        <v>36</v>
      </c>
      <c r="U190" s="6"/>
      <c r="V190" s="6"/>
      <c r="W190" s="6"/>
      <c r="X190" s="6"/>
      <c r="Y190" s="6"/>
      <c r="Z190" s="6"/>
      <c r="AA190" s="6"/>
      <c r="AB190" s="6"/>
      <c r="AC190" s="4"/>
      <c r="AD190" s="4"/>
      <c r="AE190" s="4"/>
    </row>
    <row r="191" spans="1:31" x14ac:dyDescent="0.35">
      <c r="A191" s="2">
        <v>42447</v>
      </c>
      <c r="B191" s="70" t="s">
        <v>38</v>
      </c>
      <c r="C191" s="10">
        <v>64</v>
      </c>
      <c r="D191" s="10">
        <v>211</v>
      </c>
      <c r="E191" s="10" t="s">
        <v>36</v>
      </c>
      <c r="F191" t="s">
        <v>278</v>
      </c>
    </row>
    <row r="192" spans="1:31" x14ac:dyDescent="0.35">
      <c r="A192" s="2">
        <v>42447</v>
      </c>
      <c r="B192" s="70" t="s">
        <v>38</v>
      </c>
      <c r="C192" s="10">
        <v>72</v>
      </c>
      <c r="D192" s="10">
        <v>326</v>
      </c>
      <c r="E192" s="10" t="s">
        <v>33</v>
      </c>
      <c r="G192" t="s">
        <v>42</v>
      </c>
      <c r="H192" t="s">
        <v>39</v>
      </c>
      <c r="I192" t="s">
        <v>40</v>
      </c>
      <c r="J192" t="s">
        <v>36</v>
      </c>
      <c r="K192" t="s">
        <v>33</v>
      </c>
      <c r="L192" t="s">
        <v>34</v>
      </c>
      <c r="M192" t="s">
        <v>32</v>
      </c>
      <c r="N192" t="s">
        <v>37</v>
      </c>
      <c r="P192" t="s">
        <v>43</v>
      </c>
      <c r="Q192" t="s">
        <v>44</v>
      </c>
      <c r="T192" s="42">
        <f>AVERAGE(P193,P142)</f>
        <v>73.16</v>
      </c>
      <c r="U192" s="42">
        <f>AVERAGE(Q193,Q142)</f>
        <v>337.99</v>
      </c>
    </row>
    <row r="193" spans="1:21" x14ac:dyDescent="0.35">
      <c r="A193" s="2">
        <v>42447</v>
      </c>
      <c r="B193" s="70" t="s">
        <v>38</v>
      </c>
      <c r="C193" s="10">
        <v>71</v>
      </c>
      <c r="D193" s="10">
        <v>311</v>
      </c>
      <c r="E193" s="10" t="s">
        <v>40</v>
      </c>
      <c r="G193" s="5">
        <f>COUNTIF(E144:E193,"VA")</f>
        <v>0</v>
      </c>
      <c r="H193" s="5">
        <f>COUNTIF(E144:E193,"VB")</f>
        <v>9</v>
      </c>
      <c r="I193" s="5">
        <f>COUNTIF(E144:E193,"VIA0")</f>
        <v>16</v>
      </c>
      <c r="J193" s="5">
        <f>COUNTIF(E144:E193,"VIA1")</f>
        <v>8</v>
      </c>
      <c r="K193" s="5">
        <f>COUNTIF(E144:E193,"VIA2")</f>
        <v>11</v>
      </c>
      <c r="L193" s="5">
        <v>5</v>
      </c>
      <c r="M193" s="5">
        <v>1</v>
      </c>
      <c r="N193" s="5">
        <f>COUNTIF(E144:E193,"VIB")</f>
        <v>0</v>
      </c>
      <c r="P193" s="7">
        <f>AVERAGE(C144:C193)</f>
        <v>71.680000000000007</v>
      </c>
      <c r="Q193" s="8">
        <f>AVERAGE(D144:D193)</f>
        <v>311.95999999999998</v>
      </c>
      <c r="T193">
        <f>AVERAGE(C144:C193,C93:C142)</f>
        <v>73.16</v>
      </c>
      <c r="U193">
        <f>AVERAGE(D144:D193,D93:D142)</f>
        <v>337.99</v>
      </c>
    </row>
    <row r="194" spans="1:21" s="4" customFormat="1" x14ac:dyDescent="0.35">
      <c r="A194" s="3">
        <v>42447</v>
      </c>
      <c r="B194" s="44" t="s">
        <v>38</v>
      </c>
      <c r="C194" s="11">
        <v>192</v>
      </c>
      <c r="D194" s="11"/>
      <c r="E194" s="11" t="s">
        <v>59</v>
      </c>
      <c r="G194" s="6">
        <f>G193/50*100</f>
        <v>0</v>
      </c>
      <c r="H194" s="6">
        <f t="shared" ref="H194" si="6">H193/50*100</f>
        <v>18</v>
      </c>
      <c r="I194" s="6">
        <f t="shared" ref="I194" si="7">I193/50*100</f>
        <v>32</v>
      </c>
      <c r="J194" s="6">
        <f t="shared" ref="J194" si="8">J193/50*100</f>
        <v>16</v>
      </c>
      <c r="K194" s="6">
        <f t="shared" ref="K194" si="9">K193/50*100</f>
        <v>22</v>
      </c>
      <c r="L194" s="6">
        <f t="shared" ref="L194" si="10">L193/50*100</f>
        <v>10</v>
      </c>
      <c r="M194" s="6">
        <f t="shared" ref="M194" si="11">M193/50*100</f>
        <v>2</v>
      </c>
      <c r="N194" s="6">
        <f t="shared" ref="N194" si="12">N193/50*100</f>
        <v>0</v>
      </c>
    </row>
    <row r="195" spans="1:21" x14ac:dyDescent="0.35">
      <c r="A195" s="2">
        <v>42447</v>
      </c>
      <c r="B195" s="70" t="s">
        <v>41</v>
      </c>
      <c r="C195" s="10">
        <v>70</v>
      </c>
      <c r="D195" s="10">
        <v>256</v>
      </c>
      <c r="E195" s="10" t="s">
        <v>33</v>
      </c>
    </row>
    <row r="196" spans="1:21" x14ac:dyDescent="0.35">
      <c r="A196" s="2">
        <v>42447</v>
      </c>
      <c r="B196" s="70" t="s">
        <v>41</v>
      </c>
      <c r="C196" s="10">
        <v>72</v>
      </c>
      <c r="D196" s="8">
        <v>451</v>
      </c>
      <c r="E196" s="10" t="s">
        <v>33</v>
      </c>
    </row>
    <row r="197" spans="1:21" x14ac:dyDescent="0.35">
      <c r="A197" s="2">
        <v>42447</v>
      </c>
      <c r="B197" s="70" t="s">
        <v>41</v>
      </c>
      <c r="C197" s="10">
        <v>75</v>
      </c>
      <c r="D197" s="10">
        <v>297</v>
      </c>
      <c r="E197" s="10" t="s">
        <v>34</v>
      </c>
    </row>
    <row r="198" spans="1:21" x14ac:dyDescent="0.35">
      <c r="A198" s="2">
        <v>42447</v>
      </c>
      <c r="B198" s="70" t="s">
        <v>41</v>
      </c>
      <c r="C198" s="10">
        <v>67</v>
      </c>
      <c r="D198" s="8">
        <v>238</v>
      </c>
      <c r="E198" s="10" t="s">
        <v>40</v>
      </c>
    </row>
    <row r="199" spans="1:21" x14ac:dyDescent="0.35">
      <c r="A199" s="2">
        <v>42447</v>
      </c>
      <c r="B199" s="70" t="s">
        <v>41</v>
      </c>
      <c r="C199" s="10">
        <v>68</v>
      </c>
      <c r="D199" s="8">
        <v>185</v>
      </c>
      <c r="E199" s="10" t="s">
        <v>36</v>
      </c>
    </row>
    <row r="200" spans="1:21" x14ac:dyDescent="0.35">
      <c r="A200" s="2">
        <v>42447</v>
      </c>
      <c r="B200" s="70" t="s">
        <v>41</v>
      </c>
      <c r="C200" s="10">
        <v>77</v>
      </c>
      <c r="D200" s="8">
        <v>343</v>
      </c>
      <c r="E200" s="10" t="s">
        <v>33</v>
      </c>
    </row>
    <row r="201" spans="1:21" x14ac:dyDescent="0.35">
      <c r="A201" s="2">
        <v>42447</v>
      </c>
      <c r="B201" s="70" t="s">
        <v>41</v>
      </c>
      <c r="C201" s="10">
        <v>76</v>
      </c>
      <c r="D201" s="8">
        <v>400</v>
      </c>
      <c r="E201" s="10" t="s">
        <v>33</v>
      </c>
    </row>
    <row r="202" spans="1:21" x14ac:dyDescent="0.35">
      <c r="A202" s="2">
        <v>42447</v>
      </c>
      <c r="B202" s="70" t="s">
        <v>41</v>
      </c>
      <c r="C202" s="10">
        <v>72</v>
      </c>
      <c r="D202" s="8">
        <v>327</v>
      </c>
      <c r="E202" s="10" t="s">
        <v>40</v>
      </c>
    </row>
    <row r="203" spans="1:21" x14ac:dyDescent="0.35">
      <c r="A203" s="2">
        <v>42447</v>
      </c>
      <c r="B203" s="70" t="s">
        <v>41</v>
      </c>
      <c r="C203" s="10">
        <v>62</v>
      </c>
      <c r="D203" s="8">
        <v>200</v>
      </c>
      <c r="E203" s="10" t="s">
        <v>39</v>
      </c>
    </row>
    <row r="204" spans="1:21" x14ac:dyDescent="0.35">
      <c r="A204" s="2">
        <v>42447</v>
      </c>
      <c r="B204" s="70" t="s">
        <v>41</v>
      </c>
      <c r="C204" s="10">
        <v>68</v>
      </c>
      <c r="D204" s="8">
        <v>267</v>
      </c>
      <c r="E204" s="10" t="s">
        <v>34</v>
      </c>
    </row>
    <row r="205" spans="1:21" x14ac:dyDescent="0.35">
      <c r="A205" s="2">
        <v>42447</v>
      </c>
      <c r="B205" s="70" t="s">
        <v>41</v>
      </c>
      <c r="C205" s="10">
        <v>75</v>
      </c>
      <c r="D205" s="8">
        <v>453</v>
      </c>
      <c r="E205" s="10" t="s">
        <v>36</v>
      </c>
    </row>
    <row r="206" spans="1:21" x14ac:dyDescent="0.35">
      <c r="A206" s="2">
        <v>42447</v>
      </c>
      <c r="B206" s="70" t="s">
        <v>41</v>
      </c>
      <c r="C206" s="10">
        <v>70</v>
      </c>
      <c r="D206" s="8">
        <v>323</v>
      </c>
      <c r="E206" s="10" t="s">
        <v>33</v>
      </c>
      <c r="G206" s="42"/>
    </row>
    <row r="207" spans="1:21" x14ac:dyDescent="0.35">
      <c r="A207" s="2">
        <v>42447</v>
      </c>
      <c r="B207" s="70" t="s">
        <v>41</v>
      </c>
      <c r="C207" s="10">
        <v>70</v>
      </c>
      <c r="D207" s="8">
        <v>288</v>
      </c>
      <c r="E207" s="10" t="s">
        <v>40</v>
      </c>
    </row>
    <row r="208" spans="1:21" x14ac:dyDescent="0.35">
      <c r="A208" s="2">
        <v>42447</v>
      </c>
      <c r="B208" s="70" t="s">
        <v>41</v>
      </c>
      <c r="C208" s="10">
        <v>74</v>
      </c>
      <c r="D208" s="8">
        <v>356</v>
      </c>
      <c r="E208" s="10" t="s">
        <v>33</v>
      </c>
      <c r="F208" t="s">
        <v>276</v>
      </c>
      <c r="T208" t="s">
        <v>116</v>
      </c>
    </row>
    <row r="209" spans="1:30" x14ac:dyDescent="0.35">
      <c r="A209" s="2">
        <v>42447</v>
      </c>
      <c r="B209" s="70" t="s">
        <v>41</v>
      </c>
      <c r="C209" s="10">
        <v>70</v>
      </c>
      <c r="D209" s="8">
        <v>270</v>
      </c>
      <c r="E209" s="10" t="s">
        <v>34</v>
      </c>
      <c r="G209" t="s">
        <v>42</v>
      </c>
      <c r="H209" t="s">
        <v>39</v>
      </c>
      <c r="I209" t="s">
        <v>40</v>
      </c>
      <c r="J209" t="s">
        <v>36</v>
      </c>
      <c r="K209" t="s">
        <v>33</v>
      </c>
      <c r="L209" t="s">
        <v>34</v>
      </c>
      <c r="M209" t="s">
        <v>32</v>
      </c>
      <c r="N209" t="s">
        <v>37</v>
      </c>
      <c r="P209" t="s">
        <v>43</v>
      </c>
      <c r="Q209" t="s">
        <v>44</v>
      </c>
      <c r="T209" t="s">
        <v>42</v>
      </c>
      <c r="U209" t="s">
        <v>39</v>
      </c>
      <c r="V209" t="s">
        <v>40</v>
      </c>
      <c r="W209" t="s">
        <v>36</v>
      </c>
      <c r="X209" t="s">
        <v>33</v>
      </c>
      <c r="Y209" t="s">
        <v>34</v>
      </c>
      <c r="Z209" t="s">
        <v>32</v>
      </c>
      <c r="AA209" t="s">
        <v>37</v>
      </c>
      <c r="AB209" t="s">
        <v>59</v>
      </c>
      <c r="AC209" t="s">
        <v>155</v>
      </c>
      <c r="AD209" t="s">
        <v>156</v>
      </c>
    </row>
    <row r="210" spans="1:30" x14ac:dyDescent="0.35">
      <c r="A210" s="2">
        <v>42447</v>
      </c>
      <c r="B210" s="70" t="s">
        <v>41</v>
      </c>
      <c r="C210" s="10">
        <v>76</v>
      </c>
      <c r="D210" s="8">
        <v>355</v>
      </c>
      <c r="E210" s="10" t="s">
        <v>33</v>
      </c>
      <c r="G210" s="5">
        <f>COUNTIF(E195:E211,"VA")</f>
        <v>0</v>
      </c>
      <c r="H210" s="5">
        <f>COUNTIF(E195:E211,"VB")</f>
        <v>1</v>
      </c>
      <c r="I210" s="5">
        <f>COUNTIF(E195:E211,"VIA0")</f>
        <v>4</v>
      </c>
      <c r="J210" s="5">
        <f>COUNTIF(E195:E211,"VIA1")</f>
        <v>2</v>
      </c>
      <c r="K210" s="5">
        <f>COUNTIF(E195:E211,"VIA2")</f>
        <v>7</v>
      </c>
      <c r="L210" s="5">
        <f>COUNTIF(E195:E211,"VIA3")</f>
        <v>3</v>
      </c>
      <c r="M210" s="5">
        <f>COUNTIF(E195:E211,"VIA4")</f>
        <v>0</v>
      </c>
      <c r="N210" s="5">
        <f>COUNTIF(E195:E211,"VIB")</f>
        <v>0</v>
      </c>
      <c r="P210" s="7">
        <f>AVERAGE(C195:C211)</f>
        <v>71.705882352941174</v>
      </c>
      <c r="Q210" s="8">
        <f>AVERAGE(D195:D211)</f>
        <v>311.88235294117646</v>
      </c>
      <c r="T210" s="27">
        <f>COUNTIF(E93:E211,"VA")</f>
        <v>0</v>
      </c>
      <c r="U210" s="27">
        <f>COUNTIF(E93:E211,"VB")</f>
        <v>20</v>
      </c>
      <c r="V210" s="27">
        <f>COUNTIF(E93:E211,"VIA0")</f>
        <v>30</v>
      </c>
      <c r="W210" s="27">
        <f>COUNTIF(E93:E211,"VIA1")</f>
        <v>15</v>
      </c>
      <c r="X210" s="27">
        <f>COUNTIF(E93:E211,"VIA2")</f>
        <v>30</v>
      </c>
      <c r="Y210" s="27">
        <v>20</v>
      </c>
      <c r="Z210" s="27">
        <v>2</v>
      </c>
      <c r="AA210" s="27">
        <f>COUNTIF(E93:E211,"VIB")</f>
        <v>0</v>
      </c>
      <c r="AB210" s="5">
        <f>COUNTIF(E93:E211,"potlood")</f>
        <v>1</v>
      </c>
      <c r="AC210" s="8">
        <f>AVERAGE(C195:C211,C144:C193,C93:C142)</f>
        <v>72.948717948717942</v>
      </c>
      <c r="AD210" s="8">
        <f>AVERAGE(D195:D211,D144:D193,D93:D142)</f>
        <v>334.19658119658118</v>
      </c>
    </row>
    <row r="211" spans="1:30" s="4" customFormat="1" x14ac:dyDescent="0.35">
      <c r="A211" s="3">
        <v>42447</v>
      </c>
      <c r="B211" s="44" t="s">
        <v>41</v>
      </c>
      <c r="C211" s="11">
        <v>77</v>
      </c>
      <c r="D211" s="6">
        <v>293</v>
      </c>
      <c r="E211" s="11" t="s">
        <v>40</v>
      </c>
      <c r="G211" s="6">
        <f>G210/17*100</f>
        <v>0</v>
      </c>
      <c r="H211" s="6">
        <f t="shared" ref="H211:N211" si="13">H210/17*100</f>
        <v>5.8823529411764701</v>
      </c>
      <c r="I211" s="6">
        <f t="shared" si="13"/>
        <v>23.52941176470588</v>
      </c>
      <c r="J211" s="6">
        <f t="shared" si="13"/>
        <v>11.76470588235294</v>
      </c>
      <c r="K211" s="6">
        <f t="shared" si="13"/>
        <v>41.17647058823529</v>
      </c>
      <c r="L211" s="6">
        <f t="shared" si="13"/>
        <v>17.647058823529413</v>
      </c>
      <c r="M211" s="6">
        <f t="shared" si="13"/>
        <v>0</v>
      </c>
      <c r="N211" s="6">
        <f t="shared" si="13"/>
        <v>0</v>
      </c>
      <c r="T211" s="28">
        <f>T210/117*100</f>
        <v>0</v>
      </c>
      <c r="U211" s="28">
        <f t="shared" ref="U211:AA211" si="14">U210/117*100</f>
        <v>17.094017094017094</v>
      </c>
      <c r="V211" s="28">
        <f t="shared" si="14"/>
        <v>25.641025641025639</v>
      </c>
      <c r="W211" s="28">
        <f t="shared" si="14"/>
        <v>12.820512820512819</v>
      </c>
      <c r="X211" s="28">
        <f t="shared" si="14"/>
        <v>25.641025641025639</v>
      </c>
      <c r="Y211" s="28">
        <f t="shared" si="14"/>
        <v>17.094017094017094</v>
      </c>
      <c r="Z211" s="28">
        <f t="shared" si="14"/>
        <v>1.7094017094017095</v>
      </c>
      <c r="AA211" s="28">
        <f t="shared" si="14"/>
        <v>0</v>
      </c>
    </row>
    <row r="212" spans="1:30" x14ac:dyDescent="0.35">
      <c r="A212" s="13">
        <v>42454</v>
      </c>
      <c r="B212" s="40" t="s">
        <v>29</v>
      </c>
      <c r="C212" s="10">
        <v>106</v>
      </c>
      <c r="D212" s="14">
        <v>1839</v>
      </c>
      <c r="E212" s="10" t="s">
        <v>59</v>
      </c>
    </row>
    <row r="213" spans="1:30" x14ac:dyDescent="0.35">
      <c r="A213" s="13">
        <v>42454</v>
      </c>
      <c r="B213" s="40" t="s">
        <v>29</v>
      </c>
      <c r="C213" s="10">
        <v>104</v>
      </c>
      <c r="D213" s="14">
        <v>1321</v>
      </c>
      <c r="E213" s="10" t="s">
        <v>59</v>
      </c>
    </row>
    <row r="214" spans="1:30" x14ac:dyDescent="0.35">
      <c r="A214" s="13">
        <v>42454</v>
      </c>
      <c r="B214" s="40" t="s">
        <v>29</v>
      </c>
      <c r="C214" s="10">
        <v>121</v>
      </c>
      <c r="D214" s="14">
        <v>1960</v>
      </c>
      <c r="E214" s="10" t="s">
        <v>59</v>
      </c>
    </row>
    <row r="215" spans="1:30" x14ac:dyDescent="0.35">
      <c r="A215" s="13">
        <v>42454</v>
      </c>
      <c r="B215" s="40" t="s">
        <v>29</v>
      </c>
      <c r="C215" s="10">
        <v>111</v>
      </c>
      <c r="D215" s="14">
        <v>1550</v>
      </c>
      <c r="E215" s="10" t="s">
        <v>59</v>
      </c>
    </row>
    <row r="216" spans="1:30" x14ac:dyDescent="0.35">
      <c r="A216" s="13">
        <v>42454</v>
      </c>
      <c r="B216" s="40" t="s">
        <v>29</v>
      </c>
      <c r="C216" s="10">
        <v>97</v>
      </c>
      <c r="D216" s="14">
        <v>1318</v>
      </c>
      <c r="E216" s="10" t="s">
        <v>59</v>
      </c>
    </row>
    <row r="217" spans="1:30" x14ac:dyDescent="0.35">
      <c r="A217" s="13">
        <v>42454</v>
      </c>
      <c r="B217" s="40" t="s">
        <v>29</v>
      </c>
      <c r="C217" s="10">
        <v>122</v>
      </c>
      <c r="D217" s="14">
        <v>1776</v>
      </c>
      <c r="E217" s="10" t="s">
        <v>59</v>
      </c>
    </row>
    <row r="218" spans="1:30" x14ac:dyDescent="0.35">
      <c r="A218" s="13">
        <v>42454</v>
      </c>
      <c r="B218" s="40" t="s">
        <v>29</v>
      </c>
      <c r="C218" s="10">
        <v>115</v>
      </c>
      <c r="D218" s="14">
        <v>1671</v>
      </c>
      <c r="E218" s="10" t="s">
        <v>59</v>
      </c>
    </row>
    <row r="219" spans="1:30" s="4" customFormat="1" x14ac:dyDescent="0.35">
      <c r="A219" s="3">
        <v>42454</v>
      </c>
      <c r="B219" s="44" t="s">
        <v>29</v>
      </c>
      <c r="C219" s="11">
        <v>136</v>
      </c>
      <c r="D219" s="15">
        <v>2247</v>
      </c>
      <c r="E219" s="11" t="s">
        <v>59</v>
      </c>
      <c r="P219" s="4">
        <f>AVERAGE(C212:C219)</f>
        <v>114</v>
      </c>
      <c r="Q219" s="4">
        <f>AVERAGE(D212:D219)</f>
        <v>1710.25</v>
      </c>
      <c r="S219" s="4" t="e">
        <f>AVERAGE(#REF!)</f>
        <v>#REF!</v>
      </c>
    </row>
    <row r="220" spans="1:30" x14ac:dyDescent="0.35">
      <c r="A220" s="13">
        <v>42454</v>
      </c>
      <c r="B220" s="40" t="s">
        <v>38</v>
      </c>
      <c r="C220" s="10">
        <v>75</v>
      </c>
      <c r="D220" s="14">
        <v>397</v>
      </c>
      <c r="E220" s="10" t="s">
        <v>40</v>
      </c>
      <c r="F220" t="s">
        <v>64</v>
      </c>
    </row>
    <row r="221" spans="1:30" x14ac:dyDescent="0.35">
      <c r="A221" s="13">
        <v>42454</v>
      </c>
      <c r="B221" s="40" t="s">
        <v>38</v>
      </c>
      <c r="C221" s="10">
        <v>72</v>
      </c>
      <c r="D221" s="14">
        <v>265</v>
      </c>
      <c r="E221" s="10" t="s">
        <v>33</v>
      </c>
    </row>
    <row r="222" spans="1:30" x14ac:dyDescent="0.35">
      <c r="A222" s="13">
        <v>42454</v>
      </c>
      <c r="B222" s="40" t="s">
        <v>38</v>
      </c>
      <c r="C222" s="10">
        <v>67</v>
      </c>
      <c r="D222" s="14">
        <v>280</v>
      </c>
      <c r="E222" s="10" t="s">
        <v>32</v>
      </c>
      <c r="S222" s="8"/>
    </row>
    <row r="223" spans="1:30" x14ac:dyDescent="0.35">
      <c r="A223" s="13">
        <v>42454</v>
      </c>
      <c r="B223" s="40" t="s">
        <v>38</v>
      </c>
      <c r="C223" s="10">
        <v>72</v>
      </c>
      <c r="D223" s="14">
        <v>283</v>
      </c>
      <c r="E223" s="10" t="s">
        <v>33</v>
      </c>
    </row>
    <row r="224" spans="1:30" x14ac:dyDescent="0.35">
      <c r="A224" s="13">
        <v>42454</v>
      </c>
      <c r="B224" s="40" t="s">
        <v>38</v>
      </c>
      <c r="C224" s="10">
        <v>67</v>
      </c>
      <c r="D224" s="14">
        <v>225</v>
      </c>
      <c r="E224" s="10" t="s">
        <v>32</v>
      </c>
    </row>
    <row r="225" spans="1:6" x14ac:dyDescent="0.35">
      <c r="A225" s="13">
        <v>42454</v>
      </c>
      <c r="B225" s="40" t="s">
        <v>38</v>
      </c>
      <c r="C225" s="10">
        <v>66</v>
      </c>
      <c r="D225" s="14">
        <v>180</v>
      </c>
      <c r="E225" s="10" t="s">
        <v>32</v>
      </c>
    </row>
    <row r="226" spans="1:6" x14ac:dyDescent="0.35">
      <c r="A226" s="13">
        <v>42454</v>
      </c>
      <c r="B226" s="40" t="s">
        <v>38</v>
      </c>
      <c r="C226" s="10">
        <v>70</v>
      </c>
      <c r="D226" s="14">
        <v>262</v>
      </c>
      <c r="E226" s="10" t="s">
        <v>39</v>
      </c>
    </row>
    <row r="227" spans="1:6" x14ac:dyDescent="0.35">
      <c r="A227" s="13">
        <v>42454</v>
      </c>
      <c r="B227" s="40" t="s">
        <v>38</v>
      </c>
      <c r="C227" s="10">
        <v>63</v>
      </c>
      <c r="D227" s="14">
        <v>178</v>
      </c>
      <c r="E227" s="10" t="s">
        <v>34</v>
      </c>
    </row>
    <row r="228" spans="1:6" x14ac:dyDescent="0.35">
      <c r="A228" s="13">
        <v>42454</v>
      </c>
      <c r="B228" s="40" t="s">
        <v>38</v>
      </c>
      <c r="C228" s="10">
        <v>69</v>
      </c>
      <c r="D228" s="14">
        <v>301</v>
      </c>
      <c r="E228" s="10" t="s">
        <v>33</v>
      </c>
    </row>
    <row r="229" spans="1:6" x14ac:dyDescent="0.35">
      <c r="A229" s="13">
        <v>42454</v>
      </c>
      <c r="B229" s="40" t="s">
        <v>38</v>
      </c>
      <c r="C229" s="10">
        <v>72</v>
      </c>
      <c r="D229" s="14">
        <v>320</v>
      </c>
      <c r="E229" s="10" t="s">
        <v>40</v>
      </c>
    </row>
    <row r="230" spans="1:6" x14ac:dyDescent="0.35">
      <c r="A230" s="13">
        <v>42454</v>
      </c>
      <c r="B230" s="40" t="s">
        <v>38</v>
      </c>
      <c r="C230" s="10">
        <v>78</v>
      </c>
      <c r="D230" s="14">
        <v>480</v>
      </c>
      <c r="E230" s="10" t="s">
        <v>36</v>
      </c>
    </row>
    <row r="231" spans="1:6" x14ac:dyDescent="0.35">
      <c r="A231" s="13">
        <v>42454</v>
      </c>
      <c r="B231" s="40" t="s">
        <v>38</v>
      </c>
      <c r="C231" s="10">
        <v>67</v>
      </c>
      <c r="D231" s="14">
        <v>213</v>
      </c>
      <c r="E231" s="10" t="s">
        <v>34</v>
      </c>
    </row>
    <row r="232" spans="1:6" x14ac:dyDescent="0.35">
      <c r="A232" s="13">
        <v>42454</v>
      </c>
      <c r="B232" s="40" t="s">
        <v>38</v>
      </c>
      <c r="C232" s="10">
        <v>75</v>
      </c>
      <c r="D232" s="14">
        <v>275</v>
      </c>
      <c r="E232" s="10" t="s">
        <v>33</v>
      </c>
    </row>
    <row r="233" spans="1:6" x14ac:dyDescent="0.35">
      <c r="A233" s="13">
        <v>42454</v>
      </c>
      <c r="B233" s="40" t="s">
        <v>38</v>
      </c>
      <c r="C233" s="10">
        <v>75</v>
      </c>
      <c r="D233" s="14">
        <v>335</v>
      </c>
      <c r="E233" s="10" t="s">
        <v>34</v>
      </c>
    </row>
    <row r="234" spans="1:6" x14ac:dyDescent="0.35">
      <c r="A234" s="13">
        <v>42454</v>
      </c>
      <c r="B234" s="40" t="s">
        <v>38</v>
      </c>
      <c r="C234" s="10">
        <v>72</v>
      </c>
      <c r="D234" s="14">
        <v>337</v>
      </c>
      <c r="E234" s="10" t="s">
        <v>33</v>
      </c>
    </row>
    <row r="235" spans="1:6" x14ac:dyDescent="0.35">
      <c r="A235" s="13">
        <v>42454</v>
      </c>
      <c r="B235" s="40" t="s">
        <v>38</v>
      </c>
      <c r="C235" s="10">
        <v>75</v>
      </c>
      <c r="D235" s="14">
        <v>373</v>
      </c>
      <c r="E235" s="10" t="s">
        <v>34</v>
      </c>
    </row>
    <row r="236" spans="1:6" x14ac:dyDescent="0.35">
      <c r="A236" s="13">
        <v>42454</v>
      </c>
      <c r="B236" s="40" t="s">
        <v>38</v>
      </c>
      <c r="C236" s="10">
        <v>68</v>
      </c>
      <c r="D236" s="14">
        <v>231</v>
      </c>
      <c r="E236" s="10" t="s">
        <v>33</v>
      </c>
    </row>
    <row r="237" spans="1:6" x14ac:dyDescent="0.35">
      <c r="A237" s="13">
        <v>42454</v>
      </c>
      <c r="B237" s="40" t="s">
        <v>38</v>
      </c>
      <c r="C237" s="10">
        <v>76</v>
      </c>
      <c r="D237" s="14">
        <v>373</v>
      </c>
      <c r="E237" s="10" t="s">
        <v>33</v>
      </c>
    </row>
    <row r="238" spans="1:6" x14ac:dyDescent="0.35">
      <c r="A238" s="13">
        <v>42454</v>
      </c>
      <c r="B238" s="40" t="s">
        <v>38</v>
      </c>
      <c r="C238" s="10">
        <v>67</v>
      </c>
      <c r="D238" s="14">
        <v>250</v>
      </c>
      <c r="E238" s="10" t="s">
        <v>34</v>
      </c>
      <c r="F238" t="s">
        <v>65</v>
      </c>
    </row>
    <row r="239" spans="1:6" x14ac:dyDescent="0.35">
      <c r="A239" s="13">
        <v>42454</v>
      </c>
      <c r="B239" s="40" t="s">
        <v>38</v>
      </c>
      <c r="C239" s="10">
        <v>67</v>
      </c>
      <c r="D239" s="14">
        <v>256</v>
      </c>
      <c r="E239" s="10" t="s">
        <v>36</v>
      </c>
    </row>
    <row r="240" spans="1:6" x14ac:dyDescent="0.35">
      <c r="A240" s="13">
        <v>42454</v>
      </c>
      <c r="B240" s="40" t="s">
        <v>38</v>
      </c>
      <c r="C240" s="10">
        <v>68</v>
      </c>
      <c r="D240" s="14">
        <v>206</v>
      </c>
      <c r="E240" s="10" t="s">
        <v>33</v>
      </c>
    </row>
    <row r="241" spans="1:6" x14ac:dyDescent="0.35">
      <c r="A241" s="13">
        <v>42454</v>
      </c>
      <c r="B241" s="40" t="s">
        <v>38</v>
      </c>
      <c r="C241" s="10">
        <v>62</v>
      </c>
      <c r="D241" s="14">
        <v>268</v>
      </c>
      <c r="E241" s="10" t="s">
        <v>33</v>
      </c>
    </row>
    <row r="242" spans="1:6" x14ac:dyDescent="0.35">
      <c r="A242" s="13">
        <v>42454</v>
      </c>
      <c r="B242" s="40" t="s">
        <v>38</v>
      </c>
      <c r="C242" s="10">
        <v>72</v>
      </c>
      <c r="D242" s="14">
        <v>297</v>
      </c>
      <c r="E242" s="10" t="s">
        <v>32</v>
      </c>
    </row>
    <row r="243" spans="1:6" x14ac:dyDescent="0.35">
      <c r="A243" s="13">
        <v>42454</v>
      </c>
      <c r="B243" s="40" t="s">
        <v>38</v>
      </c>
      <c r="C243" s="10">
        <v>74</v>
      </c>
      <c r="D243" s="14">
        <v>392</v>
      </c>
      <c r="E243" s="10" t="s">
        <v>34</v>
      </c>
    </row>
    <row r="244" spans="1:6" x14ac:dyDescent="0.35">
      <c r="A244" s="13">
        <v>42454</v>
      </c>
      <c r="B244" s="40" t="s">
        <v>38</v>
      </c>
      <c r="C244" s="10">
        <v>70</v>
      </c>
      <c r="D244" s="14">
        <v>236</v>
      </c>
      <c r="E244" s="10" t="s">
        <v>33</v>
      </c>
    </row>
    <row r="245" spans="1:6" x14ac:dyDescent="0.35">
      <c r="A245" s="13">
        <v>42454</v>
      </c>
      <c r="B245" s="40" t="s">
        <v>38</v>
      </c>
      <c r="C245" s="10">
        <v>65</v>
      </c>
      <c r="D245" s="14">
        <v>170</v>
      </c>
      <c r="E245" s="10" t="s">
        <v>34</v>
      </c>
    </row>
    <row r="246" spans="1:6" x14ac:dyDescent="0.35">
      <c r="A246" s="13">
        <v>42454</v>
      </c>
      <c r="B246" s="40" t="s">
        <v>38</v>
      </c>
      <c r="C246" s="10">
        <v>75</v>
      </c>
      <c r="D246" s="14">
        <v>332</v>
      </c>
      <c r="E246" s="10" t="s">
        <v>32</v>
      </c>
    </row>
    <row r="247" spans="1:6" x14ac:dyDescent="0.35">
      <c r="A247" s="13">
        <v>42454</v>
      </c>
      <c r="B247" s="40" t="s">
        <v>38</v>
      </c>
      <c r="C247" s="10">
        <v>73</v>
      </c>
      <c r="D247" s="14">
        <v>288</v>
      </c>
      <c r="E247" s="10" t="s">
        <v>40</v>
      </c>
      <c r="F247" t="s">
        <v>65</v>
      </c>
    </row>
    <row r="248" spans="1:6" x14ac:dyDescent="0.35">
      <c r="A248" s="13">
        <v>42454</v>
      </c>
      <c r="B248" s="40" t="s">
        <v>38</v>
      </c>
      <c r="C248" s="10">
        <v>70</v>
      </c>
      <c r="D248" s="14">
        <v>225</v>
      </c>
      <c r="E248" s="10" t="s">
        <v>34</v>
      </c>
    </row>
    <row r="249" spans="1:6" x14ac:dyDescent="0.35">
      <c r="A249" s="13">
        <v>42454</v>
      </c>
      <c r="B249" s="40" t="s">
        <v>38</v>
      </c>
      <c r="C249" s="10">
        <v>75</v>
      </c>
      <c r="D249" s="14">
        <v>367</v>
      </c>
      <c r="E249" s="10" t="s">
        <v>32</v>
      </c>
    </row>
    <row r="250" spans="1:6" x14ac:dyDescent="0.35">
      <c r="A250" s="13">
        <v>42454</v>
      </c>
      <c r="B250" s="40" t="s">
        <v>38</v>
      </c>
      <c r="C250" s="10">
        <v>72</v>
      </c>
      <c r="D250" s="14">
        <v>300</v>
      </c>
      <c r="E250" s="10" t="s">
        <v>34</v>
      </c>
    </row>
    <row r="251" spans="1:6" x14ac:dyDescent="0.35">
      <c r="A251" s="13">
        <v>42454</v>
      </c>
      <c r="B251" s="40" t="s">
        <v>38</v>
      </c>
      <c r="C251" s="10">
        <v>68</v>
      </c>
      <c r="D251" s="14">
        <v>271</v>
      </c>
      <c r="E251" s="10" t="s">
        <v>33</v>
      </c>
    </row>
    <row r="252" spans="1:6" x14ac:dyDescent="0.35">
      <c r="A252" s="13">
        <v>42454</v>
      </c>
      <c r="B252" s="40" t="s">
        <v>38</v>
      </c>
      <c r="C252" s="10">
        <v>70</v>
      </c>
      <c r="D252" s="14">
        <v>238</v>
      </c>
      <c r="E252" s="10" t="s">
        <v>34</v>
      </c>
    </row>
    <row r="253" spans="1:6" x14ac:dyDescent="0.35">
      <c r="A253" s="13">
        <v>42454</v>
      </c>
      <c r="B253" s="40" t="s">
        <v>38</v>
      </c>
      <c r="C253" s="10">
        <v>65</v>
      </c>
      <c r="D253" s="14">
        <v>242</v>
      </c>
      <c r="E253" s="10" t="s">
        <v>33</v>
      </c>
    </row>
    <row r="254" spans="1:6" x14ac:dyDescent="0.35">
      <c r="A254" s="13">
        <v>42454</v>
      </c>
      <c r="B254" s="40" t="s">
        <v>38</v>
      </c>
      <c r="C254" s="10">
        <v>70</v>
      </c>
      <c r="D254" s="14">
        <v>267</v>
      </c>
      <c r="E254" s="10" t="s">
        <v>40</v>
      </c>
    </row>
    <row r="255" spans="1:6" x14ac:dyDescent="0.35">
      <c r="A255" s="13">
        <v>42454</v>
      </c>
      <c r="B255" s="40" t="s">
        <v>38</v>
      </c>
      <c r="C255" s="10">
        <v>75</v>
      </c>
      <c r="D255" s="14">
        <v>337</v>
      </c>
      <c r="E255" s="10" t="s">
        <v>34</v>
      </c>
    </row>
    <row r="256" spans="1:6" x14ac:dyDescent="0.35">
      <c r="A256" s="13">
        <v>42454</v>
      </c>
      <c r="B256" s="40" t="s">
        <v>38</v>
      </c>
      <c r="C256" s="10">
        <v>72</v>
      </c>
      <c r="D256" s="14">
        <v>278</v>
      </c>
      <c r="E256" s="10" t="s">
        <v>33</v>
      </c>
    </row>
    <row r="257" spans="1:19" x14ac:dyDescent="0.35">
      <c r="A257" s="13">
        <v>42454</v>
      </c>
      <c r="B257" s="40" t="s">
        <v>38</v>
      </c>
      <c r="C257" s="10">
        <v>68</v>
      </c>
      <c r="D257" s="14">
        <v>262</v>
      </c>
      <c r="E257" s="10" t="s">
        <v>33</v>
      </c>
    </row>
    <row r="258" spans="1:19" x14ac:dyDescent="0.35">
      <c r="A258" s="13">
        <v>42454</v>
      </c>
      <c r="B258" s="40" t="s">
        <v>38</v>
      </c>
      <c r="C258" s="10">
        <v>65</v>
      </c>
      <c r="D258" s="14">
        <v>214</v>
      </c>
      <c r="E258" s="10" t="s">
        <v>34</v>
      </c>
    </row>
    <row r="259" spans="1:19" x14ac:dyDescent="0.35">
      <c r="A259" s="13">
        <v>42454</v>
      </c>
      <c r="B259" s="40" t="s">
        <v>38</v>
      </c>
      <c r="C259" s="10">
        <v>72</v>
      </c>
      <c r="D259" s="14">
        <v>330</v>
      </c>
      <c r="E259" s="10" t="s">
        <v>33</v>
      </c>
    </row>
    <row r="260" spans="1:19" x14ac:dyDescent="0.35">
      <c r="A260" s="13">
        <v>42454</v>
      </c>
      <c r="B260" s="40" t="s">
        <v>38</v>
      </c>
      <c r="C260" s="10">
        <v>74</v>
      </c>
      <c r="D260" s="14">
        <v>362</v>
      </c>
      <c r="E260" s="10" t="s">
        <v>33</v>
      </c>
    </row>
    <row r="261" spans="1:19" x14ac:dyDescent="0.35">
      <c r="A261" s="13">
        <v>42454</v>
      </c>
      <c r="B261" s="40" t="s">
        <v>38</v>
      </c>
      <c r="C261" s="10">
        <v>73</v>
      </c>
      <c r="D261" s="14">
        <v>349</v>
      </c>
      <c r="E261" s="10" t="s">
        <v>32</v>
      </c>
    </row>
    <row r="262" spans="1:19" x14ac:dyDescent="0.35">
      <c r="A262" s="13">
        <v>42454</v>
      </c>
      <c r="B262" s="40" t="s">
        <v>38</v>
      </c>
      <c r="C262" s="10">
        <v>76</v>
      </c>
      <c r="D262" s="14">
        <v>398</v>
      </c>
      <c r="E262" s="10" t="s">
        <v>40</v>
      </c>
    </row>
    <row r="263" spans="1:19" x14ac:dyDescent="0.35">
      <c r="A263" s="13">
        <v>42454</v>
      </c>
      <c r="B263" s="40" t="s">
        <v>38</v>
      </c>
      <c r="C263" s="10">
        <v>73</v>
      </c>
      <c r="D263" s="14">
        <v>379</v>
      </c>
      <c r="E263" s="10" t="s">
        <v>33</v>
      </c>
    </row>
    <row r="264" spans="1:19" x14ac:dyDescent="0.35">
      <c r="A264" s="13">
        <v>42454</v>
      </c>
      <c r="B264" s="40" t="s">
        <v>38</v>
      </c>
      <c r="C264" s="10">
        <v>72</v>
      </c>
      <c r="D264" s="14">
        <v>326</v>
      </c>
      <c r="E264" s="10" t="s">
        <v>34</v>
      </c>
    </row>
    <row r="265" spans="1:19" x14ac:dyDescent="0.35">
      <c r="A265" s="13">
        <v>42454</v>
      </c>
      <c r="B265" s="40" t="s">
        <v>38</v>
      </c>
      <c r="C265" s="10">
        <v>71</v>
      </c>
      <c r="D265" s="14">
        <v>285</v>
      </c>
      <c r="E265" s="10" t="s">
        <v>33</v>
      </c>
    </row>
    <row r="266" spans="1:19" x14ac:dyDescent="0.35">
      <c r="A266" s="13">
        <v>42454</v>
      </c>
      <c r="B266" s="40" t="s">
        <v>38</v>
      </c>
      <c r="C266" s="10">
        <v>67</v>
      </c>
      <c r="D266" s="14">
        <v>329</v>
      </c>
      <c r="E266" s="10" t="s">
        <v>34</v>
      </c>
    </row>
    <row r="267" spans="1:19" x14ac:dyDescent="0.35">
      <c r="A267" s="13">
        <v>42454</v>
      </c>
      <c r="B267" s="40" t="s">
        <v>38</v>
      </c>
      <c r="C267" s="10">
        <v>65</v>
      </c>
      <c r="D267" s="14">
        <v>253</v>
      </c>
      <c r="E267" s="10" t="s">
        <v>36</v>
      </c>
      <c r="F267" t="s">
        <v>278</v>
      </c>
    </row>
    <row r="268" spans="1:19" x14ac:dyDescent="0.35">
      <c r="A268" s="13">
        <v>42454</v>
      </c>
      <c r="B268" s="40" t="s">
        <v>38</v>
      </c>
      <c r="C268" s="10">
        <v>77</v>
      </c>
      <c r="D268" s="14">
        <v>243</v>
      </c>
      <c r="E268" s="10" t="s">
        <v>40</v>
      </c>
      <c r="G268" t="s">
        <v>42</v>
      </c>
      <c r="H268" t="s">
        <v>39</v>
      </c>
      <c r="I268" t="s">
        <v>40</v>
      </c>
      <c r="J268" t="s">
        <v>36</v>
      </c>
      <c r="K268" t="s">
        <v>33</v>
      </c>
      <c r="L268" t="s">
        <v>34</v>
      </c>
      <c r="M268" t="s">
        <v>32</v>
      </c>
      <c r="N268" t="s">
        <v>37</v>
      </c>
      <c r="P268" t="s">
        <v>43</v>
      </c>
      <c r="Q268" t="s">
        <v>44</v>
      </c>
    </row>
    <row r="269" spans="1:19" x14ac:dyDescent="0.35">
      <c r="A269" s="13">
        <v>42454</v>
      </c>
      <c r="B269" s="40" t="s">
        <v>38</v>
      </c>
      <c r="C269" s="10">
        <v>70</v>
      </c>
      <c r="D269" s="14">
        <v>270</v>
      </c>
      <c r="E269" s="10" t="s">
        <v>34</v>
      </c>
      <c r="G269" s="5">
        <f>COUNTIF(E220:E270,"VA")</f>
        <v>0</v>
      </c>
      <c r="H269" s="5">
        <f>COUNTIF(E220:E270,"VB")</f>
        <v>1</v>
      </c>
      <c r="I269" s="5">
        <f>COUNTIF(E220:E270,"VIA0")</f>
        <v>6</v>
      </c>
      <c r="J269" s="5">
        <f>COUNTIF(E220:E270,"VIA1")</f>
        <v>3</v>
      </c>
      <c r="K269" s="5">
        <f>COUNTIF(E220:E270,"VIA2")</f>
        <v>19</v>
      </c>
      <c r="L269" s="5">
        <v>20</v>
      </c>
      <c r="M269" s="5">
        <v>2</v>
      </c>
      <c r="N269" s="5">
        <f>COUNTIF(E220:E270,"VIB")</f>
        <v>0</v>
      </c>
      <c r="P269" s="7">
        <f>AVERAGE(C220:C270)</f>
        <v>70.549019607843135</v>
      </c>
      <c r="Q269" s="8">
        <f>AVERAGE(D220:D270)</f>
        <v>289.29411764705884</v>
      </c>
      <c r="R269" s="8"/>
      <c r="S269" s="42" t="e">
        <f>AVERAGE(#REF!)</f>
        <v>#REF!</v>
      </c>
    </row>
    <row r="270" spans="1:19" s="4" customFormat="1" x14ac:dyDescent="0.35">
      <c r="A270" s="3">
        <v>42454</v>
      </c>
      <c r="B270" s="44" t="s">
        <v>38</v>
      </c>
      <c r="C270" s="11">
        <v>66</v>
      </c>
      <c r="D270" s="15">
        <v>226</v>
      </c>
      <c r="E270" s="11" t="s">
        <v>33</v>
      </c>
      <c r="G270" s="6">
        <f t="shared" ref="G270:N270" si="15">G269/51*100</f>
        <v>0</v>
      </c>
      <c r="H270" s="6">
        <f t="shared" si="15"/>
        <v>1.9607843137254901</v>
      </c>
      <c r="I270" s="6">
        <f t="shared" si="15"/>
        <v>11.76470588235294</v>
      </c>
      <c r="J270" s="6">
        <f t="shared" si="15"/>
        <v>5.8823529411764701</v>
      </c>
      <c r="K270" s="6">
        <f t="shared" si="15"/>
        <v>37.254901960784316</v>
      </c>
      <c r="L270" s="6">
        <f t="shared" si="15"/>
        <v>39.215686274509807</v>
      </c>
      <c r="M270" s="6">
        <f t="shared" si="15"/>
        <v>3.9215686274509802</v>
      </c>
      <c r="N270" s="6">
        <f t="shared" si="15"/>
        <v>0</v>
      </c>
    </row>
    <row r="271" spans="1:19" x14ac:dyDescent="0.35">
      <c r="A271" s="13">
        <v>42454</v>
      </c>
      <c r="B271" s="40" t="s">
        <v>63</v>
      </c>
      <c r="C271" s="10">
        <v>74</v>
      </c>
      <c r="D271" s="14">
        <v>365</v>
      </c>
      <c r="E271" s="10" t="s">
        <v>33</v>
      </c>
    </row>
    <row r="272" spans="1:19" x14ac:dyDescent="0.35">
      <c r="A272" s="13">
        <v>42454</v>
      </c>
      <c r="B272" s="40" t="s">
        <v>63</v>
      </c>
      <c r="C272" s="10">
        <v>76</v>
      </c>
      <c r="D272" s="14">
        <v>413</v>
      </c>
      <c r="E272" s="10" t="s">
        <v>33</v>
      </c>
    </row>
    <row r="273" spans="1:5" x14ac:dyDescent="0.35">
      <c r="A273" s="13">
        <v>42454</v>
      </c>
      <c r="B273" s="40" t="s">
        <v>63</v>
      </c>
      <c r="C273" s="10">
        <v>72</v>
      </c>
      <c r="D273" s="14">
        <v>291</v>
      </c>
      <c r="E273" s="10" t="s">
        <v>34</v>
      </c>
    </row>
    <row r="274" spans="1:5" x14ac:dyDescent="0.35">
      <c r="A274" s="13">
        <v>42454</v>
      </c>
      <c r="B274" s="40" t="s">
        <v>63</v>
      </c>
      <c r="C274" s="10">
        <v>71</v>
      </c>
      <c r="D274" s="14">
        <v>312</v>
      </c>
      <c r="E274" s="10" t="s">
        <v>36</v>
      </c>
    </row>
    <row r="275" spans="1:5" x14ac:dyDescent="0.35">
      <c r="A275" s="13">
        <v>42454</v>
      </c>
      <c r="B275" s="40" t="s">
        <v>63</v>
      </c>
      <c r="C275" s="10">
        <v>76</v>
      </c>
      <c r="D275" s="14">
        <v>382</v>
      </c>
      <c r="E275" s="10" t="s">
        <v>33</v>
      </c>
    </row>
    <row r="276" spans="1:5" x14ac:dyDescent="0.35">
      <c r="A276" s="13">
        <v>42454</v>
      </c>
      <c r="B276" s="40" t="s">
        <v>63</v>
      </c>
      <c r="C276" s="10">
        <v>71</v>
      </c>
      <c r="D276" s="14">
        <v>338</v>
      </c>
      <c r="E276" s="10" t="s">
        <v>34</v>
      </c>
    </row>
    <row r="277" spans="1:5" x14ac:dyDescent="0.35">
      <c r="A277" s="13">
        <v>42454</v>
      </c>
      <c r="B277" s="40" t="s">
        <v>63</v>
      </c>
      <c r="C277" s="10">
        <v>73</v>
      </c>
      <c r="D277" s="14">
        <v>352</v>
      </c>
      <c r="E277" s="10" t="s">
        <v>33</v>
      </c>
    </row>
    <row r="278" spans="1:5" x14ac:dyDescent="0.35">
      <c r="A278" s="13">
        <v>42454</v>
      </c>
      <c r="B278" s="40" t="s">
        <v>63</v>
      </c>
      <c r="C278" s="10">
        <v>70</v>
      </c>
      <c r="D278" s="14">
        <v>295</v>
      </c>
      <c r="E278" s="10" t="s">
        <v>34</v>
      </c>
    </row>
    <row r="279" spans="1:5" x14ac:dyDescent="0.35">
      <c r="A279" s="13">
        <v>42454</v>
      </c>
      <c r="B279" s="40" t="s">
        <v>63</v>
      </c>
      <c r="C279" s="10">
        <v>74</v>
      </c>
      <c r="D279" s="14">
        <v>331</v>
      </c>
      <c r="E279" s="10" t="s">
        <v>33</v>
      </c>
    </row>
    <row r="280" spans="1:5" x14ac:dyDescent="0.35">
      <c r="A280" s="13">
        <v>42454</v>
      </c>
      <c r="B280" s="40" t="s">
        <v>63</v>
      </c>
      <c r="C280" s="10">
        <v>76</v>
      </c>
      <c r="D280" s="14">
        <v>356</v>
      </c>
      <c r="E280" s="10" t="s">
        <v>34</v>
      </c>
    </row>
    <row r="281" spans="1:5" x14ac:dyDescent="0.35">
      <c r="A281" s="13">
        <v>42454</v>
      </c>
      <c r="B281" s="40" t="s">
        <v>63</v>
      </c>
      <c r="C281" s="10">
        <v>70</v>
      </c>
      <c r="D281" s="14">
        <v>263</v>
      </c>
      <c r="E281" s="10" t="s">
        <v>34</v>
      </c>
    </row>
    <row r="282" spans="1:5" x14ac:dyDescent="0.35">
      <c r="A282" s="13">
        <v>42454</v>
      </c>
      <c r="B282" s="40" t="s">
        <v>63</v>
      </c>
      <c r="C282" s="10">
        <v>72</v>
      </c>
      <c r="D282" s="14">
        <v>323</v>
      </c>
      <c r="E282" s="10" t="s">
        <v>39</v>
      </c>
    </row>
    <row r="283" spans="1:5" x14ac:dyDescent="0.35">
      <c r="A283" s="13">
        <v>42454</v>
      </c>
      <c r="B283" s="40" t="s">
        <v>63</v>
      </c>
      <c r="C283" s="10">
        <v>71</v>
      </c>
      <c r="D283" s="14">
        <v>334</v>
      </c>
      <c r="E283" s="10" t="s">
        <v>40</v>
      </c>
    </row>
    <row r="284" spans="1:5" x14ac:dyDescent="0.35">
      <c r="A284" s="13">
        <v>42454</v>
      </c>
      <c r="B284" s="40" t="s">
        <v>63</v>
      </c>
      <c r="C284" s="10">
        <v>73</v>
      </c>
      <c r="D284" s="14">
        <v>288</v>
      </c>
      <c r="E284" s="10" t="s">
        <v>33</v>
      </c>
    </row>
    <row r="285" spans="1:5" x14ac:dyDescent="0.35">
      <c r="A285" s="13">
        <v>42454</v>
      </c>
      <c r="B285" s="40" t="s">
        <v>63</v>
      </c>
      <c r="C285" s="10">
        <v>77</v>
      </c>
      <c r="D285" s="14">
        <v>316</v>
      </c>
      <c r="E285" s="10" t="s">
        <v>33</v>
      </c>
    </row>
    <row r="286" spans="1:5" x14ac:dyDescent="0.35">
      <c r="A286" s="13">
        <v>42454</v>
      </c>
      <c r="B286" s="40" t="s">
        <v>63</v>
      </c>
      <c r="C286" s="10">
        <v>73</v>
      </c>
      <c r="D286" s="14">
        <v>375</v>
      </c>
      <c r="E286" s="10" t="s">
        <v>34</v>
      </c>
    </row>
    <row r="287" spans="1:5" x14ac:dyDescent="0.35">
      <c r="A287" s="13">
        <v>42454</v>
      </c>
      <c r="B287" s="40" t="s">
        <v>63</v>
      </c>
      <c r="C287" s="10">
        <v>77</v>
      </c>
      <c r="D287" s="14">
        <v>354</v>
      </c>
      <c r="E287" s="10" t="s">
        <v>33</v>
      </c>
    </row>
    <row r="288" spans="1:5" x14ac:dyDescent="0.35">
      <c r="A288" s="13">
        <v>42454</v>
      </c>
      <c r="B288" s="40" t="s">
        <v>63</v>
      </c>
      <c r="C288" s="10">
        <v>76</v>
      </c>
      <c r="D288" s="14">
        <v>326</v>
      </c>
      <c r="E288" s="10" t="s">
        <v>33</v>
      </c>
    </row>
    <row r="289" spans="1:5" x14ac:dyDescent="0.35">
      <c r="A289" s="13">
        <v>42454</v>
      </c>
      <c r="B289" s="40" t="s">
        <v>63</v>
      </c>
      <c r="C289" s="10">
        <v>64</v>
      </c>
      <c r="D289" s="14">
        <v>196</v>
      </c>
      <c r="E289" s="10" t="s">
        <v>36</v>
      </c>
    </row>
    <row r="290" spans="1:5" x14ac:dyDescent="0.35">
      <c r="A290" s="13">
        <v>42454</v>
      </c>
      <c r="B290" s="40" t="s">
        <v>63</v>
      </c>
      <c r="C290" s="10">
        <v>69</v>
      </c>
      <c r="D290" s="14">
        <v>226</v>
      </c>
      <c r="E290" s="10" t="s">
        <v>39</v>
      </c>
    </row>
    <row r="291" spans="1:5" x14ac:dyDescent="0.35">
      <c r="A291" s="13">
        <v>42454</v>
      </c>
      <c r="B291" s="40" t="s">
        <v>63</v>
      </c>
      <c r="C291" s="10">
        <v>58</v>
      </c>
      <c r="D291" s="14">
        <v>142</v>
      </c>
      <c r="E291" s="10" t="s">
        <v>34</v>
      </c>
    </row>
    <row r="292" spans="1:5" x14ac:dyDescent="0.35">
      <c r="A292" s="13">
        <v>42454</v>
      </c>
      <c r="B292" s="40" t="s">
        <v>63</v>
      </c>
      <c r="C292" s="10">
        <v>69</v>
      </c>
      <c r="D292" s="14">
        <v>259</v>
      </c>
      <c r="E292" s="10" t="s">
        <v>40</v>
      </c>
    </row>
    <row r="293" spans="1:5" x14ac:dyDescent="0.35">
      <c r="A293" s="13">
        <v>42454</v>
      </c>
      <c r="B293" s="40" t="s">
        <v>63</v>
      </c>
      <c r="C293" s="10">
        <v>75</v>
      </c>
      <c r="D293" s="14">
        <v>356</v>
      </c>
      <c r="E293" s="10" t="s">
        <v>33</v>
      </c>
    </row>
    <row r="294" spans="1:5" x14ac:dyDescent="0.35">
      <c r="A294" s="13">
        <v>42454</v>
      </c>
      <c r="B294" s="40" t="s">
        <v>63</v>
      </c>
      <c r="C294" s="10">
        <v>74</v>
      </c>
      <c r="D294" s="14">
        <v>340</v>
      </c>
      <c r="E294" s="10" t="s">
        <v>36</v>
      </c>
    </row>
    <row r="295" spans="1:5" x14ac:dyDescent="0.35">
      <c r="A295" s="13">
        <v>42454</v>
      </c>
      <c r="B295" s="40" t="s">
        <v>63</v>
      </c>
      <c r="C295" s="10">
        <v>68</v>
      </c>
      <c r="D295" s="14">
        <v>275</v>
      </c>
      <c r="E295" s="10" t="s">
        <v>40</v>
      </c>
    </row>
    <row r="296" spans="1:5" x14ac:dyDescent="0.35">
      <c r="A296" s="13">
        <v>42454</v>
      </c>
      <c r="B296" s="40" t="s">
        <v>63</v>
      </c>
      <c r="C296" s="10">
        <v>74</v>
      </c>
      <c r="D296" s="14">
        <v>410</v>
      </c>
      <c r="E296" s="10" t="s">
        <v>33</v>
      </c>
    </row>
    <row r="297" spans="1:5" x14ac:dyDescent="0.35">
      <c r="A297" s="13">
        <v>42454</v>
      </c>
      <c r="B297" s="40" t="s">
        <v>63</v>
      </c>
      <c r="C297" s="10">
        <v>72</v>
      </c>
      <c r="D297" s="14">
        <v>301</v>
      </c>
      <c r="E297" s="10" t="s">
        <v>34</v>
      </c>
    </row>
    <row r="298" spans="1:5" x14ac:dyDescent="0.35">
      <c r="A298" s="13">
        <v>42454</v>
      </c>
      <c r="B298" s="40" t="s">
        <v>63</v>
      </c>
      <c r="C298" s="10">
        <v>72</v>
      </c>
      <c r="D298" s="14">
        <v>318</v>
      </c>
      <c r="E298" s="10" t="s">
        <v>33</v>
      </c>
    </row>
    <row r="299" spans="1:5" x14ac:dyDescent="0.35">
      <c r="A299" s="13">
        <v>42454</v>
      </c>
      <c r="B299" s="40" t="s">
        <v>63</v>
      </c>
      <c r="C299" s="10">
        <v>76</v>
      </c>
      <c r="D299" s="14">
        <v>430</v>
      </c>
      <c r="E299" s="10" t="s">
        <v>40</v>
      </c>
    </row>
    <row r="300" spans="1:5" x14ac:dyDescent="0.35">
      <c r="A300" s="13">
        <v>42454</v>
      </c>
      <c r="B300" s="40" t="s">
        <v>63</v>
      </c>
      <c r="C300" s="10">
        <v>73</v>
      </c>
      <c r="D300" s="14">
        <v>315</v>
      </c>
      <c r="E300" s="10" t="s">
        <v>34</v>
      </c>
    </row>
    <row r="301" spans="1:5" x14ac:dyDescent="0.35">
      <c r="A301" s="13">
        <v>42454</v>
      </c>
      <c r="B301" s="40" t="s">
        <v>63</v>
      </c>
      <c r="C301" s="10">
        <v>68</v>
      </c>
      <c r="D301" s="14">
        <v>301</v>
      </c>
      <c r="E301" s="10" t="s">
        <v>34</v>
      </c>
    </row>
    <row r="302" spans="1:5" x14ac:dyDescent="0.35">
      <c r="A302" s="13">
        <v>42454</v>
      </c>
      <c r="B302" s="40" t="s">
        <v>63</v>
      </c>
      <c r="C302" s="10">
        <v>72</v>
      </c>
      <c r="D302" s="14">
        <v>362</v>
      </c>
      <c r="E302" s="10" t="s">
        <v>34</v>
      </c>
    </row>
    <row r="303" spans="1:5" x14ac:dyDescent="0.35">
      <c r="A303" s="13">
        <v>42454</v>
      </c>
      <c r="B303" s="40" t="s">
        <v>63</v>
      </c>
      <c r="C303" s="10">
        <v>70</v>
      </c>
      <c r="D303" s="14">
        <v>278</v>
      </c>
      <c r="E303" s="10" t="s">
        <v>32</v>
      </c>
    </row>
    <row r="304" spans="1:5" x14ac:dyDescent="0.35">
      <c r="A304" s="13">
        <v>42454</v>
      </c>
      <c r="B304" s="40" t="s">
        <v>63</v>
      </c>
      <c r="C304" s="10">
        <v>74</v>
      </c>
      <c r="D304" s="14">
        <v>318</v>
      </c>
      <c r="E304" s="10" t="s">
        <v>34</v>
      </c>
    </row>
    <row r="305" spans="1:21" x14ac:dyDescent="0.35">
      <c r="A305" s="13">
        <v>42454</v>
      </c>
      <c r="B305" s="40" t="s">
        <v>63</v>
      </c>
      <c r="C305" s="10">
        <v>69</v>
      </c>
      <c r="D305" s="14">
        <v>256</v>
      </c>
      <c r="E305" s="10" t="s">
        <v>39</v>
      </c>
    </row>
    <row r="306" spans="1:21" x14ac:dyDescent="0.35">
      <c r="A306" s="13">
        <v>42454</v>
      </c>
      <c r="B306" s="40" t="s">
        <v>63</v>
      </c>
      <c r="C306" s="10">
        <v>68</v>
      </c>
      <c r="D306" s="14">
        <v>257</v>
      </c>
      <c r="E306" s="10" t="s">
        <v>34</v>
      </c>
    </row>
    <row r="307" spans="1:21" x14ac:dyDescent="0.35">
      <c r="A307" s="13">
        <v>42454</v>
      </c>
      <c r="B307" s="40" t="s">
        <v>63</v>
      </c>
      <c r="C307" s="10">
        <v>66</v>
      </c>
      <c r="D307" s="14">
        <v>227</v>
      </c>
      <c r="E307" s="10" t="s">
        <v>40</v>
      </c>
    </row>
    <row r="308" spans="1:21" x14ac:dyDescent="0.35">
      <c r="A308" s="13">
        <v>42454</v>
      </c>
      <c r="B308" s="40" t="s">
        <v>63</v>
      </c>
      <c r="C308" s="10">
        <v>65</v>
      </c>
      <c r="D308" s="14">
        <v>189</v>
      </c>
      <c r="E308" s="10" t="s">
        <v>34</v>
      </c>
    </row>
    <row r="309" spans="1:21" x14ac:dyDescent="0.35">
      <c r="A309" s="13">
        <v>42454</v>
      </c>
      <c r="B309" s="40" t="s">
        <v>63</v>
      </c>
      <c r="C309" s="10">
        <v>71</v>
      </c>
      <c r="D309" s="14">
        <v>265</v>
      </c>
      <c r="E309" s="10" t="s">
        <v>33</v>
      </c>
    </row>
    <row r="310" spans="1:21" x14ac:dyDescent="0.35">
      <c r="A310" s="13">
        <v>42454</v>
      </c>
      <c r="B310" s="40" t="s">
        <v>63</v>
      </c>
      <c r="C310" s="10">
        <v>74</v>
      </c>
      <c r="D310" s="14">
        <v>328</v>
      </c>
      <c r="E310" s="10" t="s">
        <v>33</v>
      </c>
    </row>
    <row r="311" spans="1:21" x14ac:dyDescent="0.35">
      <c r="A311" s="13">
        <v>42454</v>
      </c>
      <c r="B311" s="40" t="s">
        <v>63</v>
      </c>
      <c r="C311" s="10">
        <v>75</v>
      </c>
      <c r="D311" s="14">
        <v>338</v>
      </c>
      <c r="E311" s="10" t="s">
        <v>34</v>
      </c>
    </row>
    <row r="312" spans="1:21" x14ac:dyDescent="0.35">
      <c r="A312" s="13">
        <v>42454</v>
      </c>
      <c r="B312" s="40" t="s">
        <v>63</v>
      </c>
      <c r="C312" s="10">
        <v>73</v>
      </c>
      <c r="D312" s="14">
        <v>339</v>
      </c>
      <c r="E312" s="10" t="s">
        <v>33</v>
      </c>
    </row>
    <row r="313" spans="1:21" x14ac:dyDescent="0.35">
      <c r="A313" s="13">
        <v>42454</v>
      </c>
      <c r="B313" s="40" t="s">
        <v>63</v>
      </c>
      <c r="C313" s="10">
        <v>66</v>
      </c>
      <c r="D313" s="14">
        <v>237</v>
      </c>
      <c r="E313" s="10" t="s">
        <v>33</v>
      </c>
    </row>
    <row r="314" spans="1:21" x14ac:dyDescent="0.35">
      <c r="A314" s="13">
        <v>42454</v>
      </c>
      <c r="B314" s="40" t="s">
        <v>63</v>
      </c>
      <c r="C314" s="10">
        <v>71</v>
      </c>
      <c r="D314" s="14">
        <v>299</v>
      </c>
      <c r="E314" s="10" t="s">
        <v>34</v>
      </c>
    </row>
    <row r="315" spans="1:21" x14ac:dyDescent="0.35">
      <c r="A315" s="13">
        <v>42454</v>
      </c>
      <c r="B315" s="40" t="s">
        <v>63</v>
      </c>
      <c r="C315" s="10">
        <v>72</v>
      </c>
      <c r="D315" s="14">
        <v>309</v>
      </c>
      <c r="E315" s="10" t="s">
        <v>33</v>
      </c>
    </row>
    <row r="316" spans="1:21" x14ac:dyDescent="0.35">
      <c r="A316" s="13">
        <v>42454</v>
      </c>
      <c r="B316" s="40" t="s">
        <v>63</v>
      </c>
      <c r="C316" s="10">
        <v>75</v>
      </c>
      <c r="D316" s="14">
        <v>342</v>
      </c>
      <c r="E316" s="10" t="s">
        <v>34</v>
      </c>
      <c r="U316" s="8"/>
    </row>
    <row r="317" spans="1:21" x14ac:dyDescent="0.35">
      <c r="A317" s="13">
        <v>42454</v>
      </c>
      <c r="B317" s="40" t="s">
        <v>63</v>
      </c>
      <c r="C317" s="10">
        <v>71</v>
      </c>
      <c r="D317" s="14">
        <v>269</v>
      </c>
      <c r="E317" s="10" t="s">
        <v>34</v>
      </c>
      <c r="F317" t="s">
        <v>279</v>
      </c>
    </row>
    <row r="318" spans="1:21" x14ac:dyDescent="0.35">
      <c r="A318" s="13">
        <v>42454</v>
      </c>
      <c r="B318" s="40" t="s">
        <v>63</v>
      </c>
      <c r="C318" s="10">
        <v>67</v>
      </c>
      <c r="D318" s="14">
        <v>278</v>
      </c>
      <c r="E318" s="10" t="s">
        <v>36</v>
      </c>
      <c r="G318" t="s">
        <v>42</v>
      </c>
      <c r="H318" t="s">
        <v>39</v>
      </c>
      <c r="I318" t="s">
        <v>40</v>
      </c>
      <c r="J318" t="s">
        <v>36</v>
      </c>
      <c r="K318" t="s">
        <v>33</v>
      </c>
      <c r="L318" t="s">
        <v>34</v>
      </c>
      <c r="M318" t="s">
        <v>32</v>
      </c>
      <c r="N318" t="s">
        <v>37</v>
      </c>
      <c r="P318" t="s">
        <v>43</v>
      </c>
      <c r="Q318" t="s">
        <v>44</v>
      </c>
    </row>
    <row r="319" spans="1:21" x14ac:dyDescent="0.35">
      <c r="A319" s="13">
        <v>42454</v>
      </c>
      <c r="B319" s="40" t="s">
        <v>63</v>
      </c>
      <c r="C319" s="10">
        <v>72</v>
      </c>
      <c r="D319" s="14">
        <v>338</v>
      </c>
      <c r="E319" s="10" t="s">
        <v>34</v>
      </c>
      <c r="G319" s="5">
        <f>COUNTIF(E271:E320,"VA")</f>
        <v>0</v>
      </c>
      <c r="H319" s="5">
        <f>COUNTIF(E271:E320,"VB")</f>
        <v>3</v>
      </c>
      <c r="I319" s="5">
        <f>COUNTIF(E271:E320,"VIA0")</f>
        <v>5</v>
      </c>
      <c r="J319" s="5">
        <f>COUNTIF(E271:E320,"VIA1")</f>
        <v>4</v>
      </c>
      <c r="K319" s="5">
        <f>COUNTIF(E271:E320,"VIA2")</f>
        <v>17</v>
      </c>
      <c r="L319" s="5">
        <f>COUNTIF(E271:E320,"VIA3")</f>
        <v>20</v>
      </c>
      <c r="M319" s="5">
        <f>COUNTIF(E271:E320,"VIA4")</f>
        <v>1</v>
      </c>
      <c r="N319" s="5">
        <f>COUNTIF(E271:E320,"VIB")</f>
        <v>0</v>
      </c>
      <c r="P319" s="7">
        <f>AVERAGE(C271:C320)</f>
        <v>71.48</v>
      </c>
      <c r="Q319" s="8">
        <f>AVERAGE(D271:D320)</f>
        <v>307.02</v>
      </c>
      <c r="R319" s="8"/>
      <c r="S319" s="42" t="e">
        <f>AVERAGE(#REF!)</f>
        <v>#REF!</v>
      </c>
    </row>
    <row r="320" spans="1:21" s="4" customFormat="1" x14ac:dyDescent="0.35">
      <c r="A320" s="16">
        <v>42454</v>
      </c>
      <c r="B320" s="44" t="s">
        <v>63</v>
      </c>
      <c r="C320" s="11">
        <v>69</v>
      </c>
      <c r="D320" s="15">
        <v>239</v>
      </c>
      <c r="E320" s="11" t="s">
        <v>34</v>
      </c>
      <c r="G320" s="6">
        <f t="shared" ref="G320:N320" si="16">G319/50*100</f>
        <v>0</v>
      </c>
      <c r="H320" s="6">
        <f t="shared" si="16"/>
        <v>6</v>
      </c>
      <c r="I320" s="6">
        <f t="shared" si="16"/>
        <v>10</v>
      </c>
      <c r="J320" s="6">
        <f t="shared" si="16"/>
        <v>8</v>
      </c>
      <c r="K320" s="6">
        <f t="shared" si="16"/>
        <v>34</v>
      </c>
      <c r="L320" s="6">
        <f t="shared" si="16"/>
        <v>40</v>
      </c>
      <c r="M320" s="6">
        <f t="shared" si="16"/>
        <v>2</v>
      </c>
      <c r="N320" s="6">
        <f t="shared" si="16"/>
        <v>0</v>
      </c>
    </row>
    <row r="321" spans="1:30" x14ac:dyDescent="0.35">
      <c r="A321" s="2">
        <v>42454</v>
      </c>
      <c r="B321" s="40" t="s">
        <v>66</v>
      </c>
      <c r="C321" s="10">
        <v>68</v>
      </c>
      <c r="D321" s="14">
        <v>266</v>
      </c>
      <c r="E321" s="10" t="s">
        <v>36</v>
      </c>
    </row>
    <row r="322" spans="1:30" x14ac:dyDescent="0.35">
      <c r="A322" s="2">
        <v>42454</v>
      </c>
      <c r="B322" s="40" t="s">
        <v>66</v>
      </c>
      <c r="C322" s="10">
        <v>64</v>
      </c>
      <c r="D322" s="14">
        <v>159</v>
      </c>
      <c r="E322" s="10" t="s">
        <v>34</v>
      </c>
      <c r="T322" t="s">
        <v>280</v>
      </c>
    </row>
    <row r="323" spans="1:30" x14ac:dyDescent="0.35">
      <c r="A323" s="2">
        <v>42454</v>
      </c>
      <c r="B323" s="40" t="s">
        <v>66</v>
      </c>
      <c r="C323" s="10">
        <v>73</v>
      </c>
      <c r="D323" s="14">
        <v>319</v>
      </c>
      <c r="E323" s="10" t="s">
        <v>33</v>
      </c>
      <c r="T323" t="s">
        <v>42</v>
      </c>
      <c r="U323" t="s">
        <v>39</v>
      </c>
      <c r="V323" t="s">
        <v>40</v>
      </c>
      <c r="W323" t="s">
        <v>36</v>
      </c>
      <c r="X323" t="s">
        <v>33</v>
      </c>
      <c r="Y323" t="s">
        <v>34</v>
      </c>
      <c r="Z323" t="s">
        <v>32</v>
      </c>
      <c r="AA323" t="s">
        <v>37</v>
      </c>
      <c r="AC323" t="s">
        <v>43</v>
      </c>
      <c r="AD323" t="s">
        <v>44</v>
      </c>
    </row>
    <row r="324" spans="1:30" x14ac:dyDescent="0.35">
      <c r="A324" s="2">
        <v>42454</v>
      </c>
      <c r="B324" s="40" t="s">
        <v>66</v>
      </c>
      <c r="C324" s="10">
        <v>65</v>
      </c>
      <c r="D324" s="14">
        <v>206</v>
      </c>
      <c r="E324" s="10" t="s">
        <v>37</v>
      </c>
      <c r="T324" s="5">
        <f>COUNTIF(E271:E325,"VA")</f>
        <v>0</v>
      </c>
      <c r="U324" s="5">
        <f>COUNTIF(E271:E325,"VB")</f>
        <v>3</v>
      </c>
      <c r="V324" s="5">
        <f>COUNTIF(E271:E325,"VIA0")</f>
        <v>5</v>
      </c>
      <c r="W324" s="5">
        <f>COUNTIF(E271:E325,"VIA1")</f>
        <v>6</v>
      </c>
      <c r="X324" s="5">
        <f>COUNTIF(E271:E325,"VIA2")</f>
        <v>18</v>
      </c>
      <c r="Y324" s="5">
        <f>COUNTIF(E271:E326,"VIA3")</f>
        <v>21</v>
      </c>
      <c r="Z324" s="5">
        <f>COUNTIF(E271:E325,"VIA4")</f>
        <v>1</v>
      </c>
      <c r="AA324" s="5">
        <f>COUNTIF(E271:E325,"VIB")</f>
        <v>1</v>
      </c>
      <c r="AC324" s="7">
        <f>AVERAGE(C271:C325)</f>
        <v>71.109090909090909</v>
      </c>
      <c r="AD324" s="8">
        <f>AVERAGE(D271:D325)</f>
        <v>301.03636363636366</v>
      </c>
    </row>
    <row r="325" spans="1:30" s="4" customFormat="1" x14ac:dyDescent="0.35">
      <c r="A325" s="3">
        <v>42454</v>
      </c>
      <c r="B325" s="44" t="s">
        <v>66</v>
      </c>
      <c r="C325" s="11">
        <v>67</v>
      </c>
      <c r="D325" s="15">
        <v>256</v>
      </c>
      <c r="E325" s="11" t="s">
        <v>36</v>
      </c>
      <c r="Q325" s="6"/>
      <c r="T325" s="6">
        <f t="shared" ref="T325:AA325" si="17">T324/55*100</f>
        <v>0</v>
      </c>
      <c r="U325" s="6">
        <f t="shared" si="17"/>
        <v>5.4545454545454541</v>
      </c>
      <c r="V325" s="6">
        <f t="shared" si="17"/>
        <v>9.0909090909090917</v>
      </c>
      <c r="W325" s="6">
        <f t="shared" si="17"/>
        <v>10.909090909090908</v>
      </c>
      <c r="X325" s="6">
        <f t="shared" si="17"/>
        <v>32.727272727272727</v>
      </c>
      <c r="Y325" s="6">
        <f t="shared" si="17"/>
        <v>38.181818181818187</v>
      </c>
      <c r="Z325" s="6">
        <f t="shared" si="17"/>
        <v>1.8181818181818181</v>
      </c>
      <c r="AA325" s="6">
        <f t="shared" si="17"/>
        <v>1.8181818181818181</v>
      </c>
    </row>
    <row r="326" spans="1:30" s="22" customFormat="1" x14ac:dyDescent="0.35">
      <c r="A326" s="19">
        <v>42454</v>
      </c>
      <c r="B326" s="71" t="s">
        <v>70</v>
      </c>
      <c r="C326" s="20">
        <v>315</v>
      </c>
      <c r="D326" s="21"/>
      <c r="E326" s="20" t="s">
        <v>58</v>
      </c>
    </row>
    <row r="327" spans="1:30" x14ac:dyDescent="0.35">
      <c r="A327" s="2">
        <v>42454</v>
      </c>
      <c r="B327" s="70" t="s">
        <v>41</v>
      </c>
      <c r="C327" s="10">
        <v>76</v>
      </c>
      <c r="D327" s="14">
        <v>359</v>
      </c>
      <c r="E327" s="10" t="s">
        <v>32</v>
      </c>
    </row>
    <row r="328" spans="1:30" x14ac:dyDescent="0.35">
      <c r="A328" s="2">
        <v>42454</v>
      </c>
      <c r="B328" s="70" t="s">
        <v>41</v>
      </c>
      <c r="C328" s="10">
        <v>79</v>
      </c>
      <c r="D328" s="14">
        <v>420</v>
      </c>
      <c r="E328" s="10" t="s">
        <v>34</v>
      </c>
    </row>
    <row r="329" spans="1:30" x14ac:dyDescent="0.35">
      <c r="A329" s="2">
        <v>42454</v>
      </c>
      <c r="B329" s="40" t="s">
        <v>41</v>
      </c>
      <c r="C329" s="10">
        <v>74</v>
      </c>
      <c r="D329" s="14">
        <v>331</v>
      </c>
      <c r="E329" s="10" t="s">
        <v>34</v>
      </c>
    </row>
    <row r="330" spans="1:30" x14ac:dyDescent="0.35">
      <c r="A330" s="2">
        <v>42454</v>
      </c>
      <c r="B330" s="70" t="s">
        <v>41</v>
      </c>
      <c r="C330" s="10">
        <v>75</v>
      </c>
      <c r="D330" s="14">
        <v>353</v>
      </c>
      <c r="E330" s="10" t="s">
        <v>33</v>
      </c>
    </row>
    <row r="331" spans="1:30" x14ac:dyDescent="0.35">
      <c r="A331" s="2">
        <v>42454</v>
      </c>
      <c r="B331" s="40" t="s">
        <v>41</v>
      </c>
      <c r="C331" s="10">
        <v>78</v>
      </c>
      <c r="D331" s="14">
        <v>431</v>
      </c>
      <c r="E331" s="10" t="s">
        <v>32</v>
      </c>
    </row>
    <row r="332" spans="1:30" x14ac:dyDescent="0.35">
      <c r="A332" s="2">
        <v>42454</v>
      </c>
      <c r="B332" s="70" t="s">
        <v>41</v>
      </c>
      <c r="C332" s="10">
        <v>67</v>
      </c>
      <c r="D332" s="14">
        <v>341</v>
      </c>
      <c r="E332" s="10" t="s">
        <v>33</v>
      </c>
    </row>
    <row r="333" spans="1:30" x14ac:dyDescent="0.35">
      <c r="A333" s="2">
        <v>42454</v>
      </c>
      <c r="B333" s="40" t="s">
        <v>41</v>
      </c>
      <c r="C333" s="10">
        <v>73</v>
      </c>
      <c r="D333" s="14">
        <v>395</v>
      </c>
      <c r="E333" s="10" t="s">
        <v>39</v>
      </c>
    </row>
    <row r="334" spans="1:30" x14ac:dyDescent="0.35">
      <c r="A334" s="2">
        <v>42454</v>
      </c>
      <c r="B334" s="70" t="s">
        <v>41</v>
      </c>
      <c r="C334" s="10">
        <v>74</v>
      </c>
      <c r="D334" s="14">
        <v>382</v>
      </c>
      <c r="E334" s="10" t="s">
        <v>39</v>
      </c>
    </row>
    <row r="335" spans="1:30" x14ac:dyDescent="0.35">
      <c r="A335" s="2">
        <v>42454</v>
      </c>
      <c r="B335" s="40" t="s">
        <v>41</v>
      </c>
      <c r="C335" s="10">
        <v>68</v>
      </c>
      <c r="D335" s="14">
        <v>329</v>
      </c>
      <c r="E335" s="10" t="s">
        <v>33</v>
      </c>
    </row>
    <row r="336" spans="1:30" x14ac:dyDescent="0.35">
      <c r="A336" s="2">
        <v>42454</v>
      </c>
      <c r="B336" s="70" t="s">
        <v>41</v>
      </c>
      <c r="C336" s="10">
        <v>75</v>
      </c>
      <c r="D336" s="14">
        <v>326</v>
      </c>
      <c r="E336" s="10" t="s">
        <v>33</v>
      </c>
    </row>
    <row r="337" spans="1:5" x14ac:dyDescent="0.35">
      <c r="A337" s="2">
        <v>42454</v>
      </c>
      <c r="B337" s="40" t="s">
        <v>41</v>
      </c>
      <c r="C337" s="10">
        <v>77</v>
      </c>
      <c r="D337" s="14">
        <v>429</v>
      </c>
      <c r="E337" s="10" t="s">
        <v>36</v>
      </c>
    </row>
    <row r="338" spans="1:5" x14ac:dyDescent="0.35">
      <c r="A338" s="2">
        <v>42454</v>
      </c>
      <c r="B338" s="70" t="s">
        <v>41</v>
      </c>
      <c r="C338" s="10">
        <v>74</v>
      </c>
      <c r="D338" s="14">
        <v>353</v>
      </c>
      <c r="E338" s="10" t="s">
        <v>34</v>
      </c>
    </row>
    <row r="339" spans="1:5" x14ac:dyDescent="0.35">
      <c r="A339" s="2">
        <v>42454</v>
      </c>
      <c r="B339" s="40" t="s">
        <v>41</v>
      </c>
      <c r="C339" s="10">
        <v>78</v>
      </c>
      <c r="D339" s="14">
        <v>416</v>
      </c>
      <c r="E339" s="10" t="s">
        <v>36</v>
      </c>
    </row>
    <row r="340" spans="1:5" x14ac:dyDescent="0.35">
      <c r="A340" s="2">
        <v>42454</v>
      </c>
      <c r="B340" s="70" t="s">
        <v>41</v>
      </c>
      <c r="C340" s="10">
        <v>75</v>
      </c>
      <c r="D340" s="14">
        <v>355</v>
      </c>
      <c r="E340" s="10" t="s">
        <v>34</v>
      </c>
    </row>
    <row r="341" spans="1:5" x14ac:dyDescent="0.35">
      <c r="A341" s="2">
        <v>42454</v>
      </c>
      <c r="B341" s="40" t="s">
        <v>41</v>
      </c>
      <c r="C341" s="10">
        <v>70</v>
      </c>
      <c r="D341" s="14">
        <v>300</v>
      </c>
      <c r="E341" s="10" t="s">
        <v>32</v>
      </c>
    </row>
    <row r="342" spans="1:5" x14ac:dyDescent="0.35">
      <c r="A342" s="2">
        <v>42454</v>
      </c>
      <c r="B342" s="70" t="s">
        <v>41</v>
      </c>
      <c r="C342" s="10">
        <v>65</v>
      </c>
      <c r="D342" s="14">
        <v>195</v>
      </c>
      <c r="E342" s="10" t="s">
        <v>39</v>
      </c>
    </row>
    <row r="343" spans="1:5" x14ac:dyDescent="0.35">
      <c r="A343" s="2">
        <v>42454</v>
      </c>
      <c r="B343" s="40" t="s">
        <v>41</v>
      </c>
      <c r="C343" s="10">
        <v>66</v>
      </c>
      <c r="D343" s="14">
        <v>277</v>
      </c>
      <c r="E343" s="10" t="s">
        <v>33</v>
      </c>
    </row>
    <row r="344" spans="1:5" x14ac:dyDescent="0.35">
      <c r="A344" s="2">
        <v>42454</v>
      </c>
      <c r="B344" s="70" t="s">
        <v>41</v>
      </c>
      <c r="C344" s="10">
        <v>73</v>
      </c>
      <c r="D344" s="14">
        <v>341</v>
      </c>
      <c r="E344" s="10" t="s">
        <v>32</v>
      </c>
    </row>
    <row r="345" spans="1:5" x14ac:dyDescent="0.35">
      <c r="A345" s="2">
        <v>42454</v>
      </c>
      <c r="B345" s="70" t="s">
        <v>41</v>
      </c>
      <c r="C345" s="10">
        <v>65</v>
      </c>
      <c r="D345" s="14">
        <v>311</v>
      </c>
      <c r="E345" s="10" t="s">
        <v>34</v>
      </c>
    </row>
    <row r="346" spans="1:5" x14ac:dyDescent="0.35">
      <c r="A346" s="2">
        <v>42454</v>
      </c>
      <c r="B346" s="70" t="s">
        <v>41</v>
      </c>
      <c r="C346" s="10">
        <v>70</v>
      </c>
      <c r="D346" s="14">
        <v>266</v>
      </c>
      <c r="E346" s="10" t="s">
        <v>34</v>
      </c>
    </row>
    <row r="347" spans="1:5" x14ac:dyDescent="0.35">
      <c r="A347" s="2">
        <v>42454</v>
      </c>
      <c r="B347" s="40" t="s">
        <v>41</v>
      </c>
      <c r="C347" s="10">
        <v>72</v>
      </c>
      <c r="D347" s="14">
        <v>315</v>
      </c>
      <c r="E347" s="10" t="s">
        <v>33</v>
      </c>
    </row>
    <row r="348" spans="1:5" x14ac:dyDescent="0.35">
      <c r="A348" s="2">
        <v>42454</v>
      </c>
      <c r="B348" s="70" t="s">
        <v>41</v>
      </c>
      <c r="C348" s="10">
        <v>62</v>
      </c>
      <c r="D348" s="14">
        <v>335</v>
      </c>
      <c r="E348" s="10" t="s">
        <v>32</v>
      </c>
    </row>
    <row r="349" spans="1:5" x14ac:dyDescent="0.35">
      <c r="A349" s="2">
        <v>42454</v>
      </c>
      <c r="B349" s="40" t="s">
        <v>41</v>
      </c>
      <c r="C349" s="10">
        <v>75</v>
      </c>
      <c r="D349" s="14">
        <v>441</v>
      </c>
      <c r="E349" s="10" t="s">
        <v>40</v>
      </c>
    </row>
    <row r="350" spans="1:5" x14ac:dyDescent="0.35">
      <c r="A350" s="2">
        <v>42454</v>
      </c>
      <c r="B350" s="70" t="s">
        <v>41</v>
      </c>
      <c r="C350" s="10">
        <v>66</v>
      </c>
      <c r="D350" s="14">
        <v>243</v>
      </c>
      <c r="E350" s="10" t="s">
        <v>36</v>
      </c>
    </row>
    <row r="351" spans="1:5" x14ac:dyDescent="0.35">
      <c r="A351" s="2">
        <v>42454</v>
      </c>
      <c r="B351" s="40" t="s">
        <v>41</v>
      </c>
      <c r="C351" s="10">
        <v>85</v>
      </c>
      <c r="D351" s="14">
        <v>470</v>
      </c>
      <c r="E351" s="10" t="s">
        <v>36</v>
      </c>
    </row>
    <row r="352" spans="1:5" x14ac:dyDescent="0.35">
      <c r="A352" s="2">
        <v>42454</v>
      </c>
      <c r="B352" s="70" t="s">
        <v>41</v>
      </c>
      <c r="C352" s="10">
        <v>67</v>
      </c>
      <c r="D352" s="14">
        <v>278</v>
      </c>
      <c r="E352" s="10" t="s">
        <v>40</v>
      </c>
    </row>
    <row r="353" spans="1:6" x14ac:dyDescent="0.35">
      <c r="A353" s="2">
        <v>42454</v>
      </c>
      <c r="B353" s="40" t="s">
        <v>41</v>
      </c>
      <c r="C353" s="10">
        <v>70</v>
      </c>
      <c r="D353" s="14">
        <v>337</v>
      </c>
      <c r="E353" s="10" t="s">
        <v>34</v>
      </c>
    </row>
    <row r="354" spans="1:6" x14ac:dyDescent="0.35">
      <c r="A354" s="2">
        <v>42454</v>
      </c>
      <c r="B354" s="70" t="s">
        <v>41</v>
      </c>
      <c r="C354" s="10">
        <v>75</v>
      </c>
      <c r="D354" s="14">
        <v>352</v>
      </c>
      <c r="E354" s="10" t="s">
        <v>32</v>
      </c>
    </row>
    <row r="355" spans="1:6" x14ac:dyDescent="0.35">
      <c r="A355" s="2">
        <v>42454</v>
      </c>
      <c r="B355" s="70" t="s">
        <v>41</v>
      </c>
      <c r="C355" s="10">
        <v>75</v>
      </c>
      <c r="D355" s="14">
        <v>330</v>
      </c>
      <c r="E355" s="10" t="s">
        <v>39</v>
      </c>
    </row>
    <row r="356" spans="1:6" x14ac:dyDescent="0.35">
      <c r="A356" s="2">
        <v>42454</v>
      </c>
      <c r="B356" s="70" t="s">
        <v>41</v>
      </c>
      <c r="C356" s="10">
        <v>75</v>
      </c>
      <c r="D356" s="14">
        <v>361</v>
      </c>
      <c r="E356" s="10" t="s">
        <v>36</v>
      </c>
      <c r="F356" t="s">
        <v>67</v>
      </c>
    </row>
    <row r="357" spans="1:6" x14ac:dyDescent="0.35">
      <c r="A357" s="2">
        <v>42454</v>
      </c>
      <c r="B357" s="40" t="s">
        <v>41</v>
      </c>
      <c r="C357" s="10">
        <v>73</v>
      </c>
      <c r="D357" s="14">
        <v>323</v>
      </c>
      <c r="E357" s="10" t="s">
        <v>33</v>
      </c>
    </row>
    <row r="358" spans="1:6" x14ac:dyDescent="0.35">
      <c r="A358" s="2">
        <v>42454</v>
      </c>
      <c r="B358" s="70" t="s">
        <v>41</v>
      </c>
      <c r="C358" s="10">
        <v>75</v>
      </c>
      <c r="D358" s="14">
        <v>310</v>
      </c>
      <c r="E358" s="10" t="s">
        <v>33</v>
      </c>
    </row>
    <row r="359" spans="1:6" x14ac:dyDescent="0.35">
      <c r="A359" s="2">
        <v>42454</v>
      </c>
      <c r="B359" s="40" t="s">
        <v>41</v>
      </c>
      <c r="C359" s="10">
        <v>73</v>
      </c>
      <c r="D359" s="14">
        <v>324</v>
      </c>
      <c r="E359" s="10" t="s">
        <v>33</v>
      </c>
    </row>
    <row r="360" spans="1:6" x14ac:dyDescent="0.35">
      <c r="A360" s="2">
        <v>42454</v>
      </c>
      <c r="B360" s="70" t="s">
        <v>41</v>
      </c>
      <c r="C360" s="10">
        <v>77</v>
      </c>
      <c r="D360" s="14">
        <v>397</v>
      </c>
      <c r="E360" s="10" t="s">
        <v>33</v>
      </c>
    </row>
    <row r="361" spans="1:6" x14ac:dyDescent="0.35">
      <c r="A361" s="2">
        <v>42454</v>
      </c>
      <c r="B361" s="40" t="s">
        <v>41</v>
      </c>
      <c r="C361" s="10">
        <v>67</v>
      </c>
      <c r="D361" s="14">
        <v>251</v>
      </c>
      <c r="E361" s="10" t="s">
        <v>33</v>
      </c>
    </row>
    <row r="362" spans="1:6" x14ac:dyDescent="0.35">
      <c r="A362" s="2">
        <v>42454</v>
      </c>
      <c r="B362" s="70" t="s">
        <v>41</v>
      </c>
      <c r="C362" s="10">
        <v>71</v>
      </c>
      <c r="D362" s="14">
        <v>270</v>
      </c>
      <c r="E362" s="10" t="s">
        <v>36</v>
      </c>
    </row>
    <row r="363" spans="1:6" x14ac:dyDescent="0.35">
      <c r="A363" s="2">
        <v>42454</v>
      </c>
      <c r="B363" s="40" t="s">
        <v>41</v>
      </c>
      <c r="C363" s="10">
        <v>77</v>
      </c>
      <c r="D363" s="14">
        <v>378</v>
      </c>
      <c r="E363" s="10" t="s">
        <v>36</v>
      </c>
    </row>
    <row r="364" spans="1:6" x14ac:dyDescent="0.35">
      <c r="A364" s="2">
        <v>42454</v>
      </c>
      <c r="B364" s="70" t="s">
        <v>41</v>
      </c>
      <c r="C364" s="10">
        <v>80</v>
      </c>
      <c r="D364" s="14">
        <v>470</v>
      </c>
      <c r="E364" s="10" t="s">
        <v>33</v>
      </c>
    </row>
    <row r="365" spans="1:6" x14ac:dyDescent="0.35">
      <c r="A365" s="2">
        <v>42454</v>
      </c>
      <c r="B365" s="40" t="s">
        <v>41</v>
      </c>
      <c r="C365" s="10">
        <v>70</v>
      </c>
      <c r="D365" s="14">
        <v>257</v>
      </c>
      <c r="E365" s="10" t="s">
        <v>39</v>
      </c>
    </row>
    <row r="366" spans="1:6" x14ac:dyDescent="0.35">
      <c r="A366" s="2">
        <v>42454</v>
      </c>
      <c r="B366" s="70" t="s">
        <v>41</v>
      </c>
      <c r="C366" s="10">
        <v>71</v>
      </c>
      <c r="D366" s="14">
        <v>329</v>
      </c>
      <c r="E366" s="10" t="s">
        <v>34</v>
      </c>
    </row>
    <row r="367" spans="1:6" x14ac:dyDescent="0.35">
      <c r="A367" s="2">
        <v>42454</v>
      </c>
      <c r="B367" s="40" t="s">
        <v>41</v>
      </c>
      <c r="C367" s="10">
        <v>71</v>
      </c>
      <c r="D367" s="14">
        <v>313</v>
      </c>
      <c r="E367" s="10" t="s">
        <v>33</v>
      </c>
    </row>
    <row r="368" spans="1:6" x14ac:dyDescent="0.35">
      <c r="A368" s="2">
        <v>42454</v>
      </c>
      <c r="B368" s="70" t="s">
        <v>41</v>
      </c>
      <c r="C368" s="10">
        <v>66</v>
      </c>
      <c r="D368" s="14">
        <v>242</v>
      </c>
      <c r="E368" s="10" t="s">
        <v>33</v>
      </c>
    </row>
    <row r="369" spans="1:30" x14ac:dyDescent="0.35">
      <c r="A369" s="2">
        <v>42454</v>
      </c>
      <c r="B369" s="40" t="s">
        <v>41</v>
      </c>
      <c r="C369" s="10">
        <v>79</v>
      </c>
      <c r="D369" s="14">
        <v>395</v>
      </c>
      <c r="E369" s="10" t="s">
        <v>33</v>
      </c>
    </row>
    <row r="370" spans="1:30" x14ac:dyDescent="0.35">
      <c r="A370" s="2">
        <v>42454</v>
      </c>
      <c r="B370" s="70" t="s">
        <v>41</v>
      </c>
      <c r="C370" s="10">
        <v>74</v>
      </c>
      <c r="D370" s="14">
        <v>397</v>
      </c>
      <c r="E370" s="10" t="s">
        <v>34</v>
      </c>
    </row>
    <row r="371" spans="1:30" x14ac:dyDescent="0.35">
      <c r="A371" s="2">
        <v>42454</v>
      </c>
      <c r="B371" s="40" t="s">
        <v>41</v>
      </c>
      <c r="C371" s="10">
        <v>72</v>
      </c>
      <c r="D371" s="14">
        <v>352</v>
      </c>
      <c r="E371" s="10" t="s">
        <v>34</v>
      </c>
    </row>
    <row r="372" spans="1:30" x14ac:dyDescent="0.35">
      <c r="A372" s="2">
        <v>42454</v>
      </c>
      <c r="B372" s="70" t="s">
        <v>41</v>
      </c>
      <c r="C372" s="10">
        <v>70</v>
      </c>
      <c r="D372" s="14">
        <v>283</v>
      </c>
      <c r="E372" s="10" t="s">
        <v>32</v>
      </c>
    </row>
    <row r="373" spans="1:30" x14ac:dyDescent="0.35">
      <c r="A373" s="2">
        <v>42454</v>
      </c>
      <c r="B373" s="40" t="s">
        <v>41</v>
      </c>
      <c r="C373" s="10">
        <v>71</v>
      </c>
      <c r="D373" s="14">
        <v>356</v>
      </c>
      <c r="E373" s="10" t="s">
        <v>33</v>
      </c>
    </row>
    <row r="374" spans="1:30" x14ac:dyDescent="0.35">
      <c r="A374" s="2">
        <v>42454</v>
      </c>
      <c r="B374" s="70" t="s">
        <v>41</v>
      </c>
      <c r="C374" s="10">
        <v>75</v>
      </c>
      <c r="D374" s="14">
        <v>352</v>
      </c>
      <c r="E374" s="10" t="s">
        <v>33</v>
      </c>
    </row>
    <row r="375" spans="1:30" x14ac:dyDescent="0.35">
      <c r="A375" s="2">
        <v>42454</v>
      </c>
      <c r="B375" s="40" t="s">
        <v>41</v>
      </c>
      <c r="C375" s="10">
        <v>75</v>
      </c>
      <c r="D375" s="14">
        <v>368</v>
      </c>
      <c r="E375" s="10" t="s">
        <v>33</v>
      </c>
      <c r="F375" t="s">
        <v>276</v>
      </c>
      <c r="T375" t="s">
        <v>117</v>
      </c>
    </row>
    <row r="376" spans="1:30" x14ac:dyDescent="0.35">
      <c r="A376" s="2">
        <v>42454</v>
      </c>
      <c r="B376" s="70" t="s">
        <v>41</v>
      </c>
      <c r="C376" s="10">
        <v>74</v>
      </c>
      <c r="D376" s="14">
        <v>367</v>
      </c>
      <c r="E376" s="10" t="s">
        <v>33</v>
      </c>
      <c r="G376" t="s">
        <v>42</v>
      </c>
      <c r="H376" t="s">
        <v>39</v>
      </c>
      <c r="I376" t="s">
        <v>40</v>
      </c>
      <c r="J376" t="s">
        <v>36</v>
      </c>
      <c r="K376" t="s">
        <v>33</v>
      </c>
      <c r="L376" t="s">
        <v>34</v>
      </c>
      <c r="M376" t="s">
        <v>32</v>
      </c>
      <c r="N376" t="s">
        <v>37</v>
      </c>
      <c r="P376" t="s">
        <v>43</v>
      </c>
      <c r="Q376" t="s">
        <v>44</v>
      </c>
      <c r="T376" t="s">
        <v>42</v>
      </c>
      <c r="U376" t="s">
        <v>39</v>
      </c>
      <c r="V376" t="s">
        <v>40</v>
      </c>
      <c r="W376" t="s">
        <v>36</v>
      </c>
      <c r="X376" t="s">
        <v>33</v>
      </c>
      <c r="Y376" t="s">
        <v>34</v>
      </c>
      <c r="Z376" t="s">
        <v>32</v>
      </c>
      <c r="AA376" t="s">
        <v>37</v>
      </c>
      <c r="AB376" t="s">
        <v>59</v>
      </c>
      <c r="AC376" t="s">
        <v>155</v>
      </c>
      <c r="AD376" t="s">
        <v>156</v>
      </c>
    </row>
    <row r="377" spans="1:30" x14ac:dyDescent="0.35">
      <c r="A377" s="2">
        <v>42454</v>
      </c>
      <c r="B377" s="40" t="s">
        <v>41</v>
      </c>
      <c r="C377" s="10">
        <v>67</v>
      </c>
      <c r="D377" s="14">
        <v>144</v>
      </c>
      <c r="E377" s="10" t="s">
        <v>33</v>
      </c>
      <c r="G377" s="5">
        <f>COUNTIF(E327:E378,"VA")</f>
        <v>0</v>
      </c>
      <c r="H377" s="5">
        <f>COUNTIF(E327:E378,"VB")</f>
        <v>5</v>
      </c>
      <c r="I377" s="5">
        <f>COUNTIF(E327:E378,"VIA0")</f>
        <v>3</v>
      </c>
      <c r="J377" s="5">
        <f>COUNTIF(E327:E378,"VIA1")</f>
        <v>7</v>
      </c>
      <c r="K377" s="5">
        <f>COUNTIF(E327:E378,"VIA2")</f>
        <v>20</v>
      </c>
      <c r="L377" s="5">
        <v>15</v>
      </c>
      <c r="M377" s="5">
        <v>2</v>
      </c>
      <c r="N377" s="5">
        <f>COUNTIF(E327:E378,"VIB")</f>
        <v>0</v>
      </c>
      <c r="P377" s="7">
        <f>AVERAGE(C327:C378)</f>
        <v>72.634615384615387</v>
      </c>
      <c r="Q377" s="8">
        <f>AVERAGE(D327:D378)</f>
        <v>339.03846153846155</v>
      </c>
      <c r="R377" s="8"/>
      <c r="S377" s="42" t="e">
        <f>AVERAGE(#REF!)</f>
        <v>#REF!</v>
      </c>
      <c r="T377" s="27">
        <f>COUNTIF(E212:E378,"VA")</f>
        <v>0</v>
      </c>
      <c r="U377" s="27">
        <f>COUNTIF(E212:E378,"VB")</f>
        <v>9</v>
      </c>
      <c r="V377" s="27">
        <f>COUNTIF(E212:E378,"VIA0")</f>
        <v>14</v>
      </c>
      <c r="W377" s="27">
        <f>COUNTIF(E212:E378,"VIA1")</f>
        <v>16</v>
      </c>
      <c r="X377" s="27">
        <f>COUNTIF(E212:E378,"VIA2")</f>
        <v>57</v>
      </c>
      <c r="Y377" s="27">
        <v>56</v>
      </c>
      <c r="Z377" s="27">
        <v>5</v>
      </c>
      <c r="AA377" s="27">
        <f>COUNTIF(E212:E378,"VIB")</f>
        <v>1</v>
      </c>
      <c r="AB377" s="5">
        <f>COUNTIF(E212:E378,"potlood")</f>
        <v>8</v>
      </c>
      <c r="AC377" s="8">
        <f>AVERAGE(C327:C378,C220:C325)</f>
        <v>71.430379746835442</v>
      </c>
      <c r="AD377" s="8">
        <f>AVERAGE(D327:D378,D220:D325)</f>
        <v>309.75316455696202</v>
      </c>
    </row>
    <row r="378" spans="1:30" s="4" customFormat="1" x14ac:dyDescent="0.35">
      <c r="A378" s="3">
        <v>42454</v>
      </c>
      <c r="B378" s="44" t="s">
        <v>41</v>
      </c>
      <c r="C378" s="11">
        <v>75</v>
      </c>
      <c r="D378" s="15">
        <v>380</v>
      </c>
      <c r="E378" s="11" t="s">
        <v>40</v>
      </c>
      <c r="G378" s="6">
        <f t="shared" ref="G378:N378" si="18">G377/52*100</f>
        <v>0</v>
      </c>
      <c r="H378" s="6">
        <f t="shared" si="18"/>
        <v>9.6153846153846168</v>
      </c>
      <c r="I378" s="6">
        <f t="shared" si="18"/>
        <v>5.7692307692307692</v>
      </c>
      <c r="J378" s="6">
        <f t="shared" si="18"/>
        <v>13.461538461538462</v>
      </c>
      <c r="K378" s="6">
        <f t="shared" si="18"/>
        <v>38.461538461538467</v>
      </c>
      <c r="L378" s="6">
        <f t="shared" si="18"/>
        <v>28.846153846153843</v>
      </c>
      <c r="M378" s="6">
        <f t="shared" si="18"/>
        <v>3.8461538461538463</v>
      </c>
      <c r="N378" s="6">
        <f t="shared" si="18"/>
        <v>0</v>
      </c>
      <c r="T378" s="28">
        <f>T377/158*100</f>
        <v>0</v>
      </c>
      <c r="U378" s="28">
        <f t="shared" ref="U378:AA378" si="19">U377/158*100</f>
        <v>5.6962025316455698</v>
      </c>
      <c r="V378" s="28">
        <f t="shared" si="19"/>
        <v>8.8607594936708853</v>
      </c>
      <c r="W378" s="28">
        <f t="shared" si="19"/>
        <v>10.126582278481013</v>
      </c>
      <c r="X378" s="28">
        <f t="shared" si="19"/>
        <v>36.075949367088604</v>
      </c>
      <c r="Y378" s="28">
        <f t="shared" si="19"/>
        <v>35.443037974683541</v>
      </c>
      <c r="Z378" s="28">
        <f t="shared" si="19"/>
        <v>3.1645569620253164</v>
      </c>
      <c r="AA378" s="28">
        <f t="shared" si="19"/>
        <v>0.63291139240506333</v>
      </c>
    </row>
    <row r="379" spans="1:30" x14ac:dyDescent="0.35">
      <c r="A379" s="2">
        <v>42454</v>
      </c>
      <c r="B379" s="36" t="s">
        <v>17</v>
      </c>
      <c r="C379" s="10">
        <v>73</v>
      </c>
      <c r="D379" s="14">
        <v>301</v>
      </c>
      <c r="E379" s="10" t="s">
        <v>39</v>
      </c>
    </row>
    <row r="380" spans="1:30" s="4" customFormat="1" x14ac:dyDescent="0.35">
      <c r="A380" s="3">
        <v>42454</v>
      </c>
      <c r="B380" s="26" t="s">
        <v>17</v>
      </c>
      <c r="C380" s="11">
        <v>71</v>
      </c>
      <c r="D380" s="15">
        <v>338</v>
      </c>
      <c r="E380" s="11" t="s">
        <v>40</v>
      </c>
      <c r="F380" s="18" t="s">
        <v>67</v>
      </c>
    </row>
    <row r="381" spans="1:30" x14ac:dyDescent="0.35">
      <c r="A381" s="2">
        <v>42461</v>
      </c>
      <c r="B381" s="70" t="s">
        <v>41</v>
      </c>
      <c r="C381">
        <v>81</v>
      </c>
      <c r="D381">
        <v>412</v>
      </c>
      <c r="E381" t="s">
        <v>40</v>
      </c>
    </row>
    <row r="382" spans="1:30" x14ac:dyDescent="0.35">
      <c r="A382" s="2">
        <v>42461</v>
      </c>
      <c r="B382" s="70" t="s">
        <v>41</v>
      </c>
      <c r="C382">
        <v>80</v>
      </c>
      <c r="D382">
        <v>439</v>
      </c>
      <c r="E382" t="s">
        <v>32</v>
      </c>
    </row>
    <row r="383" spans="1:30" x14ac:dyDescent="0.35">
      <c r="A383" s="2">
        <v>42461</v>
      </c>
      <c r="B383" s="70" t="s">
        <v>41</v>
      </c>
      <c r="C383">
        <v>73</v>
      </c>
      <c r="D383">
        <v>329</v>
      </c>
      <c r="E383" t="s">
        <v>32</v>
      </c>
    </row>
    <row r="384" spans="1:30" x14ac:dyDescent="0.35">
      <c r="A384" s="2">
        <v>42461</v>
      </c>
      <c r="B384" s="70" t="s">
        <v>41</v>
      </c>
      <c r="C384">
        <v>65</v>
      </c>
      <c r="D384">
        <v>218</v>
      </c>
      <c r="E384" t="s">
        <v>34</v>
      </c>
    </row>
    <row r="385" spans="1:19" x14ac:dyDescent="0.35">
      <c r="A385" s="2">
        <v>42461</v>
      </c>
      <c r="B385" s="70" t="s">
        <v>41</v>
      </c>
      <c r="C385">
        <v>76</v>
      </c>
      <c r="D385">
        <v>364</v>
      </c>
      <c r="E385" t="s">
        <v>34</v>
      </c>
    </row>
    <row r="386" spans="1:19" x14ac:dyDescent="0.35">
      <c r="A386" s="2">
        <v>42461</v>
      </c>
      <c r="B386" s="70" t="s">
        <v>41</v>
      </c>
      <c r="C386">
        <v>72</v>
      </c>
      <c r="D386">
        <v>326</v>
      </c>
      <c r="E386" t="s">
        <v>40</v>
      </c>
    </row>
    <row r="387" spans="1:19" x14ac:dyDescent="0.35">
      <c r="A387" s="2">
        <v>42461</v>
      </c>
      <c r="B387" s="70" t="s">
        <v>41</v>
      </c>
      <c r="C387">
        <v>72</v>
      </c>
      <c r="D387">
        <v>309</v>
      </c>
      <c r="E387" t="s">
        <v>32</v>
      </c>
    </row>
    <row r="388" spans="1:19" x14ac:dyDescent="0.35">
      <c r="A388" s="2">
        <v>42461</v>
      </c>
      <c r="B388" s="70" t="s">
        <v>41</v>
      </c>
      <c r="C388">
        <v>76</v>
      </c>
      <c r="D388">
        <v>392</v>
      </c>
      <c r="E388" t="s">
        <v>34</v>
      </c>
    </row>
    <row r="389" spans="1:19" x14ac:dyDescent="0.35">
      <c r="A389" s="2">
        <v>42461</v>
      </c>
      <c r="B389" s="70" t="s">
        <v>41</v>
      </c>
      <c r="C389">
        <v>76</v>
      </c>
      <c r="D389">
        <v>438</v>
      </c>
      <c r="E389" t="s">
        <v>34</v>
      </c>
    </row>
    <row r="390" spans="1:19" x14ac:dyDescent="0.35">
      <c r="A390" s="2">
        <v>42461</v>
      </c>
      <c r="B390" s="70" t="s">
        <v>41</v>
      </c>
      <c r="C390">
        <v>68</v>
      </c>
      <c r="D390">
        <v>276</v>
      </c>
      <c r="E390" t="s">
        <v>33</v>
      </c>
    </row>
    <row r="391" spans="1:19" x14ac:dyDescent="0.35">
      <c r="A391" s="2">
        <v>42461</v>
      </c>
      <c r="B391" s="70" t="s">
        <v>41</v>
      </c>
      <c r="C391">
        <v>62</v>
      </c>
      <c r="D391">
        <v>258</v>
      </c>
      <c r="E391" t="s">
        <v>36</v>
      </c>
    </row>
    <row r="392" spans="1:19" x14ac:dyDescent="0.35">
      <c r="A392" s="2">
        <v>42461</v>
      </c>
      <c r="B392" s="70" t="s">
        <v>41</v>
      </c>
      <c r="C392">
        <v>78</v>
      </c>
      <c r="D392">
        <v>397</v>
      </c>
      <c r="E392" t="s">
        <v>33</v>
      </c>
    </row>
    <row r="393" spans="1:19" x14ac:dyDescent="0.35">
      <c r="A393" s="2">
        <v>42461</v>
      </c>
      <c r="B393" s="70" t="s">
        <v>41</v>
      </c>
      <c r="C393">
        <v>72</v>
      </c>
      <c r="D393">
        <v>290</v>
      </c>
      <c r="E393" t="s">
        <v>40</v>
      </c>
      <c r="F393" t="s">
        <v>276</v>
      </c>
    </row>
    <row r="394" spans="1:19" x14ac:dyDescent="0.35">
      <c r="A394" s="2">
        <v>42461</v>
      </c>
      <c r="B394" s="70" t="s">
        <v>41</v>
      </c>
      <c r="C394">
        <v>70</v>
      </c>
      <c r="D394">
        <v>234</v>
      </c>
      <c r="E394" t="s">
        <v>33</v>
      </c>
      <c r="G394" t="s">
        <v>42</v>
      </c>
      <c r="H394" t="s">
        <v>39</v>
      </c>
      <c r="I394" t="s">
        <v>40</v>
      </c>
      <c r="J394" t="s">
        <v>36</v>
      </c>
      <c r="K394" t="s">
        <v>33</v>
      </c>
      <c r="L394" t="s">
        <v>34</v>
      </c>
      <c r="M394" t="s">
        <v>32</v>
      </c>
      <c r="N394" t="s">
        <v>37</v>
      </c>
      <c r="P394" t="s">
        <v>43</v>
      </c>
      <c r="Q394" t="s">
        <v>44</v>
      </c>
    </row>
    <row r="395" spans="1:19" x14ac:dyDescent="0.35">
      <c r="A395" s="2">
        <v>42461</v>
      </c>
      <c r="B395" s="70" t="s">
        <v>41</v>
      </c>
      <c r="C395">
        <v>67</v>
      </c>
      <c r="D395">
        <v>256</v>
      </c>
      <c r="E395" t="s">
        <v>39</v>
      </c>
      <c r="G395" s="5">
        <f>COUNTIF(E381:E396,"VA")</f>
        <v>0</v>
      </c>
      <c r="H395" s="5">
        <f>COUNTIF(E381:E396,"VB")</f>
        <v>1</v>
      </c>
      <c r="I395" s="5">
        <f>COUNTIF(E381:E396,"VIA0")</f>
        <v>3</v>
      </c>
      <c r="J395" s="5">
        <f>COUNTIF(E381:E396,"VIA1")</f>
        <v>1</v>
      </c>
      <c r="K395" s="5">
        <f>COUNTIF(E381:E396,"VIA2")</f>
        <v>3</v>
      </c>
      <c r="L395" s="5">
        <v>7</v>
      </c>
      <c r="M395" s="5">
        <v>1</v>
      </c>
      <c r="N395" s="5">
        <f>COUNTIF(E381:E396,"VIB")</f>
        <v>0</v>
      </c>
      <c r="P395" s="7">
        <f>AVERAGE(C381:C396)</f>
        <v>72.8125</v>
      </c>
      <c r="Q395" s="8">
        <f>AVERAGE(D381:D396)</f>
        <v>335.625</v>
      </c>
      <c r="R395" s="8"/>
      <c r="S395" s="42" t="e">
        <f>AVERAGE(#REF!)</f>
        <v>#REF!</v>
      </c>
    </row>
    <row r="396" spans="1:19" s="4" customFormat="1" x14ac:dyDescent="0.35">
      <c r="A396" s="3">
        <v>42461</v>
      </c>
      <c r="B396" s="44" t="s">
        <v>41</v>
      </c>
      <c r="C396" s="4">
        <v>77</v>
      </c>
      <c r="D396" s="4">
        <v>432</v>
      </c>
      <c r="E396" s="4" t="s">
        <v>34</v>
      </c>
      <c r="G396" s="6">
        <f>G395/16*100</f>
        <v>0</v>
      </c>
      <c r="H396" s="6">
        <f t="shared" ref="H396:N396" si="20">H395/16*100</f>
        <v>6.25</v>
      </c>
      <c r="I396" s="6">
        <f t="shared" si="20"/>
        <v>18.75</v>
      </c>
      <c r="J396" s="6">
        <f t="shared" si="20"/>
        <v>6.25</v>
      </c>
      <c r="K396" s="6">
        <f t="shared" si="20"/>
        <v>18.75</v>
      </c>
      <c r="L396" s="6">
        <f t="shared" si="20"/>
        <v>43.75</v>
      </c>
      <c r="M396" s="6">
        <f t="shared" si="20"/>
        <v>6.25</v>
      </c>
      <c r="N396" s="6">
        <f t="shared" si="20"/>
        <v>0</v>
      </c>
    </row>
    <row r="397" spans="1:19" x14ac:dyDescent="0.35">
      <c r="A397" s="2">
        <v>42461</v>
      </c>
      <c r="B397" s="70" t="s">
        <v>29</v>
      </c>
      <c r="C397" s="10">
        <v>109</v>
      </c>
      <c r="D397" s="10">
        <v>2050</v>
      </c>
      <c r="E397" s="10" t="s">
        <v>98</v>
      </c>
    </row>
    <row r="398" spans="1:19" x14ac:dyDescent="0.35">
      <c r="A398" s="2">
        <v>42461</v>
      </c>
      <c r="B398" s="70" t="s">
        <v>29</v>
      </c>
      <c r="C398" s="10">
        <v>119</v>
      </c>
      <c r="D398" s="10">
        <v>1984</v>
      </c>
      <c r="E398" s="10" t="s">
        <v>98</v>
      </c>
    </row>
    <row r="399" spans="1:19" x14ac:dyDescent="0.35">
      <c r="A399" s="2">
        <v>42461</v>
      </c>
      <c r="B399" s="70" t="s">
        <v>29</v>
      </c>
      <c r="C399" s="10">
        <v>97</v>
      </c>
      <c r="D399" s="10">
        <v>938</v>
      </c>
      <c r="E399" s="10" t="s">
        <v>98</v>
      </c>
    </row>
    <row r="400" spans="1:19" x14ac:dyDescent="0.35">
      <c r="A400" s="2">
        <v>42461</v>
      </c>
      <c r="B400" s="70" t="s">
        <v>29</v>
      </c>
      <c r="C400" s="10">
        <v>85</v>
      </c>
      <c r="D400" s="10">
        <v>742</v>
      </c>
      <c r="E400" s="10" t="s">
        <v>98</v>
      </c>
    </row>
    <row r="401" spans="1:5" x14ac:dyDescent="0.35">
      <c r="A401" s="2">
        <v>42461</v>
      </c>
      <c r="B401" s="70" t="s">
        <v>29</v>
      </c>
      <c r="C401" s="10">
        <v>101</v>
      </c>
      <c r="D401" s="10">
        <v>1195</v>
      </c>
      <c r="E401" s="10" t="s">
        <v>98</v>
      </c>
    </row>
    <row r="402" spans="1:5" x14ac:dyDescent="0.35">
      <c r="A402" s="2">
        <v>42461</v>
      </c>
      <c r="B402" s="70" t="s">
        <v>29</v>
      </c>
      <c r="C402" s="10">
        <v>98</v>
      </c>
      <c r="D402" s="10">
        <v>935</v>
      </c>
      <c r="E402" s="10" t="s">
        <v>98</v>
      </c>
    </row>
    <row r="403" spans="1:5" x14ac:dyDescent="0.35">
      <c r="A403" s="2">
        <v>42461</v>
      </c>
      <c r="B403" s="70" t="s">
        <v>29</v>
      </c>
      <c r="C403" s="10">
        <v>93</v>
      </c>
      <c r="D403" s="10">
        <v>980</v>
      </c>
      <c r="E403" s="10" t="s">
        <v>98</v>
      </c>
    </row>
    <row r="404" spans="1:5" x14ac:dyDescent="0.35">
      <c r="A404" s="2">
        <v>42461</v>
      </c>
      <c r="B404" s="70" t="s">
        <v>29</v>
      </c>
      <c r="C404" s="10">
        <v>134</v>
      </c>
      <c r="D404" s="10">
        <v>3424</v>
      </c>
      <c r="E404" s="10" t="s">
        <v>98</v>
      </c>
    </row>
    <row r="405" spans="1:5" x14ac:dyDescent="0.35">
      <c r="A405" s="2">
        <v>42461</v>
      </c>
      <c r="B405" s="70" t="s">
        <v>29</v>
      </c>
      <c r="C405" s="10">
        <v>247</v>
      </c>
      <c r="D405" s="10">
        <v>18600</v>
      </c>
      <c r="E405" s="10" t="s">
        <v>98</v>
      </c>
    </row>
    <row r="406" spans="1:5" x14ac:dyDescent="0.35">
      <c r="A406" s="2">
        <v>42461</v>
      </c>
      <c r="B406" s="70" t="s">
        <v>29</v>
      </c>
      <c r="C406" s="10">
        <v>146</v>
      </c>
      <c r="D406" s="10">
        <v>3794</v>
      </c>
      <c r="E406" s="10" t="s">
        <v>98</v>
      </c>
    </row>
    <row r="407" spans="1:5" x14ac:dyDescent="0.35">
      <c r="A407" s="2">
        <v>42461</v>
      </c>
      <c r="B407" s="70" t="s">
        <v>29</v>
      </c>
      <c r="C407" s="10">
        <v>104</v>
      </c>
      <c r="D407" s="10">
        <v>1466</v>
      </c>
      <c r="E407" s="10" t="s">
        <v>98</v>
      </c>
    </row>
    <row r="408" spans="1:5" x14ac:dyDescent="0.35">
      <c r="A408" s="2">
        <v>42461</v>
      </c>
      <c r="B408" s="70" t="s">
        <v>29</v>
      </c>
      <c r="C408" s="10">
        <v>91</v>
      </c>
      <c r="D408" s="10">
        <v>1126</v>
      </c>
      <c r="E408" s="10" t="s">
        <v>98</v>
      </c>
    </row>
    <row r="409" spans="1:5" x14ac:dyDescent="0.35">
      <c r="A409" s="2">
        <v>42461</v>
      </c>
      <c r="B409" s="70" t="s">
        <v>29</v>
      </c>
      <c r="C409" s="10">
        <v>213</v>
      </c>
      <c r="D409" s="10">
        <v>12229</v>
      </c>
      <c r="E409" s="10" t="s">
        <v>98</v>
      </c>
    </row>
    <row r="410" spans="1:5" x14ac:dyDescent="0.35">
      <c r="A410" s="2">
        <v>42461</v>
      </c>
      <c r="B410" s="70" t="s">
        <v>29</v>
      </c>
      <c r="C410" s="10">
        <v>114</v>
      </c>
      <c r="D410" s="10">
        <v>1834</v>
      </c>
      <c r="E410" s="10" t="s">
        <v>98</v>
      </c>
    </row>
    <row r="411" spans="1:5" x14ac:dyDescent="0.35">
      <c r="A411" s="2">
        <v>42461</v>
      </c>
      <c r="B411" s="70" t="s">
        <v>29</v>
      </c>
      <c r="C411" s="10">
        <v>90</v>
      </c>
      <c r="D411" s="10">
        <v>799</v>
      </c>
      <c r="E411" s="10" t="s">
        <v>98</v>
      </c>
    </row>
    <row r="412" spans="1:5" x14ac:dyDescent="0.35">
      <c r="A412" s="2">
        <v>42461</v>
      </c>
      <c r="B412" s="70" t="s">
        <v>29</v>
      </c>
      <c r="C412" s="10">
        <v>139</v>
      </c>
      <c r="D412" s="10">
        <v>2824</v>
      </c>
      <c r="E412" s="10" t="s">
        <v>98</v>
      </c>
    </row>
    <row r="413" spans="1:5" x14ac:dyDescent="0.35">
      <c r="A413" s="2">
        <v>42461</v>
      </c>
      <c r="B413" s="70" t="s">
        <v>29</v>
      </c>
      <c r="C413" s="10">
        <v>100</v>
      </c>
      <c r="D413" s="10">
        <v>1185</v>
      </c>
      <c r="E413" s="10" t="s">
        <v>98</v>
      </c>
    </row>
    <row r="414" spans="1:5" x14ac:dyDescent="0.35">
      <c r="A414" s="2">
        <v>42461</v>
      </c>
      <c r="B414" s="70" t="s">
        <v>29</v>
      </c>
      <c r="C414" s="10">
        <v>101</v>
      </c>
      <c r="D414" s="10">
        <v>1557</v>
      </c>
      <c r="E414" s="10" t="s">
        <v>98</v>
      </c>
    </row>
    <row r="415" spans="1:5" x14ac:dyDescent="0.35">
      <c r="A415" s="2">
        <v>42461</v>
      </c>
      <c r="B415" s="70" t="s">
        <v>29</v>
      </c>
      <c r="C415" s="10">
        <v>235</v>
      </c>
      <c r="D415" s="10">
        <v>53001</v>
      </c>
      <c r="E415" s="10" t="s">
        <v>98</v>
      </c>
    </row>
    <row r="416" spans="1:5" x14ac:dyDescent="0.35">
      <c r="A416" s="2">
        <v>42461</v>
      </c>
      <c r="B416" s="70" t="s">
        <v>29</v>
      </c>
      <c r="C416" s="10">
        <v>109</v>
      </c>
      <c r="D416" s="10">
        <v>1637</v>
      </c>
      <c r="E416" s="10" t="s">
        <v>98</v>
      </c>
    </row>
    <row r="417" spans="1:5" x14ac:dyDescent="0.35">
      <c r="A417" s="2">
        <v>42461</v>
      </c>
      <c r="B417" s="70" t="s">
        <v>29</v>
      </c>
      <c r="C417" s="10">
        <v>115</v>
      </c>
      <c r="D417" s="10">
        <v>1693</v>
      </c>
      <c r="E417" s="10" t="s">
        <v>98</v>
      </c>
    </row>
    <row r="418" spans="1:5" x14ac:dyDescent="0.35">
      <c r="A418" s="2">
        <v>42461</v>
      </c>
      <c r="B418" s="70" t="s">
        <v>29</v>
      </c>
      <c r="C418" s="10">
        <v>91</v>
      </c>
      <c r="D418" s="10">
        <v>780</v>
      </c>
      <c r="E418" s="10" t="s">
        <v>98</v>
      </c>
    </row>
    <row r="419" spans="1:5" x14ac:dyDescent="0.35">
      <c r="A419" s="2">
        <v>42461</v>
      </c>
      <c r="B419" s="70" t="s">
        <v>29</v>
      </c>
      <c r="C419" s="10">
        <v>98</v>
      </c>
      <c r="D419" s="10">
        <v>1264</v>
      </c>
      <c r="E419" s="10" t="s">
        <v>98</v>
      </c>
    </row>
    <row r="420" spans="1:5" x14ac:dyDescent="0.35">
      <c r="A420" s="2">
        <v>42461</v>
      </c>
      <c r="B420" s="70" t="s">
        <v>29</v>
      </c>
      <c r="C420" s="10">
        <v>129</v>
      </c>
      <c r="D420" s="10">
        <v>3129</v>
      </c>
      <c r="E420" s="10" t="s">
        <v>98</v>
      </c>
    </row>
    <row r="421" spans="1:5" x14ac:dyDescent="0.35">
      <c r="A421" s="2">
        <v>42461</v>
      </c>
      <c r="B421" s="70" t="s">
        <v>29</v>
      </c>
      <c r="C421" s="10">
        <v>111</v>
      </c>
      <c r="D421" s="10">
        <v>1801</v>
      </c>
      <c r="E421" s="10" t="s">
        <v>98</v>
      </c>
    </row>
    <row r="422" spans="1:5" x14ac:dyDescent="0.35">
      <c r="A422" s="2">
        <v>42461</v>
      </c>
      <c r="B422" s="70" t="s">
        <v>29</v>
      </c>
      <c r="C422" s="10">
        <v>95</v>
      </c>
      <c r="D422" s="10">
        <v>911</v>
      </c>
      <c r="E422" s="10" t="s">
        <v>98</v>
      </c>
    </row>
    <row r="423" spans="1:5" x14ac:dyDescent="0.35">
      <c r="A423" s="2">
        <v>42461</v>
      </c>
      <c r="B423" s="70" t="s">
        <v>29</v>
      </c>
      <c r="C423" s="10">
        <v>92</v>
      </c>
      <c r="D423" s="10">
        <v>988</v>
      </c>
      <c r="E423" s="10" t="s">
        <v>98</v>
      </c>
    </row>
    <row r="424" spans="1:5" x14ac:dyDescent="0.35">
      <c r="A424" s="2">
        <v>42461</v>
      </c>
      <c r="B424" s="70" t="s">
        <v>29</v>
      </c>
      <c r="C424" s="10">
        <v>97</v>
      </c>
      <c r="D424" s="10">
        <v>1097</v>
      </c>
      <c r="E424" s="10" t="s">
        <v>98</v>
      </c>
    </row>
    <row r="425" spans="1:5" x14ac:dyDescent="0.35">
      <c r="A425" s="2">
        <v>42461</v>
      </c>
      <c r="B425" s="70" t="s">
        <v>29</v>
      </c>
      <c r="C425" s="10">
        <v>92</v>
      </c>
      <c r="D425" s="10">
        <v>848</v>
      </c>
      <c r="E425" s="10" t="s">
        <v>98</v>
      </c>
    </row>
    <row r="426" spans="1:5" x14ac:dyDescent="0.35">
      <c r="A426" s="2">
        <v>42461</v>
      </c>
      <c r="B426" s="70" t="s">
        <v>29</v>
      </c>
      <c r="C426" s="10">
        <v>111</v>
      </c>
      <c r="D426" s="10">
        <v>1576</v>
      </c>
      <c r="E426" s="10" t="s">
        <v>98</v>
      </c>
    </row>
    <row r="427" spans="1:5" x14ac:dyDescent="0.35">
      <c r="A427" s="2">
        <v>42461</v>
      </c>
      <c r="B427" s="70" t="s">
        <v>29</v>
      </c>
      <c r="C427" s="10">
        <v>99</v>
      </c>
      <c r="D427" s="10">
        <v>1048</v>
      </c>
      <c r="E427" s="10" t="s">
        <v>98</v>
      </c>
    </row>
    <row r="428" spans="1:5" x14ac:dyDescent="0.35">
      <c r="A428" s="2">
        <v>42461</v>
      </c>
      <c r="B428" s="70" t="s">
        <v>29</v>
      </c>
      <c r="C428" s="10">
        <v>96</v>
      </c>
      <c r="D428" s="10">
        <v>953</v>
      </c>
      <c r="E428" s="10" t="s">
        <v>98</v>
      </c>
    </row>
    <row r="429" spans="1:5" x14ac:dyDescent="0.35">
      <c r="A429" s="2">
        <v>42461</v>
      </c>
      <c r="B429" s="70" t="s">
        <v>29</v>
      </c>
      <c r="C429" s="10">
        <v>113</v>
      </c>
      <c r="D429" s="10">
        <v>2230</v>
      </c>
      <c r="E429" s="10" t="s">
        <v>98</v>
      </c>
    </row>
    <row r="430" spans="1:5" x14ac:dyDescent="0.35">
      <c r="A430" s="2">
        <v>42461</v>
      </c>
      <c r="B430" s="70" t="s">
        <v>29</v>
      </c>
      <c r="C430" s="10">
        <v>119</v>
      </c>
      <c r="D430" s="10">
        <v>2126</v>
      </c>
      <c r="E430" s="10" t="s">
        <v>98</v>
      </c>
    </row>
    <row r="431" spans="1:5" x14ac:dyDescent="0.35">
      <c r="A431" s="2">
        <v>42461</v>
      </c>
      <c r="B431" s="70" t="s">
        <v>29</v>
      </c>
      <c r="C431" s="10">
        <v>98</v>
      </c>
      <c r="D431" s="10">
        <v>970</v>
      </c>
      <c r="E431" s="10" t="s">
        <v>98</v>
      </c>
    </row>
    <row r="432" spans="1:5" x14ac:dyDescent="0.35">
      <c r="A432" s="2">
        <v>42461</v>
      </c>
      <c r="B432" s="70" t="s">
        <v>29</v>
      </c>
      <c r="C432" s="10">
        <v>101</v>
      </c>
      <c r="D432" s="10">
        <v>1143</v>
      </c>
      <c r="E432" s="10" t="s">
        <v>98</v>
      </c>
    </row>
    <row r="433" spans="1:10" x14ac:dyDescent="0.35">
      <c r="A433" s="2">
        <v>42461</v>
      </c>
      <c r="B433" s="70" t="s">
        <v>29</v>
      </c>
      <c r="C433" s="10">
        <v>107</v>
      </c>
      <c r="D433" s="10">
        <v>1516</v>
      </c>
      <c r="E433" s="10" t="s">
        <v>98</v>
      </c>
    </row>
    <row r="434" spans="1:10" x14ac:dyDescent="0.35">
      <c r="A434" s="2">
        <v>42461</v>
      </c>
      <c r="B434" s="70" t="s">
        <v>29</v>
      </c>
      <c r="C434" s="10">
        <v>109</v>
      </c>
      <c r="D434" s="10">
        <v>1942</v>
      </c>
      <c r="E434" s="10" t="s">
        <v>98</v>
      </c>
    </row>
    <row r="435" spans="1:10" x14ac:dyDescent="0.35">
      <c r="A435" s="2">
        <v>42461</v>
      </c>
      <c r="B435" s="70" t="s">
        <v>29</v>
      </c>
      <c r="C435" s="10">
        <v>99</v>
      </c>
      <c r="D435" s="10">
        <v>1288</v>
      </c>
      <c r="E435" s="10" t="s">
        <v>98</v>
      </c>
    </row>
    <row r="436" spans="1:10" x14ac:dyDescent="0.35">
      <c r="A436" s="2">
        <v>42461</v>
      </c>
      <c r="B436" s="70" t="s">
        <v>29</v>
      </c>
      <c r="C436" s="10">
        <v>189</v>
      </c>
      <c r="D436" s="10">
        <v>7408</v>
      </c>
      <c r="E436" s="10" t="s">
        <v>98</v>
      </c>
      <c r="J436" s="42" t="e">
        <f>AVERAGE(#REF!)</f>
        <v>#REF!</v>
      </c>
    </row>
    <row r="437" spans="1:10" x14ac:dyDescent="0.35">
      <c r="A437" s="2">
        <v>42461</v>
      </c>
      <c r="B437" s="70" t="s">
        <v>29</v>
      </c>
      <c r="C437" s="10">
        <v>66</v>
      </c>
      <c r="D437" s="10">
        <v>262</v>
      </c>
      <c r="E437" s="10" t="s">
        <v>32</v>
      </c>
    </row>
    <row r="438" spans="1:10" x14ac:dyDescent="0.35">
      <c r="A438" s="2">
        <v>42461</v>
      </c>
      <c r="B438" s="70" t="s">
        <v>29</v>
      </c>
      <c r="C438" s="10">
        <v>76</v>
      </c>
      <c r="D438" s="10">
        <v>378</v>
      </c>
      <c r="E438" s="10" t="s">
        <v>36</v>
      </c>
    </row>
    <row r="439" spans="1:10" x14ac:dyDescent="0.35">
      <c r="A439" s="2">
        <v>42461</v>
      </c>
      <c r="B439" s="70" t="s">
        <v>29</v>
      </c>
      <c r="C439" s="10">
        <v>74</v>
      </c>
      <c r="D439" s="10">
        <v>300</v>
      </c>
      <c r="E439" s="10" t="s">
        <v>33</v>
      </c>
    </row>
    <row r="440" spans="1:10" x14ac:dyDescent="0.35">
      <c r="A440" s="2">
        <v>42461</v>
      </c>
      <c r="B440" s="70" t="s">
        <v>29</v>
      </c>
      <c r="C440" s="10">
        <v>68</v>
      </c>
      <c r="D440" s="10">
        <v>282</v>
      </c>
      <c r="E440" s="10" t="s">
        <v>33</v>
      </c>
    </row>
    <row r="441" spans="1:10" x14ac:dyDescent="0.35">
      <c r="A441" s="2">
        <v>42461</v>
      </c>
      <c r="B441" s="70" t="s">
        <v>29</v>
      </c>
      <c r="C441" s="10">
        <v>73</v>
      </c>
      <c r="D441" s="10">
        <v>288</v>
      </c>
      <c r="E441" s="10" t="s">
        <v>33</v>
      </c>
    </row>
    <row r="442" spans="1:10" x14ac:dyDescent="0.35">
      <c r="A442" s="2">
        <v>42461</v>
      </c>
      <c r="B442" s="70" t="s">
        <v>29</v>
      </c>
      <c r="C442" s="10">
        <v>74</v>
      </c>
      <c r="D442" s="10">
        <v>334</v>
      </c>
      <c r="E442" s="10" t="s">
        <v>34</v>
      </c>
    </row>
    <row r="443" spans="1:10" x14ac:dyDescent="0.35">
      <c r="A443" s="2">
        <v>42461</v>
      </c>
      <c r="B443" s="70" t="s">
        <v>29</v>
      </c>
      <c r="C443" s="10">
        <v>80</v>
      </c>
      <c r="D443" s="10">
        <v>422</v>
      </c>
      <c r="E443" s="10" t="s">
        <v>34</v>
      </c>
    </row>
    <row r="444" spans="1:10" x14ac:dyDescent="0.35">
      <c r="A444" s="2">
        <v>42461</v>
      </c>
      <c r="B444" s="70" t="s">
        <v>29</v>
      </c>
      <c r="C444" s="10">
        <v>74</v>
      </c>
      <c r="D444" s="10">
        <v>355</v>
      </c>
      <c r="E444" s="10" t="s">
        <v>33</v>
      </c>
    </row>
    <row r="445" spans="1:10" x14ac:dyDescent="0.35">
      <c r="A445" s="2">
        <v>42461</v>
      </c>
      <c r="B445" s="70" t="s">
        <v>29</v>
      </c>
      <c r="C445" s="10">
        <v>63</v>
      </c>
      <c r="D445" s="10">
        <v>230</v>
      </c>
      <c r="E445" s="10" t="s">
        <v>33</v>
      </c>
    </row>
    <row r="446" spans="1:10" x14ac:dyDescent="0.35">
      <c r="A446" s="2">
        <v>42461</v>
      </c>
      <c r="B446" s="70" t="s">
        <v>29</v>
      </c>
      <c r="C446" s="10">
        <v>75</v>
      </c>
      <c r="D446" s="10">
        <v>313</v>
      </c>
      <c r="E446" s="10" t="s">
        <v>34</v>
      </c>
    </row>
    <row r="447" spans="1:10" x14ac:dyDescent="0.35">
      <c r="A447" s="2">
        <v>42461</v>
      </c>
      <c r="B447" s="70" t="s">
        <v>29</v>
      </c>
      <c r="C447" s="10">
        <v>81</v>
      </c>
      <c r="D447" s="10">
        <v>418</v>
      </c>
      <c r="E447" s="10" t="s">
        <v>34</v>
      </c>
    </row>
    <row r="448" spans="1:10" x14ac:dyDescent="0.35">
      <c r="A448" s="2">
        <v>42461</v>
      </c>
      <c r="B448" s="70" t="s">
        <v>29</v>
      </c>
      <c r="C448" s="10">
        <v>66</v>
      </c>
      <c r="D448" s="10">
        <v>265</v>
      </c>
      <c r="E448" s="10" t="s">
        <v>40</v>
      </c>
    </row>
    <row r="449" spans="1:5" x14ac:dyDescent="0.35">
      <c r="A449" s="2">
        <v>42461</v>
      </c>
      <c r="B449" s="70" t="s">
        <v>29</v>
      </c>
      <c r="C449" s="10">
        <v>77</v>
      </c>
      <c r="D449" s="10">
        <v>446</v>
      </c>
      <c r="E449" s="10" t="s">
        <v>34</v>
      </c>
    </row>
    <row r="450" spans="1:5" x14ac:dyDescent="0.35">
      <c r="A450" s="2">
        <v>42461</v>
      </c>
      <c r="B450" s="70" t="s">
        <v>29</v>
      </c>
      <c r="C450" s="10">
        <v>72</v>
      </c>
      <c r="D450" s="10">
        <v>360</v>
      </c>
      <c r="E450" s="10" t="s">
        <v>34</v>
      </c>
    </row>
    <row r="451" spans="1:5" x14ac:dyDescent="0.35">
      <c r="A451" s="2">
        <v>42461</v>
      </c>
      <c r="B451" s="70" t="s">
        <v>29</v>
      </c>
      <c r="C451" s="10">
        <v>69</v>
      </c>
      <c r="D451" s="10">
        <v>351</v>
      </c>
      <c r="E451" s="10" t="s">
        <v>33</v>
      </c>
    </row>
    <row r="452" spans="1:5" x14ac:dyDescent="0.35">
      <c r="A452" s="2">
        <v>42461</v>
      </c>
      <c r="B452" s="70" t="s">
        <v>29</v>
      </c>
      <c r="C452" s="10">
        <v>70</v>
      </c>
      <c r="D452" s="10">
        <v>300</v>
      </c>
      <c r="E452" s="10" t="s">
        <v>33</v>
      </c>
    </row>
    <row r="453" spans="1:5" x14ac:dyDescent="0.35">
      <c r="A453" s="2">
        <v>42461</v>
      </c>
      <c r="B453" s="70" t="s">
        <v>29</v>
      </c>
      <c r="C453" s="10">
        <v>76</v>
      </c>
      <c r="D453" s="10">
        <v>334</v>
      </c>
      <c r="E453" s="10" t="s">
        <v>33</v>
      </c>
    </row>
    <row r="454" spans="1:5" x14ac:dyDescent="0.35">
      <c r="A454" s="2">
        <v>42461</v>
      </c>
      <c r="B454" s="70" t="s">
        <v>29</v>
      </c>
      <c r="C454" s="10">
        <v>76</v>
      </c>
      <c r="D454" s="10">
        <v>376</v>
      </c>
      <c r="E454" s="10" t="s">
        <v>32</v>
      </c>
    </row>
    <row r="455" spans="1:5" x14ac:dyDescent="0.35">
      <c r="A455" s="2">
        <v>42461</v>
      </c>
      <c r="B455" s="70" t="s">
        <v>29</v>
      </c>
      <c r="C455" s="10">
        <v>69</v>
      </c>
      <c r="D455" s="10">
        <v>282</v>
      </c>
      <c r="E455" s="10" t="s">
        <v>34</v>
      </c>
    </row>
    <row r="456" spans="1:5" x14ac:dyDescent="0.35">
      <c r="A456" s="2">
        <v>42461</v>
      </c>
      <c r="B456" s="70" t="s">
        <v>29</v>
      </c>
      <c r="C456" s="10">
        <v>77</v>
      </c>
      <c r="D456" s="10">
        <v>421</v>
      </c>
      <c r="E456" s="10" t="s">
        <v>34</v>
      </c>
    </row>
    <row r="457" spans="1:5" x14ac:dyDescent="0.35">
      <c r="A457" s="2">
        <v>42461</v>
      </c>
      <c r="B457" s="70" t="s">
        <v>29</v>
      </c>
      <c r="C457" s="10">
        <v>68</v>
      </c>
      <c r="D457" s="10">
        <v>303</v>
      </c>
      <c r="E457" s="10" t="s">
        <v>33</v>
      </c>
    </row>
    <row r="458" spans="1:5" x14ac:dyDescent="0.35">
      <c r="A458" s="2">
        <v>42461</v>
      </c>
      <c r="B458" s="70" t="s">
        <v>29</v>
      </c>
      <c r="C458" s="10">
        <v>72</v>
      </c>
      <c r="D458" s="10">
        <v>323</v>
      </c>
      <c r="E458" s="10" t="s">
        <v>33</v>
      </c>
    </row>
    <row r="459" spans="1:5" x14ac:dyDescent="0.35">
      <c r="A459" s="2">
        <v>42461</v>
      </c>
      <c r="B459" s="70" t="s">
        <v>29</v>
      </c>
      <c r="C459" s="10">
        <v>68</v>
      </c>
      <c r="D459" s="10">
        <v>330</v>
      </c>
      <c r="E459" s="10" t="s">
        <v>34</v>
      </c>
    </row>
    <row r="460" spans="1:5" x14ac:dyDescent="0.35">
      <c r="A460" s="2">
        <v>42461</v>
      </c>
      <c r="B460" s="70" t="s">
        <v>29</v>
      </c>
      <c r="C460" s="10">
        <v>72</v>
      </c>
      <c r="D460" s="10">
        <v>293</v>
      </c>
      <c r="E460" s="10" t="s">
        <v>34</v>
      </c>
    </row>
    <row r="461" spans="1:5" x14ac:dyDescent="0.35">
      <c r="A461" s="2">
        <v>42461</v>
      </c>
      <c r="B461" s="70" t="s">
        <v>29</v>
      </c>
      <c r="C461" s="10">
        <v>73</v>
      </c>
      <c r="D461" s="10">
        <v>291</v>
      </c>
      <c r="E461" s="10" t="s">
        <v>33</v>
      </c>
    </row>
    <row r="462" spans="1:5" x14ac:dyDescent="0.35">
      <c r="A462" s="2">
        <v>42461</v>
      </c>
      <c r="B462" s="70" t="s">
        <v>29</v>
      </c>
      <c r="C462" s="10">
        <v>76</v>
      </c>
      <c r="D462" s="10">
        <v>410</v>
      </c>
      <c r="E462" s="10" t="s">
        <v>34</v>
      </c>
    </row>
    <row r="463" spans="1:5" x14ac:dyDescent="0.35">
      <c r="A463" s="2">
        <v>42461</v>
      </c>
      <c r="B463" s="70" t="s">
        <v>29</v>
      </c>
      <c r="C463" s="10">
        <v>77</v>
      </c>
      <c r="D463" s="10">
        <v>355</v>
      </c>
      <c r="E463" s="10" t="s">
        <v>34</v>
      </c>
    </row>
    <row r="464" spans="1:5" x14ac:dyDescent="0.35">
      <c r="A464" s="2">
        <v>42461</v>
      </c>
      <c r="B464" s="70" t="s">
        <v>29</v>
      </c>
      <c r="C464" s="10">
        <v>71</v>
      </c>
      <c r="D464" s="10">
        <v>254</v>
      </c>
      <c r="E464" s="10" t="s">
        <v>36</v>
      </c>
    </row>
    <row r="465" spans="1:5" x14ac:dyDescent="0.35">
      <c r="A465" s="2">
        <v>42461</v>
      </c>
      <c r="B465" s="70" t="s">
        <v>29</v>
      </c>
      <c r="C465" s="10">
        <v>67</v>
      </c>
      <c r="D465" s="10">
        <v>246</v>
      </c>
      <c r="E465" s="10" t="s">
        <v>34</v>
      </c>
    </row>
    <row r="466" spans="1:5" x14ac:dyDescent="0.35">
      <c r="A466" s="2">
        <v>42461</v>
      </c>
      <c r="B466" s="70" t="s">
        <v>29</v>
      </c>
      <c r="C466" s="10">
        <v>79</v>
      </c>
      <c r="D466" s="10">
        <v>447</v>
      </c>
      <c r="E466" s="10" t="s">
        <v>34</v>
      </c>
    </row>
    <row r="467" spans="1:5" x14ac:dyDescent="0.35">
      <c r="A467" s="2">
        <v>42461</v>
      </c>
      <c r="B467" s="70" t="s">
        <v>29</v>
      </c>
      <c r="C467" s="10">
        <v>64</v>
      </c>
      <c r="D467" s="10">
        <v>247</v>
      </c>
      <c r="E467" s="10" t="s">
        <v>34</v>
      </c>
    </row>
    <row r="468" spans="1:5" x14ac:dyDescent="0.35">
      <c r="A468" s="2">
        <v>42461</v>
      </c>
      <c r="B468" s="70" t="s">
        <v>29</v>
      </c>
      <c r="C468" s="10">
        <v>71</v>
      </c>
      <c r="D468" s="10">
        <v>441</v>
      </c>
      <c r="E468" s="10" t="s">
        <v>32</v>
      </c>
    </row>
    <row r="469" spans="1:5" x14ac:dyDescent="0.35">
      <c r="A469" s="2">
        <v>42461</v>
      </c>
      <c r="B469" s="70" t="s">
        <v>29</v>
      </c>
      <c r="C469" s="10">
        <v>71</v>
      </c>
      <c r="D469" s="10">
        <v>243</v>
      </c>
      <c r="E469" s="10" t="s">
        <v>39</v>
      </c>
    </row>
    <row r="470" spans="1:5" x14ac:dyDescent="0.35">
      <c r="A470" s="2">
        <v>42461</v>
      </c>
      <c r="B470" s="70" t="s">
        <v>29</v>
      </c>
      <c r="C470" s="10">
        <v>77</v>
      </c>
      <c r="D470" s="10">
        <v>379</v>
      </c>
      <c r="E470" s="10" t="s">
        <v>33</v>
      </c>
    </row>
    <row r="471" spans="1:5" x14ac:dyDescent="0.35">
      <c r="A471" s="2">
        <v>42461</v>
      </c>
      <c r="B471" s="70" t="s">
        <v>29</v>
      </c>
      <c r="C471" s="10">
        <v>72</v>
      </c>
      <c r="D471" s="10">
        <v>292</v>
      </c>
      <c r="E471" s="10" t="s">
        <v>34</v>
      </c>
    </row>
    <row r="472" spans="1:5" x14ac:dyDescent="0.35">
      <c r="A472" s="2">
        <v>42461</v>
      </c>
      <c r="B472" s="70" t="s">
        <v>29</v>
      </c>
      <c r="C472" s="10">
        <v>79</v>
      </c>
      <c r="D472" s="10">
        <v>436</v>
      </c>
      <c r="E472" s="10" t="s">
        <v>32</v>
      </c>
    </row>
    <row r="473" spans="1:5" x14ac:dyDescent="0.35">
      <c r="A473" s="2">
        <v>42461</v>
      </c>
      <c r="B473" s="70" t="s">
        <v>29</v>
      </c>
      <c r="C473" s="10">
        <v>65</v>
      </c>
      <c r="D473" s="10">
        <v>216</v>
      </c>
      <c r="E473" s="10" t="s">
        <v>32</v>
      </c>
    </row>
    <row r="474" spans="1:5" x14ac:dyDescent="0.35">
      <c r="A474" s="2">
        <v>42461</v>
      </c>
      <c r="B474" s="70" t="s">
        <v>29</v>
      </c>
      <c r="C474" s="10">
        <v>77</v>
      </c>
      <c r="D474" s="10">
        <v>331</v>
      </c>
      <c r="E474" s="10" t="s">
        <v>32</v>
      </c>
    </row>
    <row r="475" spans="1:5" x14ac:dyDescent="0.35">
      <c r="A475" s="2">
        <v>42461</v>
      </c>
      <c r="B475" s="70" t="s">
        <v>29</v>
      </c>
      <c r="C475" s="10">
        <v>71</v>
      </c>
      <c r="D475" s="10">
        <v>311</v>
      </c>
      <c r="E475" s="10" t="s">
        <v>34</v>
      </c>
    </row>
    <row r="476" spans="1:5" x14ac:dyDescent="0.35">
      <c r="A476" s="2">
        <v>42461</v>
      </c>
      <c r="B476" s="70" t="s">
        <v>29</v>
      </c>
      <c r="C476" s="10">
        <v>66</v>
      </c>
      <c r="D476" s="10">
        <v>263</v>
      </c>
      <c r="E476" s="10" t="s">
        <v>34</v>
      </c>
    </row>
    <row r="477" spans="1:5" x14ac:dyDescent="0.35">
      <c r="A477" s="2">
        <v>42461</v>
      </c>
      <c r="B477" s="70" t="s">
        <v>29</v>
      </c>
      <c r="C477" s="10">
        <v>69</v>
      </c>
      <c r="D477" s="10">
        <v>245</v>
      </c>
      <c r="E477" s="10" t="s">
        <v>32</v>
      </c>
    </row>
    <row r="478" spans="1:5" x14ac:dyDescent="0.35">
      <c r="A478" s="2">
        <v>42461</v>
      </c>
      <c r="B478" s="70" t="s">
        <v>29</v>
      </c>
      <c r="C478" s="10">
        <v>78</v>
      </c>
      <c r="D478" s="10">
        <v>227</v>
      </c>
      <c r="E478" s="10" t="s">
        <v>34</v>
      </c>
    </row>
    <row r="479" spans="1:5" x14ac:dyDescent="0.35">
      <c r="A479" s="2">
        <v>42461</v>
      </c>
      <c r="B479" s="70" t="s">
        <v>29</v>
      </c>
      <c r="C479" s="10">
        <v>71</v>
      </c>
      <c r="D479" s="10">
        <v>295</v>
      </c>
      <c r="E479" s="10" t="s">
        <v>34</v>
      </c>
    </row>
    <row r="480" spans="1:5" x14ac:dyDescent="0.35">
      <c r="A480" s="2">
        <v>42461</v>
      </c>
      <c r="B480" s="70" t="s">
        <v>29</v>
      </c>
      <c r="C480" s="10">
        <v>75</v>
      </c>
      <c r="D480" s="10">
        <v>438</v>
      </c>
      <c r="E480" s="10" t="s">
        <v>32</v>
      </c>
    </row>
    <row r="481" spans="1:19" x14ac:dyDescent="0.35">
      <c r="A481" s="2">
        <v>42461</v>
      </c>
      <c r="B481" s="70" t="s">
        <v>29</v>
      </c>
      <c r="C481" s="10">
        <v>68</v>
      </c>
      <c r="D481" s="10">
        <v>259</v>
      </c>
      <c r="E481" s="10" t="s">
        <v>32</v>
      </c>
    </row>
    <row r="482" spans="1:19" x14ac:dyDescent="0.35">
      <c r="A482" s="2">
        <v>42461</v>
      </c>
      <c r="B482" s="70" t="s">
        <v>29</v>
      </c>
      <c r="C482" s="10">
        <v>72</v>
      </c>
      <c r="D482" s="10">
        <v>352</v>
      </c>
      <c r="E482" s="10" t="s">
        <v>32</v>
      </c>
    </row>
    <row r="483" spans="1:19" x14ac:dyDescent="0.35">
      <c r="A483" s="2">
        <v>42461</v>
      </c>
      <c r="B483" s="70" t="s">
        <v>29</v>
      </c>
      <c r="C483" s="10">
        <v>72</v>
      </c>
      <c r="D483" s="10">
        <v>379</v>
      </c>
      <c r="E483" s="10" t="s">
        <v>32</v>
      </c>
      <c r="F483" t="s">
        <v>281</v>
      </c>
    </row>
    <row r="484" spans="1:19" x14ac:dyDescent="0.35">
      <c r="A484" s="2">
        <v>42461</v>
      </c>
      <c r="B484" s="70" t="s">
        <v>29</v>
      </c>
      <c r="C484" s="10">
        <v>73</v>
      </c>
      <c r="D484" s="10">
        <v>273</v>
      </c>
      <c r="E484" s="10" t="s">
        <v>34</v>
      </c>
      <c r="G484" t="s">
        <v>42</v>
      </c>
      <c r="H484" t="s">
        <v>39</v>
      </c>
      <c r="I484" t="s">
        <v>40</v>
      </c>
      <c r="J484" t="s">
        <v>36</v>
      </c>
      <c r="K484" t="s">
        <v>33</v>
      </c>
      <c r="L484" t="s">
        <v>34</v>
      </c>
      <c r="M484" t="s">
        <v>32</v>
      </c>
      <c r="N484" t="s">
        <v>37</v>
      </c>
      <c r="P484" t="s">
        <v>43</v>
      </c>
      <c r="Q484" t="s">
        <v>44</v>
      </c>
    </row>
    <row r="485" spans="1:19" x14ac:dyDescent="0.35">
      <c r="A485" s="2">
        <v>42461</v>
      </c>
      <c r="B485" s="70" t="s">
        <v>29</v>
      </c>
      <c r="C485" s="10">
        <v>71</v>
      </c>
      <c r="D485" s="10">
        <v>369</v>
      </c>
      <c r="E485" s="10" t="s">
        <v>33</v>
      </c>
      <c r="G485" s="5">
        <f>COUNTIF(E437:E486,"VA")</f>
        <v>0</v>
      </c>
      <c r="H485" s="5">
        <f>COUNTIF(E437:E486,"VB")</f>
        <v>1</v>
      </c>
      <c r="I485" s="5">
        <f>COUNTIF(E437:E486,"VIA0")</f>
        <v>1</v>
      </c>
      <c r="J485" s="5">
        <f>COUNTIF(E437:E486,"VIA1")</f>
        <v>2</v>
      </c>
      <c r="K485" s="5">
        <f>COUNTIF(E437:E486,"VIA2")</f>
        <v>13</v>
      </c>
      <c r="L485" s="5">
        <v>27</v>
      </c>
      <c r="M485" s="5">
        <v>6</v>
      </c>
      <c r="N485" s="5">
        <f>COUNTIF(E437:E486,"VIB")</f>
        <v>0</v>
      </c>
      <c r="P485" s="7">
        <f>AVERAGE(C437:C486)</f>
        <v>72.28</v>
      </c>
      <c r="Q485" s="8">
        <f>AVERAGE(D437:D486)</f>
        <v>326.52</v>
      </c>
      <c r="R485" s="8"/>
      <c r="S485" s="42" t="e">
        <f>AVERAGE(#REF!)</f>
        <v>#REF!</v>
      </c>
    </row>
    <row r="486" spans="1:19" s="4" customFormat="1" x14ac:dyDescent="0.35">
      <c r="A486" s="3">
        <v>42461</v>
      </c>
      <c r="B486" s="44" t="s">
        <v>29</v>
      </c>
      <c r="C486" s="11">
        <v>73</v>
      </c>
      <c r="D486" s="11">
        <v>361</v>
      </c>
      <c r="E486" s="11" t="s">
        <v>32</v>
      </c>
      <c r="G486" s="6">
        <f>G485/50*100</f>
        <v>0</v>
      </c>
      <c r="H486" s="6">
        <f t="shared" ref="H486:N486" si="21">H485/50*100</f>
        <v>2</v>
      </c>
      <c r="I486" s="6">
        <f t="shared" si="21"/>
        <v>2</v>
      </c>
      <c r="J486" s="6">
        <f t="shared" si="21"/>
        <v>4</v>
      </c>
      <c r="K486" s="6">
        <f t="shared" si="21"/>
        <v>26</v>
      </c>
      <c r="L486" s="6">
        <f t="shared" si="21"/>
        <v>54</v>
      </c>
      <c r="M486" s="6">
        <f t="shared" si="21"/>
        <v>12</v>
      </c>
      <c r="N486" s="6">
        <f t="shared" si="21"/>
        <v>0</v>
      </c>
    </row>
    <row r="487" spans="1:19" x14ac:dyDescent="0.35">
      <c r="A487" s="2">
        <v>42461</v>
      </c>
      <c r="B487" s="70" t="s">
        <v>38</v>
      </c>
      <c r="C487" s="10">
        <v>108</v>
      </c>
      <c r="D487" s="10">
        <v>1593</v>
      </c>
      <c r="E487" s="10" t="s">
        <v>98</v>
      </c>
    </row>
    <row r="488" spans="1:19" x14ac:dyDescent="0.35">
      <c r="A488" s="2">
        <v>42461</v>
      </c>
      <c r="B488" s="70" t="s">
        <v>38</v>
      </c>
      <c r="C488" s="10">
        <v>96</v>
      </c>
      <c r="D488" s="10">
        <v>1106</v>
      </c>
      <c r="E488" s="10" t="s">
        <v>98</v>
      </c>
    </row>
    <row r="489" spans="1:19" x14ac:dyDescent="0.35">
      <c r="A489" s="2">
        <v>42461</v>
      </c>
      <c r="B489" s="70" t="s">
        <v>38</v>
      </c>
      <c r="C489" s="10">
        <v>142</v>
      </c>
      <c r="D489" s="10">
        <v>3220</v>
      </c>
      <c r="E489" s="10" t="s">
        <v>98</v>
      </c>
    </row>
    <row r="490" spans="1:19" x14ac:dyDescent="0.35">
      <c r="A490" s="2">
        <v>42461</v>
      </c>
      <c r="B490" s="70" t="s">
        <v>38</v>
      </c>
      <c r="C490" s="10">
        <v>156</v>
      </c>
      <c r="D490" s="10">
        <v>4327</v>
      </c>
      <c r="E490" s="10" t="s">
        <v>98</v>
      </c>
    </row>
    <row r="491" spans="1:19" x14ac:dyDescent="0.35">
      <c r="A491" s="2">
        <v>42461</v>
      </c>
      <c r="B491" s="70" t="s">
        <v>38</v>
      </c>
      <c r="C491" s="10">
        <v>92</v>
      </c>
      <c r="D491" s="10">
        <v>1006</v>
      </c>
      <c r="E491" s="10" t="s">
        <v>98</v>
      </c>
    </row>
    <row r="492" spans="1:19" x14ac:dyDescent="0.35">
      <c r="A492" s="2">
        <v>42461</v>
      </c>
      <c r="B492" s="70" t="s">
        <v>38</v>
      </c>
      <c r="C492" s="10">
        <v>116</v>
      </c>
      <c r="D492" s="10">
        <v>2286</v>
      </c>
      <c r="E492" s="10" t="s">
        <v>98</v>
      </c>
    </row>
    <row r="493" spans="1:19" x14ac:dyDescent="0.35">
      <c r="A493" s="2">
        <v>42461</v>
      </c>
      <c r="B493" s="70" t="s">
        <v>38</v>
      </c>
      <c r="C493" s="10">
        <v>137</v>
      </c>
      <c r="D493" s="10">
        <v>4927</v>
      </c>
      <c r="E493" s="10" t="s">
        <v>98</v>
      </c>
    </row>
    <row r="494" spans="1:19" x14ac:dyDescent="0.35">
      <c r="A494" s="2">
        <v>42461</v>
      </c>
      <c r="B494" s="70" t="s">
        <v>38</v>
      </c>
      <c r="C494" s="10">
        <v>94</v>
      </c>
      <c r="D494" s="10">
        <v>1076</v>
      </c>
      <c r="E494" s="10" t="s">
        <v>98</v>
      </c>
    </row>
    <row r="495" spans="1:19" x14ac:dyDescent="0.35">
      <c r="A495" s="2">
        <v>42461</v>
      </c>
      <c r="B495" s="70" t="s">
        <v>38</v>
      </c>
      <c r="C495" s="10">
        <v>125</v>
      </c>
      <c r="D495" s="10">
        <v>2839</v>
      </c>
      <c r="E495" s="10" t="s">
        <v>98</v>
      </c>
    </row>
    <row r="496" spans="1:19" x14ac:dyDescent="0.35">
      <c r="A496" s="2">
        <v>42461</v>
      </c>
      <c r="B496" s="70" t="s">
        <v>38</v>
      </c>
      <c r="C496" s="10">
        <v>89</v>
      </c>
      <c r="D496" s="10">
        <v>679</v>
      </c>
      <c r="E496" s="10" t="s">
        <v>98</v>
      </c>
    </row>
    <row r="497" spans="1:5" x14ac:dyDescent="0.35">
      <c r="A497" s="2">
        <v>42461</v>
      </c>
      <c r="B497" s="70" t="s">
        <v>38</v>
      </c>
      <c r="C497" s="10">
        <v>99</v>
      </c>
      <c r="D497" s="10">
        <v>1133</v>
      </c>
      <c r="E497" s="10" t="s">
        <v>98</v>
      </c>
    </row>
    <row r="498" spans="1:5" x14ac:dyDescent="0.35">
      <c r="A498" s="2">
        <v>42461</v>
      </c>
      <c r="B498" s="70" t="s">
        <v>38</v>
      </c>
      <c r="C498" s="10">
        <v>106</v>
      </c>
      <c r="D498" s="10">
        <v>1501</v>
      </c>
      <c r="E498" s="10" t="s">
        <v>98</v>
      </c>
    </row>
    <row r="499" spans="1:5" x14ac:dyDescent="0.35">
      <c r="A499" s="2">
        <v>42461</v>
      </c>
      <c r="B499" s="70" t="s">
        <v>38</v>
      </c>
      <c r="C499" s="10">
        <v>116</v>
      </c>
      <c r="D499" s="10">
        <v>1816</v>
      </c>
      <c r="E499" s="10" t="s">
        <v>98</v>
      </c>
    </row>
    <row r="500" spans="1:5" x14ac:dyDescent="0.35">
      <c r="A500" s="2">
        <v>42461</v>
      </c>
      <c r="B500" s="70" t="s">
        <v>38</v>
      </c>
      <c r="C500" s="10">
        <v>98</v>
      </c>
      <c r="D500" s="10">
        <v>1246</v>
      </c>
      <c r="E500" s="10" t="s">
        <v>98</v>
      </c>
    </row>
    <row r="501" spans="1:5" x14ac:dyDescent="0.35">
      <c r="A501" s="2">
        <v>42461</v>
      </c>
      <c r="B501" s="70" t="s">
        <v>38</v>
      </c>
      <c r="C501" s="10">
        <v>116</v>
      </c>
      <c r="D501" s="10">
        <v>2128</v>
      </c>
      <c r="E501" s="10" t="s">
        <v>98</v>
      </c>
    </row>
    <row r="502" spans="1:5" x14ac:dyDescent="0.35">
      <c r="A502" s="2">
        <v>42461</v>
      </c>
      <c r="B502" s="70" t="s">
        <v>38</v>
      </c>
      <c r="C502" s="10">
        <v>98</v>
      </c>
      <c r="D502" s="10">
        <v>1057</v>
      </c>
      <c r="E502" s="10" t="s">
        <v>98</v>
      </c>
    </row>
    <row r="503" spans="1:5" x14ac:dyDescent="0.35">
      <c r="A503" s="2">
        <v>42461</v>
      </c>
      <c r="B503" s="70" t="s">
        <v>38</v>
      </c>
      <c r="C503" s="10">
        <v>128</v>
      </c>
      <c r="D503" s="10">
        <v>2187</v>
      </c>
      <c r="E503" s="10" t="s">
        <v>98</v>
      </c>
    </row>
    <row r="504" spans="1:5" x14ac:dyDescent="0.35">
      <c r="A504" s="2">
        <v>42461</v>
      </c>
      <c r="B504" s="70" t="s">
        <v>38</v>
      </c>
      <c r="C504" s="10">
        <v>93</v>
      </c>
      <c r="D504" s="10">
        <v>970</v>
      </c>
      <c r="E504" s="10" t="s">
        <v>98</v>
      </c>
    </row>
    <row r="505" spans="1:5" x14ac:dyDescent="0.35">
      <c r="A505" s="2">
        <v>42461</v>
      </c>
      <c r="B505" s="70" t="s">
        <v>38</v>
      </c>
      <c r="C505" s="10">
        <v>100</v>
      </c>
      <c r="D505" s="10">
        <v>985</v>
      </c>
      <c r="E505" s="10" t="s">
        <v>98</v>
      </c>
    </row>
    <row r="506" spans="1:5" x14ac:dyDescent="0.35">
      <c r="A506" s="2">
        <v>42461</v>
      </c>
      <c r="B506" s="70" t="s">
        <v>38</v>
      </c>
      <c r="C506" s="10">
        <v>109</v>
      </c>
      <c r="D506" s="10">
        <v>1427</v>
      </c>
      <c r="E506" s="10" t="s">
        <v>98</v>
      </c>
    </row>
    <row r="507" spans="1:5" x14ac:dyDescent="0.35">
      <c r="A507" s="2">
        <v>42461</v>
      </c>
      <c r="B507" s="70" t="s">
        <v>38</v>
      </c>
      <c r="C507" s="10">
        <v>115</v>
      </c>
      <c r="D507" s="10">
        <v>1718</v>
      </c>
      <c r="E507" s="10" t="s">
        <v>98</v>
      </c>
    </row>
    <row r="508" spans="1:5" x14ac:dyDescent="0.35">
      <c r="A508" s="2">
        <v>42461</v>
      </c>
      <c r="B508" s="70" t="s">
        <v>38</v>
      </c>
      <c r="C508" s="10">
        <v>99</v>
      </c>
      <c r="D508" s="10">
        <v>1431</v>
      </c>
      <c r="E508" s="10" t="s">
        <v>98</v>
      </c>
    </row>
    <row r="509" spans="1:5" x14ac:dyDescent="0.35">
      <c r="A509" s="2">
        <v>42461</v>
      </c>
      <c r="B509" s="70" t="s">
        <v>38</v>
      </c>
      <c r="C509" s="10">
        <v>101</v>
      </c>
      <c r="D509" s="10">
        <v>1303</v>
      </c>
      <c r="E509" s="10" t="s">
        <v>98</v>
      </c>
    </row>
    <row r="510" spans="1:5" x14ac:dyDescent="0.35">
      <c r="A510" s="2">
        <v>42461</v>
      </c>
      <c r="B510" s="70" t="s">
        <v>38</v>
      </c>
      <c r="C510" s="10">
        <v>93</v>
      </c>
      <c r="D510" s="10">
        <v>886</v>
      </c>
      <c r="E510" s="10" t="s">
        <v>98</v>
      </c>
    </row>
    <row r="511" spans="1:5" x14ac:dyDescent="0.35">
      <c r="A511" s="2">
        <v>42461</v>
      </c>
      <c r="B511" s="70" t="s">
        <v>38</v>
      </c>
      <c r="C511" s="10">
        <v>111</v>
      </c>
      <c r="D511" s="10">
        <v>1961</v>
      </c>
      <c r="E511" s="10" t="s">
        <v>98</v>
      </c>
    </row>
    <row r="512" spans="1:5" x14ac:dyDescent="0.35">
      <c r="A512" s="2">
        <v>42461</v>
      </c>
      <c r="B512" s="70" t="s">
        <v>38</v>
      </c>
      <c r="C512" s="10">
        <v>100</v>
      </c>
      <c r="D512" s="10">
        <v>918</v>
      </c>
      <c r="E512" s="10" t="s">
        <v>98</v>
      </c>
    </row>
    <row r="513" spans="1:7" x14ac:dyDescent="0.35">
      <c r="A513" s="2">
        <v>42461</v>
      </c>
      <c r="B513" s="70" t="s">
        <v>38</v>
      </c>
      <c r="C513" s="10">
        <v>106</v>
      </c>
      <c r="D513" s="10">
        <v>1332</v>
      </c>
      <c r="E513" s="10" t="s">
        <v>98</v>
      </c>
    </row>
    <row r="514" spans="1:7" x14ac:dyDescent="0.35">
      <c r="A514" s="2">
        <v>42461</v>
      </c>
      <c r="B514" s="70" t="s">
        <v>38</v>
      </c>
      <c r="C514" s="10">
        <v>94</v>
      </c>
      <c r="D514" s="10">
        <v>1283</v>
      </c>
      <c r="E514" s="10" t="s">
        <v>98</v>
      </c>
    </row>
    <row r="515" spans="1:7" x14ac:dyDescent="0.35">
      <c r="A515" s="2">
        <v>42461</v>
      </c>
      <c r="B515" s="70" t="s">
        <v>38</v>
      </c>
      <c r="C515" s="10">
        <v>123</v>
      </c>
      <c r="D515" s="10">
        <v>2623</v>
      </c>
      <c r="E515" s="10" t="s">
        <v>98</v>
      </c>
    </row>
    <row r="516" spans="1:7" x14ac:dyDescent="0.35">
      <c r="A516" s="2">
        <v>42461</v>
      </c>
      <c r="B516" s="70" t="s">
        <v>38</v>
      </c>
      <c r="C516" s="10">
        <v>93</v>
      </c>
      <c r="D516" s="10">
        <v>854</v>
      </c>
      <c r="E516" s="10" t="s">
        <v>98</v>
      </c>
    </row>
    <row r="517" spans="1:7" x14ac:dyDescent="0.35">
      <c r="A517" s="2">
        <v>42461</v>
      </c>
      <c r="B517" s="70" t="s">
        <v>38</v>
      </c>
      <c r="C517" s="10">
        <v>104</v>
      </c>
      <c r="D517" s="10">
        <v>1630</v>
      </c>
      <c r="E517" s="10" t="s">
        <v>98</v>
      </c>
    </row>
    <row r="518" spans="1:7" x14ac:dyDescent="0.35">
      <c r="A518" s="2">
        <v>42461</v>
      </c>
      <c r="B518" s="70" t="s">
        <v>38</v>
      </c>
      <c r="C518" s="10">
        <v>101</v>
      </c>
      <c r="D518" s="10">
        <v>1267</v>
      </c>
      <c r="E518" s="10" t="s">
        <v>98</v>
      </c>
    </row>
    <row r="519" spans="1:7" x14ac:dyDescent="0.35">
      <c r="A519" s="2">
        <v>42461</v>
      </c>
      <c r="B519" s="70" t="s">
        <v>38</v>
      </c>
      <c r="C519" s="10">
        <v>97</v>
      </c>
      <c r="D519" s="10">
        <v>1120</v>
      </c>
      <c r="E519" s="10" t="s">
        <v>98</v>
      </c>
    </row>
    <row r="520" spans="1:7" x14ac:dyDescent="0.35">
      <c r="A520" s="2">
        <v>42461</v>
      </c>
      <c r="B520" s="70" t="s">
        <v>38</v>
      </c>
      <c r="C520" s="10">
        <v>103</v>
      </c>
      <c r="D520" s="10">
        <v>1520</v>
      </c>
      <c r="E520" s="10" t="s">
        <v>98</v>
      </c>
    </row>
    <row r="521" spans="1:7" x14ac:dyDescent="0.35">
      <c r="A521" s="2">
        <v>42461</v>
      </c>
      <c r="B521" s="70" t="s">
        <v>38</v>
      </c>
      <c r="C521" s="10">
        <v>106</v>
      </c>
      <c r="D521" s="10">
        <v>1249</v>
      </c>
      <c r="E521" s="10" t="s">
        <v>98</v>
      </c>
    </row>
    <row r="522" spans="1:7" x14ac:dyDescent="0.35">
      <c r="A522" s="2">
        <v>42461</v>
      </c>
      <c r="B522" s="70" t="s">
        <v>38</v>
      </c>
      <c r="C522" s="10">
        <v>155</v>
      </c>
      <c r="D522" s="10">
        <v>4693</v>
      </c>
      <c r="E522" s="10" t="s">
        <v>98</v>
      </c>
    </row>
    <row r="523" spans="1:7" x14ac:dyDescent="0.35">
      <c r="A523" s="2">
        <v>42461</v>
      </c>
      <c r="B523" s="70" t="s">
        <v>38</v>
      </c>
      <c r="C523" s="10">
        <v>113</v>
      </c>
      <c r="D523" s="10">
        <v>1884</v>
      </c>
      <c r="E523" s="10" t="s">
        <v>98</v>
      </c>
      <c r="G523" s="42" t="e">
        <f>AVERAGE(#REF!)</f>
        <v>#REF!</v>
      </c>
    </row>
    <row r="524" spans="1:7" x14ac:dyDescent="0.35">
      <c r="A524" s="2">
        <v>42461</v>
      </c>
      <c r="B524" s="70" t="s">
        <v>38</v>
      </c>
      <c r="C524" s="10">
        <v>71</v>
      </c>
      <c r="D524" s="10">
        <v>363</v>
      </c>
      <c r="E524" s="10" t="s">
        <v>32</v>
      </c>
      <c r="G524" s="42" t="e">
        <f>AVERAGE(#REF!,#REF!)</f>
        <v>#REF!</v>
      </c>
    </row>
    <row r="525" spans="1:7" x14ac:dyDescent="0.35">
      <c r="A525" s="2">
        <v>42461</v>
      </c>
      <c r="B525" s="70" t="s">
        <v>38</v>
      </c>
      <c r="C525" s="10">
        <v>78</v>
      </c>
      <c r="D525" s="10">
        <v>398</v>
      </c>
      <c r="E525" s="10" t="s">
        <v>34</v>
      </c>
    </row>
    <row r="526" spans="1:7" x14ac:dyDescent="0.35">
      <c r="A526" s="2">
        <v>42461</v>
      </c>
      <c r="B526" s="70" t="s">
        <v>38</v>
      </c>
      <c r="C526" s="10">
        <v>72</v>
      </c>
      <c r="D526" s="10">
        <v>396</v>
      </c>
      <c r="E526" s="10" t="s">
        <v>34</v>
      </c>
    </row>
    <row r="527" spans="1:7" x14ac:dyDescent="0.35">
      <c r="A527" s="2">
        <v>42461</v>
      </c>
      <c r="B527" s="70" t="s">
        <v>38</v>
      </c>
      <c r="C527" s="10">
        <v>69</v>
      </c>
      <c r="D527" s="10">
        <v>287</v>
      </c>
      <c r="E527" s="10" t="s">
        <v>34</v>
      </c>
    </row>
    <row r="528" spans="1:7" x14ac:dyDescent="0.35">
      <c r="A528" s="2">
        <v>42461</v>
      </c>
      <c r="B528" s="70" t="s">
        <v>38</v>
      </c>
      <c r="C528" s="10">
        <v>76</v>
      </c>
      <c r="D528" s="10">
        <v>302</v>
      </c>
      <c r="E528" s="10" t="s">
        <v>34</v>
      </c>
    </row>
    <row r="529" spans="1:5" x14ac:dyDescent="0.35">
      <c r="A529" s="2">
        <v>42461</v>
      </c>
      <c r="B529" s="70" t="s">
        <v>38</v>
      </c>
      <c r="C529" s="10">
        <v>71</v>
      </c>
      <c r="D529" s="10">
        <v>307</v>
      </c>
      <c r="E529" s="10" t="s">
        <v>33</v>
      </c>
    </row>
    <row r="530" spans="1:5" x14ac:dyDescent="0.35">
      <c r="A530" s="2">
        <v>42461</v>
      </c>
      <c r="B530" s="70" t="s">
        <v>38</v>
      </c>
      <c r="C530" s="10">
        <v>73</v>
      </c>
      <c r="D530" s="10">
        <v>290</v>
      </c>
      <c r="E530" s="10" t="s">
        <v>34</v>
      </c>
    </row>
    <row r="531" spans="1:5" x14ac:dyDescent="0.35">
      <c r="A531" s="2">
        <v>42461</v>
      </c>
      <c r="B531" s="70" t="s">
        <v>38</v>
      </c>
      <c r="C531" s="10">
        <v>71</v>
      </c>
      <c r="D531" s="10">
        <v>334</v>
      </c>
      <c r="E531" s="10" t="s">
        <v>32</v>
      </c>
    </row>
    <row r="532" spans="1:5" x14ac:dyDescent="0.35">
      <c r="A532" s="2">
        <v>42461</v>
      </c>
      <c r="B532" s="70" t="s">
        <v>38</v>
      </c>
      <c r="C532" s="10">
        <v>71</v>
      </c>
      <c r="D532" s="10">
        <v>374</v>
      </c>
      <c r="E532" s="10" t="s">
        <v>34</v>
      </c>
    </row>
    <row r="533" spans="1:5" x14ac:dyDescent="0.35">
      <c r="A533" s="2">
        <v>42461</v>
      </c>
      <c r="B533" s="70" t="s">
        <v>38</v>
      </c>
      <c r="C533" s="10">
        <v>74</v>
      </c>
      <c r="D533" s="10">
        <v>362</v>
      </c>
      <c r="E533" s="10" t="s">
        <v>33</v>
      </c>
    </row>
    <row r="534" spans="1:5" x14ac:dyDescent="0.35">
      <c r="A534" s="2">
        <v>42461</v>
      </c>
      <c r="B534" s="70" t="s">
        <v>38</v>
      </c>
      <c r="C534" s="10">
        <v>71</v>
      </c>
      <c r="D534" s="10">
        <v>338</v>
      </c>
      <c r="E534" s="10" t="s">
        <v>33</v>
      </c>
    </row>
    <row r="535" spans="1:5" x14ac:dyDescent="0.35">
      <c r="A535" s="2">
        <v>42461</v>
      </c>
      <c r="B535" s="70" t="s">
        <v>38</v>
      </c>
      <c r="C535" s="10">
        <v>68</v>
      </c>
      <c r="D535" s="10">
        <v>238</v>
      </c>
      <c r="E535" s="10" t="s">
        <v>33</v>
      </c>
    </row>
    <row r="536" spans="1:5" x14ac:dyDescent="0.35">
      <c r="A536" s="2">
        <v>42461</v>
      </c>
      <c r="B536" s="70" t="s">
        <v>38</v>
      </c>
      <c r="C536" s="10">
        <v>71</v>
      </c>
      <c r="D536" s="10">
        <v>289</v>
      </c>
      <c r="E536" s="10" t="s">
        <v>33</v>
      </c>
    </row>
    <row r="537" spans="1:5" x14ac:dyDescent="0.35">
      <c r="A537" s="2">
        <v>42461</v>
      </c>
      <c r="B537" s="70" t="s">
        <v>38</v>
      </c>
      <c r="C537" s="10">
        <v>66</v>
      </c>
      <c r="D537" s="10">
        <v>282</v>
      </c>
      <c r="E537" s="10" t="s">
        <v>33</v>
      </c>
    </row>
    <row r="538" spans="1:5" x14ac:dyDescent="0.35">
      <c r="A538" s="2">
        <v>42461</v>
      </c>
      <c r="B538" s="70" t="s">
        <v>38</v>
      </c>
      <c r="C538" s="10">
        <v>72</v>
      </c>
      <c r="D538" s="10">
        <v>335</v>
      </c>
      <c r="E538" s="10" t="s">
        <v>32</v>
      </c>
    </row>
    <row r="539" spans="1:5" x14ac:dyDescent="0.35">
      <c r="A539" s="2">
        <v>42461</v>
      </c>
      <c r="B539" s="70" t="s">
        <v>38</v>
      </c>
      <c r="C539" s="10">
        <v>68</v>
      </c>
      <c r="D539" s="10">
        <v>248</v>
      </c>
      <c r="E539" s="10" t="s">
        <v>34</v>
      </c>
    </row>
    <row r="540" spans="1:5" x14ac:dyDescent="0.35">
      <c r="A540" s="2">
        <v>42461</v>
      </c>
      <c r="B540" s="70" t="s">
        <v>38</v>
      </c>
      <c r="C540" s="10">
        <v>73</v>
      </c>
      <c r="D540" s="10">
        <v>369</v>
      </c>
      <c r="E540" s="10" t="s">
        <v>34</v>
      </c>
    </row>
    <row r="541" spans="1:5" x14ac:dyDescent="0.35">
      <c r="A541" s="2">
        <v>42461</v>
      </c>
      <c r="B541" s="70" t="s">
        <v>38</v>
      </c>
      <c r="C541" s="10">
        <v>73</v>
      </c>
      <c r="D541" s="10">
        <v>382</v>
      </c>
      <c r="E541" s="10" t="s">
        <v>33</v>
      </c>
    </row>
    <row r="542" spans="1:5" x14ac:dyDescent="0.35">
      <c r="A542" s="2">
        <v>42461</v>
      </c>
      <c r="B542" s="70" t="s">
        <v>38</v>
      </c>
      <c r="C542" s="10">
        <v>76</v>
      </c>
      <c r="D542" s="10">
        <v>330</v>
      </c>
      <c r="E542" s="10" t="s">
        <v>33</v>
      </c>
    </row>
    <row r="543" spans="1:5" x14ac:dyDescent="0.35">
      <c r="A543" s="2">
        <v>42461</v>
      </c>
      <c r="B543" s="70" t="s">
        <v>38</v>
      </c>
      <c r="C543" s="10">
        <v>75</v>
      </c>
      <c r="D543" s="10">
        <v>356</v>
      </c>
      <c r="E543" s="10" t="s">
        <v>34</v>
      </c>
    </row>
    <row r="544" spans="1:5" x14ac:dyDescent="0.35">
      <c r="A544" s="2">
        <v>42461</v>
      </c>
      <c r="B544" s="70" t="s">
        <v>38</v>
      </c>
      <c r="C544" s="10">
        <v>65</v>
      </c>
      <c r="D544" s="10">
        <v>281</v>
      </c>
      <c r="E544" s="10" t="s">
        <v>34</v>
      </c>
    </row>
    <row r="545" spans="1:5" x14ac:dyDescent="0.35">
      <c r="A545" s="2">
        <v>42461</v>
      </c>
      <c r="B545" s="70" t="s">
        <v>38</v>
      </c>
      <c r="C545" s="10">
        <v>79</v>
      </c>
      <c r="D545" s="10">
        <v>462</v>
      </c>
      <c r="E545" s="10" t="s">
        <v>34</v>
      </c>
    </row>
    <row r="546" spans="1:5" x14ac:dyDescent="0.35">
      <c r="A546" s="2">
        <v>42461</v>
      </c>
      <c r="B546" s="70" t="s">
        <v>38</v>
      </c>
      <c r="C546" s="10">
        <v>63</v>
      </c>
      <c r="D546" s="10">
        <v>181</v>
      </c>
      <c r="E546" s="10" t="s">
        <v>34</v>
      </c>
    </row>
    <row r="547" spans="1:5" x14ac:dyDescent="0.35">
      <c r="A547" s="2">
        <v>42461</v>
      </c>
      <c r="B547" s="70" t="s">
        <v>38</v>
      </c>
      <c r="C547" s="10">
        <v>68</v>
      </c>
      <c r="D547" s="10">
        <v>267</v>
      </c>
      <c r="E547" s="10" t="s">
        <v>34</v>
      </c>
    </row>
    <row r="548" spans="1:5" x14ac:dyDescent="0.35">
      <c r="A548" s="2">
        <v>42461</v>
      </c>
      <c r="B548" s="70" t="s">
        <v>38</v>
      </c>
      <c r="C548" s="10">
        <v>62</v>
      </c>
      <c r="D548" s="10">
        <v>223</v>
      </c>
      <c r="E548" s="10" t="s">
        <v>34</v>
      </c>
    </row>
    <row r="549" spans="1:5" x14ac:dyDescent="0.35">
      <c r="A549" s="2">
        <v>42461</v>
      </c>
      <c r="B549" s="70" t="s">
        <v>38</v>
      </c>
      <c r="C549" s="10">
        <v>73</v>
      </c>
      <c r="D549" s="10">
        <v>393</v>
      </c>
      <c r="E549" s="10" t="s">
        <v>34</v>
      </c>
    </row>
    <row r="550" spans="1:5" x14ac:dyDescent="0.35">
      <c r="A550" s="2">
        <v>42461</v>
      </c>
      <c r="B550" s="70" t="s">
        <v>38</v>
      </c>
      <c r="C550" s="10">
        <v>69</v>
      </c>
      <c r="D550" s="10">
        <v>292</v>
      </c>
      <c r="E550" s="10" t="s">
        <v>32</v>
      </c>
    </row>
    <row r="551" spans="1:5" x14ac:dyDescent="0.35">
      <c r="A551" s="2">
        <v>42461</v>
      </c>
      <c r="B551" s="70" t="s">
        <v>38</v>
      </c>
      <c r="C551" s="10">
        <v>71</v>
      </c>
      <c r="D551" s="10">
        <v>293</v>
      </c>
      <c r="E551" s="10" t="s">
        <v>34</v>
      </c>
    </row>
    <row r="552" spans="1:5" x14ac:dyDescent="0.35">
      <c r="A552" s="2">
        <v>42461</v>
      </c>
      <c r="B552" s="70" t="s">
        <v>38</v>
      </c>
      <c r="C552" s="10">
        <v>74</v>
      </c>
      <c r="D552" s="10">
        <v>364</v>
      </c>
      <c r="E552" s="10" t="s">
        <v>39</v>
      </c>
    </row>
    <row r="553" spans="1:5" x14ac:dyDescent="0.35">
      <c r="A553" s="2">
        <v>42461</v>
      </c>
      <c r="B553" s="70" t="s">
        <v>38</v>
      </c>
      <c r="C553" s="10">
        <v>75</v>
      </c>
      <c r="D553" s="10">
        <v>341</v>
      </c>
      <c r="E553" s="10" t="s">
        <v>34</v>
      </c>
    </row>
    <row r="554" spans="1:5" x14ac:dyDescent="0.35">
      <c r="A554" s="2">
        <v>42461</v>
      </c>
      <c r="B554" s="70" t="s">
        <v>38</v>
      </c>
      <c r="C554" s="10">
        <v>73</v>
      </c>
      <c r="D554" s="10">
        <v>218</v>
      </c>
      <c r="E554" s="10" t="s">
        <v>34</v>
      </c>
    </row>
    <row r="555" spans="1:5" x14ac:dyDescent="0.35">
      <c r="A555" s="2">
        <v>42461</v>
      </c>
      <c r="B555" s="70" t="s">
        <v>38</v>
      </c>
      <c r="C555" s="10">
        <v>69</v>
      </c>
      <c r="D555" s="10">
        <v>270</v>
      </c>
      <c r="E555" s="10" t="s">
        <v>33</v>
      </c>
    </row>
    <row r="556" spans="1:5" x14ac:dyDescent="0.35">
      <c r="A556" s="2">
        <v>42461</v>
      </c>
      <c r="B556" s="70" t="s">
        <v>38</v>
      </c>
      <c r="C556" s="10">
        <v>66</v>
      </c>
      <c r="D556" s="10">
        <v>220</v>
      </c>
      <c r="E556" s="10" t="s">
        <v>34</v>
      </c>
    </row>
    <row r="557" spans="1:5" x14ac:dyDescent="0.35">
      <c r="A557" s="2">
        <v>42461</v>
      </c>
      <c r="B557" s="70" t="s">
        <v>38</v>
      </c>
      <c r="C557" s="10">
        <v>65</v>
      </c>
      <c r="D557" s="10">
        <v>233</v>
      </c>
      <c r="E557" s="10" t="s">
        <v>34</v>
      </c>
    </row>
    <row r="558" spans="1:5" x14ac:dyDescent="0.35">
      <c r="A558" s="2">
        <v>42461</v>
      </c>
      <c r="B558" s="70" t="s">
        <v>38</v>
      </c>
      <c r="C558" s="10">
        <v>69</v>
      </c>
      <c r="D558" s="10">
        <v>314</v>
      </c>
      <c r="E558" s="10" t="s">
        <v>33</v>
      </c>
    </row>
    <row r="559" spans="1:5" x14ac:dyDescent="0.35">
      <c r="A559" s="2">
        <v>42461</v>
      </c>
      <c r="B559" s="70" t="s">
        <v>38</v>
      </c>
      <c r="C559" s="10">
        <v>73</v>
      </c>
      <c r="D559" s="10">
        <v>331</v>
      </c>
      <c r="E559" s="10" t="s">
        <v>34</v>
      </c>
    </row>
    <row r="560" spans="1:5" x14ac:dyDescent="0.35">
      <c r="A560" s="2">
        <v>42461</v>
      </c>
      <c r="B560" s="70" t="s">
        <v>38</v>
      </c>
      <c r="C560" s="10">
        <v>69</v>
      </c>
      <c r="D560" s="10">
        <v>278</v>
      </c>
      <c r="E560" s="10" t="s">
        <v>34</v>
      </c>
    </row>
    <row r="561" spans="1:21" x14ac:dyDescent="0.35">
      <c r="A561" s="2">
        <v>42461</v>
      </c>
      <c r="B561" s="70" t="s">
        <v>38</v>
      </c>
      <c r="C561" s="10">
        <v>73</v>
      </c>
      <c r="D561" s="10">
        <v>315</v>
      </c>
      <c r="E561" s="10" t="s">
        <v>34</v>
      </c>
    </row>
    <row r="562" spans="1:21" x14ac:dyDescent="0.35">
      <c r="A562" s="2">
        <v>42461</v>
      </c>
      <c r="B562" s="70" t="s">
        <v>38</v>
      </c>
      <c r="C562" s="10">
        <v>74</v>
      </c>
      <c r="D562" s="10">
        <v>341</v>
      </c>
      <c r="E562" s="10" t="s">
        <v>33</v>
      </c>
    </row>
    <row r="563" spans="1:21" x14ac:dyDescent="0.35">
      <c r="A563" s="2">
        <v>42461</v>
      </c>
      <c r="B563" s="70" t="s">
        <v>38</v>
      </c>
      <c r="C563" s="10">
        <v>61</v>
      </c>
      <c r="D563" s="10">
        <v>197</v>
      </c>
      <c r="E563" s="10" t="s">
        <v>34</v>
      </c>
    </row>
    <row r="564" spans="1:21" x14ac:dyDescent="0.35">
      <c r="A564" s="2">
        <v>42461</v>
      </c>
      <c r="B564" s="70" t="s">
        <v>38</v>
      </c>
      <c r="C564" s="10">
        <v>67</v>
      </c>
      <c r="D564" s="10">
        <v>259</v>
      </c>
      <c r="E564" s="10" t="s">
        <v>34</v>
      </c>
    </row>
    <row r="565" spans="1:21" x14ac:dyDescent="0.35">
      <c r="A565" s="2">
        <v>42461</v>
      </c>
      <c r="B565" s="70" t="s">
        <v>38</v>
      </c>
      <c r="C565" s="10">
        <v>70</v>
      </c>
      <c r="D565" s="10">
        <v>323</v>
      </c>
      <c r="E565" s="10" t="s">
        <v>36</v>
      </c>
    </row>
    <row r="566" spans="1:21" x14ac:dyDescent="0.35">
      <c r="A566" s="2">
        <v>42461</v>
      </c>
      <c r="B566" s="70" t="s">
        <v>38</v>
      </c>
      <c r="C566" s="10">
        <v>59</v>
      </c>
      <c r="D566" s="10">
        <v>151</v>
      </c>
      <c r="E566" s="10" t="s">
        <v>36</v>
      </c>
      <c r="G566" t="s">
        <v>42</v>
      </c>
      <c r="H566" t="s">
        <v>39</v>
      </c>
      <c r="I566" t="s">
        <v>40</v>
      </c>
      <c r="J566" t="s">
        <v>36</v>
      </c>
      <c r="K566" t="s">
        <v>33</v>
      </c>
      <c r="L566" t="s">
        <v>34</v>
      </c>
      <c r="M566" t="s">
        <v>32</v>
      </c>
      <c r="N566" t="s">
        <v>37</v>
      </c>
      <c r="P566" t="s">
        <v>43</v>
      </c>
      <c r="Q566" t="s">
        <v>44</v>
      </c>
    </row>
    <row r="567" spans="1:21" x14ac:dyDescent="0.35">
      <c r="A567" s="2">
        <v>42461</v>
      </c>
      <c r="B567" s="70" t="s">
        <v>38</v>
      </c>
      <c r="C567" s="10">
        <v>69</v>
      </c>
      <c r="D567" s="10">
        <v>270</v>
      </c>
      <c r="E567" s="10" t="s">
        <v>33</v>
      </c>
      <c r="G567" s="5">
        <f>COUNTIF(E421:E573,"VA")</f>
        <v>0</v>
      </c>
      <c r="H567" s="5">
        <f>COUNTIF(E421:E573,"VB")</f>
        <v>2</v>
      </c>
      <c r="I567" s="5">
        <f>COUNTIF(E421:E573,"VIA0")</f>
        <v>1</v>
      </c>
      <c r="J567" s="5">
        <f>COUNTIF(E422:E574,"VIA1")</f>
        <v>4</v>
      </c>
      <c r="K567" s="5">
        <f>COUNTIF(E421:E573,"VIA2")</f>
        <v>26</v>
      </c>
      <c r="L567" s="5">
        <v>61</v>
      </c>
      <c r="M567" s="5">
        <v>5</v>
      </c>
      <c r="N567" s="5">
        <f>COUNTIF(E421:E573,"VIB")</f>
        <v>0</v>
      </c>
      <c r="P567" s="7">
        <f>AVERAGE(C524:C573,C437:C486)</f>
        <v>71.27</v>
      </c>
      <c r="Q567" s="7">
        <f>AVERAGE(D524:D573,D437:D486)</f>
        <v>315.52999999999997</v>
      </c>
    </row>
    <row r="568" spans="1:21" x14ac:dyDescent="0.35">
      <c r="A568" s="2">
        <v>42461</v>
      </c>
      <c r="B568" s="70" t="s">
        <v>38</v>
      </c>
      <c r="C568" s="10">
        <v>67</v>
      </c>
      <c r="D568" s="10">
        <v>355</v>
      </c>
      <c r="E568" s="10" t="s">
        <v>33</v>
      </c>
      <c r="G568" s="6">
        <f>G567/50*100</f>
        <v>0</v>
      </c>
      <c r="H568" s="6">
        <f t="shared" ref="H568:N568" si="22">H567/50*100</f>
        <v>4</v>
      </c>
      <c r="I568" s="6">
        <f t="shared" si="22"/>
        <v>2</v>
      </c>
      <c r="J568" s="6">
        <f t="shared" si="22"/>
        <v>8</v>
      </c>
      <c r="K568" s="6">
        <f t="shared" si="22"/>
        <v>52</v>
      </c>
      <c r="L568" s="6">
        <f t="shared" si="22"/>
        <v>122</v>
      </c>
      <c r="M568" s="6">
        <f t="shared" si="22"/>
        <v>10</v>
      </c>
      <c r="N568" s="6">
        <f t="shared" si="22"/>
        <v>0</v>
      </c>
      <c r="O568" s="4"/>
      <c r="P568" s="4"/>
      <c r="Q568" s="4"/>
    </row>
    <row r="569" spans="1:21" x14ac:dyDescent="0.35">
      <c r="A569" s="2">
        <v>42461</v>
      </c>
      <c r="B569" s="70" t="s">
        <v>38</v>
      </c>
      <c r="C569" s="10">
        <v>71</v>
      </c>
      <c r="D569" s="10">
        <v>296</v>
      </c>
      <c r="E569" s="10" t="s">
        <v>32</v>
      </c>
    </row>
    <row r="570" spans="1:21" x14ac:dyDescent="0.35">
      <c r="A570" s="2">
        <v>42461</v>
      </c>
      <c r="B570" s="70" t="s">
        <v>38</v>
      </c>
      <c r="C570" s="10">
        <v>64</v>
      </c>
      <c r="D570" s="10">
        <v>226</v>
      </c>
      <c r="E570" s="10" t="s">
        <v>34</v>
      </c>
      <c r="F570" t="s">
        <v>282</v>
      </c>
    </row>
    <row r="571" spans="1:21" x14ac:dyDescent="0.35">
      <c r="A571" s="2">
        <v>42461</v>
      </c>
      <c r="B571" s="70" t="s">
        <v>38</v>
      </c>
      <c r="C571" s="10">
        <v>76</v>
      </c>
      <c r="D571" s="10">
        <v>361</v>
      </c>
      <c r="E571" s="10" t="s">
        <v>32</v>
      </c>
      <c r="G571" t="s">
        <v>42</v>
      </c>
      <c r="H571" t="s">
        <v>39</v>
      </c>
      <c r="I571" t="s">
        <v>40</v>
      </c>
      <c r="J571" t="s">
        <v>36</v>
      </c>
      <c r="K571" t="s">
        <v>33</v>
      </c>
      <c r="L571" t="s">
        <v>34</v>
      </c>
      <c r="M571" t="s">
        <v>32</v>
      </c>
      <c r="N571" t="s">
        <v>37</v>
      </c>
      <c r="P571" t="s">
        <v>43</v>
      </c>
      <c r="Q571" t="s">
        <v>44</v>
      </c>
    </row>
    <row r="572" spans="1:21" x14ac:dyDescent="0.35">
      <c r="A572" s="2">
        <v>42461</v>
      </c>
      <c r="B572" s="70" t="s">
        <v>38</v>
      </c>
      <c r="C572" s="10">
        <v>68</v>
      </c>
      <c r="D572" s="10">
        <v>256</v>
      </c>
      <c r="E572" s="10" t="s">
        <v>32</v>
      </c>
      <c r="G572" s="5">
        <f>COUNTIF(E524:E573,"VA")</f>
        <v>0</v>
      </c>
      <c r="H572" s="5">
        <f>COUNTIF(E524:E573,"VB")</f>
        <v>1</v>
      </c>
      <c r="I572" s="5">
        <f>COUNTIF(E524:E573,"VIA0")</f>
        <v>0</v>
      </c>
      <c r="J572" s="5">
        <f>COUNTIF(E524:E573,"VIA1")</f>
        <v>2</v>
      </c>
      <c r="K572" s="5">
        <f>COUNTIF(E524:E573,"VIA2")</f>
        <v>13</v>
      </c>
      <c r="L572" s="5">
        <v>31</v>
      </c>
      <c r="M572" s="5">
        <v>3</v>
      </c>
      <c r="N572" s="5">
        <f>COUNTIF(E524:E573,"VIB")</f>
        <v>0</v>
      </c>
      <c r="P572" s="7">
        <f>AVERAGE(C524:C573)</f>
        <v>70.260000000000005</v>
      </c>
      <c r="Q572" s="8">
        <f>AVERAGE(D524:D573)</f>
        <v>304.54000000000002</v>
      </c>
      <c r="R572" s="8"/>
      <c r="S572" s="42" t="e">
        <f>AVERAGE(#REF!)</f>
        <v>#REF!</v>
      </c>
      <c r="T572">
        <f>AVERAGE(C524:C573,C437:C486)</f>
        <v>71.27</v>
      </c>
      <c r="U572">
        <f>AVERAGE(D524:D573,D437:D486)</f>
        <v>315.52999999999997</v>
      </c>
    </row>
    <row r="573" spans="1:21" s="25" customFormat="1" x14ac:dyDescent="0.35">
      <c r="A573" s="16">
        <v>42461</v>
      </c>
      <c r="B573" s="44" t="s">
        <v>38</v>
      </c>
      <c r="C573" s="26">
        <v>72</v>
      </c>
      <c r="D573" s="26">
        <v>336</v>
      </c>
      <c r="E573" s="26" t="s">
        <v>34</v>
      </c>
      <c r="G573" s="6">
        <f>G572/50*100</f>
        <v>0</v>
      </c>
      <c r="H573" s="6">
        <f t="shared" ref="H573" si="23">H572/50*100</f>
        <v>2</v>
      </c>
      <c r="I573" s="6">
        <f t="shared" ref="I573" si="24">I572/50*100</f>
        <v>0</v>
      </c>
      <c r="J573" s="6">
        <f t="shared" ref="J573" si="25">J572/50*100</f>
        <v>4</v>
      </c>
      <c r="K573" s="6">
        <f t="shared" ref="K573" si="26">K572/50*100</f>
        <v>26</v>
      </c>
      <c r="L573" s="6">
        <f t="shared" ref="L573" si="27">L572/50*100</f>
        <v>62</v>
      </c>
      <c r="M573" s="6">
        <f t="shared" ref="M573" si="28">M572/50*100</f>
        <v>6</v>
      </c>
      <c r="N573" s="6">
        <f t="shared" ref="N573" si="29">N572/50*100</f>
        <v>0</v>
      </c>
      <c r="O573" s="4"/>
      <c r="P573" s="4"/>
      <c r="Q573" s="4"/>
    </row>
    <row r="574" spans="1:21" x14ac:dyDescent="0.35">
      <c r="A574" s="13">
        <v>42461</v>
      </c>
      <c r="B574" s="40" t="s">
        <v>63</v>
      </c>
      <c r="C574" s="10">
        <v>98</v>
      </c>
      <c r="D574" s="10">
        <v>960</v>
      </c>
      <c r="E574" s="10" t="s">
        <v>98</v>
      </c>
    </row>
    <row r="575" spans="1:21" x14ac:dyDescent="0.35">
      <c r="A575" s="13">
        <v>42461</v>
      </c>
      <c r="B575" s="40" t="s">
        <v>63</v>
      </c>
      <c r="C575" s="10">
        <v>64</v>
      </c>
      <c r="D575" s="10">
        <v>167</v>
      </c>
      <c r="E575" s="10" t="s">
        <v>33</v>
      </c>
    </row>
    <row r="576" spans="1:21" x14ac:dyDescent="0.35">
      <c r="A576" s="13">
        <v>42461</v>
      </c>
      <c r="B576" s="40" t="s">
        <v>63</v>
      </c>
      <c r="C576" s="10">
        <v>70</v>
      </c>
      <c r="D576" s="10">
        <v>274</v>
      </c>
      <c r="E576" s="10" t="s">
        <v>32</v>
      </c>
    </row>
    <row r="577" spans="1:30" x14ac:dyDescent="0.35">
      <c r="A577" s="13">
        <v>42461</v>
      </c>
      <c r="B577" s="40" t="s">
        <v>63</v>
      </c>
      <c r="C577" s="10">
        <v>74</v>
      </c>
      <c r="D577" s="10">
        <v>396</v>
      </c>
      <c r="E577" s="10" t="s">
        <v>39</v>
      </c>
      <c r="F577" t="s">
        <v>99</v>
      </c>
    </row>
    <row r="578" spans="1:30" s="4" customFormat="1" x14ac:dyDescent="0.35">
      <c r="A578" s="3">
        <v>42461</v>
      </c>
      <c r="B578" s="44" t="s">
        <v>63</v>
      </c>
      <c r="C578" s="11">
        <v>74</v>
      </c>
      <c r="D578" s="11">
        <v>309</v>
      </c>
      <c r="E578" s="11" t="s">
        <v>32</v>
      </c>
    </row>
    <row r="579" spans="1:30" x14ac:dyDescent="0.35">
      <c r="A579" s="13">
        <v>42461</v>
      </c>
      <c r="B579" s="40" t="s">
        <v>66</v>
      </c>
      <c r="C579" s="10">
        <v>139</v>
      </c>
      <c r="D579" s="10">
        <v>2757</v>
      </c>
      <c r="E579" s="10" t="s">
        <v>98</v>
      </c>
      <c r="T579" t="s">
        <v>118</v>
      </c>
    </row>
    <row r="580" spans="1:30" x14ac:dyDescent="0.35">
      <c r="A580" s="13">
        <v>42461</v>
      </c>
      <c r="B580" s="40" t="s">
        <v>66</v>
      </c>
      <c r="C580" s="10">
        <v>68</v>
      </c>
      <c r="D580" s="10">
        <v>264</v>
      </c>
      <c r="E580" s="10" t="s">
        <v>33</v>
      </c>
      <c r="T580" t="s">
        <v>42</v>
      </c>
      <c r="U580" t="s">
        <v>39</v>
      </c>
      <c r="V580" t="s">
        <v>40</v>
      </c>
      <c r="W580" t="s">
        <v>36</v>
      </c>
      <c r="X580" t="s">
        <v>33</v>
      </c>
      <c r="Y580" t="s">
        <v>34</v>
      </c>
      <c r="Z580" t="s">
        <v>32</v>
      </c>
      <c r="AA580" t="s">
        <v>37</v>
      </c>
      <c r="AB580" t="s">
        <v>59</v>
      </c>
      <c r="AC580" t="s">
        <v>43</v>
      </c>
      <c r="AD580" t="s">
        <v>44</v>
      </c>
    </row>
    <row r="581" spans="1:30" x14ac:dyDescent="0.35">
      <c r="A581" s="13">
        <v>42461</v>
      </c>
      <c r="B581" s="40" t="s">
        <v>66</v>
      </c>
      <c r="C581" s="10">
        <v>69</v>
      </c>
      <c r="D581" s="10">
        <v>307</v>
      </c>
      <c r="E581" s="10" t="s">
        <v>32</v>
      </c>
      <c r="T581" s="27">
        <f>COUNTIF(E381:E582,"VA")</f>
        <v>0</v>
      </c>
      <c r="U581" s="27">
        <f>COUNTIF(E381:E582,"VB")</f>
        <v>4</v>
      </c>
      <c r="V581" s="27">
        <f>COUNTIF(E381:E582,"VIA0")</f>
        <v>5</v>
      </c>
      <c r="W581" s="27">
        <f>COUNTIF(E381:E582,"VIA1")</f>
        <v>5</v>
      </c>
      <c r="X581" s="27">
        <f>COUNTIF(E381:E582,"VIA2")</f>
        <v>31</v>
      </c>
      <c r="Y581" s="27">
        <v>62</v>
      </c>
      <c r="Z581" s="27">
        <v>16</v>
      </c>
      <c r="AA581" s="27">
        <f>COUNTIF(E381:E582,"VIB")</f>
        <v>0</v>
      </c>
      <c r="AB581" s="5">
        <f>COUNTIF(E381:E582,"potlood")</f>
        <v>79</v>
      </c>
      <c r="AC581" s="8">
        <f>AVERAGE(C580:C582,C575:C578,C524:C573,C437:C486,C381:C396)</f>
        <v>71.439024390243901</v>
      </c>
      <c r="AD581" s="8">
        <f>AVERAGE(D580:D582,D575:D578,D524:D573,D437:D486,D381:D396)</f>
        <v>316.95934959349592</v>
      </c>
    </row>
    <row r="582" spans="1:30" s="4" customFormat="1" x14ac:dyDescent="0.35">
      <c r="A582" s="3">
        <v>42461</v>
      </c>
      <c r="B582" s="44" t="s">
        <v>66</v>
      </c>
      <c r="C582" s="11">
        <v>76</v>
      </c>
      <c r="D582" s="11">
        <v>346</v>
      </c>
      <c r="E582" s="11" t="s">
        <v>40</v>
      </c>
      <c r="F582" s="4" t="s">
        <v>99</v>
      </c>
      <c r="T582" s="28">
        <f>T581/123*100</f>
        <v>0</v>
      </c>
      <c r="U582" s="28">
        <f t="shared" ref="U582:AA582" si="30">U581/123*100</f>
        <v>3.2520325203252036</v>
      </c>
      <c r="V582" s="28">
        <f t="shared" si="30"/>
        <v>4.0650406504065035</v>
      </c>
      <c r="W582" s="28">
        <f t="shared" si="30"/>
        <v>4.0650406504065035</v>
      </c>
      <c r="X582" s="28">
        <f t="shared" si="30"/>
        <v>25.203252032520325</v>
      </c>
      <c r="Y582" s="28">
        <f t="shared" si="30"/>
        <v>50.40650406504065</v>
      </c>
      <c r="Z582" s="28">
        <f t="shared" si="30"/>
        <v>13.008130081300814</v>
      </c>
      <c r="AA582" s="28">
        <f t="shared" si="30"/>
        <v>0</v>
      </c>
    </row>
    <row r="583" spans="1:30" x14ac:dyDescent="0.35">
      <c r="A583" s="13">
        <v>42461</v>
      </c>
      <c r="B583" s="36" t="s">
        <v>100</v>
      </c>
      <c r="C583" s="10">
        <v>87</v>
      </c>
      <c r="D583" s="10">
        <v>971</v>
      </c>
      <c r="E583" s="10" t="s">
        <v>98</v>
      </c>
    </row>
    <row r="584" spans="1:30" x14ac:dyDescent="0.35">
      <c r="A584" s="13">
        <v>42461</v>
      </c>
      <c r="B584" s="36" t="s">
        <v>100</v>
      </c>
      <c r="C584" s="10">
        <v>69</v>
      </c>
      <c r="D584" s="10">
        <v>279</v>
      </c>
      <c r="E584" s="10" t="s">
        <v>33</v>
      </c>
    </row>
    <row r="585" spans="1:30" x14ac:dyDescent="0.35">
      <c r="A585" s="13">
        <v>42461</v>
      </c>
      <c r="B585" s="36" t="s">
        <v>100</v>
      </c>
      <c r="C585" s="10">
        <v>71</v>
      </c>
      <c r="D585" s="10">
        <v>278</v>
      </c>
      <c r="E585" s="10" t="s">
        <v>39</v>
      </c>
    </row>
    <row r="586" spans="1:30" s="4" customFormat="1" x14ac:dyDescent="0.35">
      <c r="A586" s="3">
        <v>42461</v>
      </c>
      <c r="B586" s="26" t="s">
        <v>100</v>
      </c>
      <c r="C586" s="11">
        <v>72</v>
      </c>
      <c r="D586" s="11">
        <v>337</v>
      </c>
      <c r="E586" s="11" t="s">
        <v>39</v>
      </c>
      <c r="J586" s="51" t="e">
        <f>AVERAGE(#REF!,#REF!)</f>
        <v>#REF!</v>
      </c>
    </row>
    <row r="587" spans="1:30" x14ac:dyDescent="0.35">
      <c r="A587" s="2">
        <v>42468</v>
      </c>
      <c r="B587" s="70" t="s">
        <v>38</v>
      </c>
      <c r="C587">
        <v>104</v>
      </c>
      <c r="D587">
        <v>1181</v>
      </c>
      <c r="E587" t="s">
        <v>98</v>
      </c>
    </row>
    <row r="588" spans="1:30" x14ac:dyDescent="0.35">
      <c r="A588" s="2">
        <v>42468</v>
      </c>
      <c r="B588" s="70" t="s">
        <v>38</v>
      </c>
      <c r="C588">
        <v>163</v>
      </c>
      <c r="D588">
        <v>5362</v>
      </c>
      <c r="E588" t="s">
        <v>98</v>
      </c>
    </row>
    <row r="589" spans="1:30" x14ac:dyDescent="0.35">
      <c r="A589" s="2">
        <v>42468</v>
      </c>
      <c r="B589" s="70" t="s">
        <v>38</v>
      </c>
      <c r="C589">
        <v>243</v>
      </c>
      <c r="D589">
        <v>16679</v>
      </c>
      <c r="E589" t="s">
        <v>98</v>
      </c>
    </row>
    <row r="590" spans="1:30" x14ac:dyDescent="0.35">
      <c r="A590" s="2">
        <v>42468</v>
      </c>
      <c r="B590" s="70" t="s">
        <v>38</v>
      </c>
      <c r="C590">
        <v>97</v>
      </c>
      <c r="D590">
        <v>1242</v>
      </c>
      <c r="E590" t="s">
        <v>98</v>
      </c>
    </row>
    <row r="591" spans="1:30" x14ac:dyDescent="0.35">
      <c r="A591" s="2">
        <v>42468</v>
      </c>
      <c r="B591" s="70" t="s">
        <v>38</v>
      </c>
      <c r="C591">
        <v>143</v>
      </c>
      <c r="D591">
        <v>4547</v>
      </c>
      <c r="E591" t="s">
        <v>98</v>
      </c>
    </row>
    <row r="592" spans="1:30" x14ac:dyDescent="0.35">
      <c r="A592" s="2">
        <v>42468</v>
      </c>
      <c r="B592" s="70" t="s">
        <v>38</v>
      </c>
      <c r="C592">
        <v>132</v>
      </c>
      <c r="D592">
        <v>3099</v>
      </c>
      <c r="E592" t="s">
        <v>98</v>
      </c>
      <c r="Q592" s="8"/>
      <c r="R592" s="8"/>
      <c r="S592" s="8"/>
      <c r="T592" s="8"/>
      <c r="U592" s="8"/>
    </row>
    <row r="593" spans="1:5" x14ac:dyDescent="0.35">
      <c r="A593" s="2">
        <v>42468</v>
      </c>
      <c r="B593" s="70" t="s">
        <v>38</v>
      </c>
      <c r="C593">
        <v>97</v>
      </c>
      <c r="D593">
        <v>1218</v>
      </c>
      <c r="E593" t="s">
        <v>98</v>
      </c>
    </row>
    <row r="594" spans="1:5" x14ac:dyDescent="0.35">
      <c r="A594" s="2">
        <v>42468</v>
      </c>
      <c r="B594" s="70" t="s">
        <v>38</v>
      </c>
      <c r="C594">
        <v>105</v>
      </c>
      <c r="D594">
        <v>1402</v>
      </c>
      <c r="E594" t="s">
        <v>98</v>
      </c>
    </row>
    <row r="595" spans="1:5" x14ac:dyDescent="0.35">
      <c r="A595" s="2">
        <v>42468</v>
      </c>
      <c r="B595" s="70" t="s">
        <v>38</v>
      </c>
      <c r="C595">
        <v>107</v>
      </c>
      <c r="D595">
        <v>1325</v>
      </c>
      <c r="E595" t="s">
        <v>98</v>
      </c>
    </row>
    <row r="596" spans="1:5" x14ac:dyDescent="0.35">
      <c r="A596" s="2">
        <v>42468</v>
      </c>
      <c r="B596" s="70" t="s">
        <v>38</v>
      </c>
      <c r="C596">
        <v>101</v>
      </c>
      <c r="D596">
        <v>1138</v>
      </c>
      <c r="E596" t="s">
        <v>98</v>
      </c>
    </row>
    <row r="597" spans="1:5" x14ac:dyDescent="0.35">
      <c r="A597" s="2">
        <v>42468</v>
      </c>
      <c r="B597" s="70" t="s">
        <v>38</v>
      </c>
      <c r="C597">
        <v>87</v>
      </c>
      <c r="D597">
        <v>858</v>
      </c>
      <c r="E597" t="s">
        <v>98</v>
      </c>
    </row>
    <row r="598" spans="1:5" x14ac:dyDescent="0.35">
      <c r="A598" s="2">
        <v>42468</v>
      </c>
      <c r="B598" s="70" t="s">
        <v>38</v>
      </c>
      <c r="C598">
        <v>102</v>
      </c>
      <c r="D598">
        <v>1231</v>
      </c>
      <c r="E598" t="s">
        <v>98</v>
      </c>
    </row>
    <row r="599" spans="1:5" x14ac:dyDescent="0.35">
      <c r="A599" s="2">
        <v>42468</v>
      </c>
      <c r="B599" s="70" t="s">
        <v>38</v>
      </c>
      <c r="C599">
        <v>97</v>
      </c>
      <c r="D599">
        <v>922</v>
      </c>
      <c r="E599" t="s">
        <v>98</v>
      </c>
    </row>
    <row r="600" spans="1:5" x14ac:dyDescent="0.35">
      <c r="A600" s="2">
        <v>42468</v>
      </c>
      <c r="B600" s="70" t="s">
        <v>38</v>
      </c>
      <c r="C600">
        <v>104</v>
      </c>
      <c r="D600">
        <v>1421</v>
      </c>
      <c r="E600" t="s">
        <v>98</v>
      </c>
    </row>
    <row r="601" spans="1:5" x14ac:dyDescent="0.35">
      <c r="A601" s="2">
        <v>42468</v>
      </c>
      <c r="B601" s="70" t="s">
        <v>38</v>
      </c>
      <c r="C601">
        <v>102</v>
      </c>
      <c r="D601">
        <v>1336</v>
      </c>
      <c r="E601" t="s">
        <v>98</v>
      </c>
    </row>
    <row r="602" spans="1:5" x14ac:dyDescent="0.35">
      <c r="A602" s="2">
        <v>42468</v>
      </c>
      <c r="B602" s="70" t="s">
        <v>38</v>
      </c>
      <c r="C602">
        <v>100</v>
      </c>
      <c r="D602">
        <v>1209</v>
      </c>
      <c r="E602" t="s">
        <v>98</v>
      </c>
    </row>
    <row r="603" spans="1:5" x14ac:dyDescent="0.35">
      <c r="A603" s="2">
        <v>42468</v>
      </c>
      <c r="B603" s="70" t="s">
        <v>38</v>
      </c>
      <c r="C603">
        <v>106</v>
      </c>
      <c r="D603">
        <v>1770</v>
      </c>
      <c r="E603" t="s">
        <v>98</v>
      </c>
    </row>
    <row r="604" spans="1:5" x14ac:dyDescent="0.35">
      <c r="A604" s="2">
        <v>42468</v>
      </c>
      <c r="B604" s="70" t="s">
        <v>38</v>
      </c>
      <c r="C604">
        <v>100</v>
      </c>
      <c r="D604">
        <v>1067</v>
      </c>
      <c r="E604" t="s">
        <v>98</v>
      </c>
    </row>
    <row r="605" spans="1:5" x14ac:dyDescent="0.35">
      <c r="A605" s="2">
        <v>42468</v>
      </c>
      <c r="B605" s="70" t="s">
        <v>38</v>
      </c>
      <c r="C605">
        <v>92</v>
      </c>
      <c r="D605">
        <v>953</v>
      </c>
      <c r="E605" t="s">
        <v>98</v>
      </c>
    </row>
    <row r="606" spans="1:5" x14ac:dyDescent="0.35">
      <c r="A606" s="2">
        <v>42468</v>
      </c>
      <c r="B606" s="70" t="s">
        <v>38</v>
      </c>
      <c r="C606">
        <v>109</v>
      </c>
      <c r="D606">
        <v>1560</v>
      </c>
      <c r="E606" t="s">
        <v>98</v>
      </c>
    </row>
    <row r="607" spans="1:5" x14ac:dyDescent="0.35">
      <c r="A607" s="2">
        <v>42468</v>
      </c>
      <c r="B607" s="70" t="s">
        <v>38</v>
      </c>
      <c r="C607">
        <v>112</v>
      </c>
      <c r="D607">
        <v>1803</v>
      </c>
      <c r="E607" t="s">
        <v>98</v>
      </c>
    </row>
    <row r="608" spans="1:5" x14ac:dyDescent="0.35">
      <c r="A608" s="2">
        <v>42468</v>
      </c>
      <c r="B608" s="70" t="s">
        <v>38</v>
      </c>
      <c r="C608">
        <v>104</v>
      </c>
      <c r="D608">
        <v>1300</v>
      </c>
      <c r="E608" t="s">
        <v>98</v>
      </c>
    </row>
    <row r="609" spans="1:5" x14ac:dyDescent="0.35">
      <c r="A609" s="2">
        <v>42468</v>
      </c>
      <c r="B609" s="70" t="s">
        <v>38</v>
      </c>
      <c r="C609">
        <v>97</v>
      </c>
      <c r="D609">
        <v>1241</v>
      </c>
      <c r="E609" t="s">
        <v>98</v>
      </c>
    </row>
    <row r="610" spans="1:5" x14ac:dyDescent="0.35">
      <c r="A610" s="2">
        <v>42468</v>
      </c>
      <c r="B610" s="70" t="s">
        <v>38</v>
      </c>
      <c r="C610">
        <v>85</v>
      </c>
      <c r="D610">
        <v>740</v>
      </c>
      <c r="E610" t="s">
        <v>98</v>
      </c>
    </row>
    <row r="611" spans="1:5" x14ac:dyDescent="0.35">
      <c r="A611" s="2">
        <v>42468</v>
      </c>
      <c r="B611" s="70" t="s">
        <v>38</v>
      </c>
      <c r="C611">
        <v>102</v>
      </c>
      <c r="D611">
        <v>1229</v>
      </c>
      <c r="E611" t="s">
        <v>98</v>
      </c>
    </row>
    <row r="612" spans="1:5" x14ac:dyDescent="0.35">
      <c r="A612" s="2">
        <v>42468</v>
      </c>
      <c r="B612" s="70" t="s">
        <v>38</v>
      </c>
      <c r="C612">
        <v>95</v>
      </c>
      <c r="D612">
        <v>1145</v>
      </c>
      <c r="E612" t="s">
        <v>98</v>
      </c>
    </row>
    <row r="613" spans="1:5" x14ac:dyDescent="0.35">
      <c r="A613" s="2">
        <v>42468</v>
      </c>
      <c r="B613" s="70" t="s">
        <v>38</v>
      </c>
      <c r="C613">
        <v>97</v>
      </c>
      <c r="D613">
        <v>1180</v>
      </c>
      <c r="E613" t="s">
        <v>98</v>
      </c>
    </row>
    <row r="614" spans="1:5" x14ac:dyDescent="0.35">
      <c r="A614" s="2">
        <v>42468</v>
      </c>
      <c r="B614" s="70" t="s">
        <v>38</v>
      </c>
      <c r="C614">
        <v>102</v>
      </c>
      <c r="D614">
        <v>1315</v>
      </c>
      <c r="E614" t="s">
        <v>98</v>
      </c>
    </row>
    <row r="615" spans="1:5" x14ac:dyDescent="0.35">
      <c r="A615" s="2">
        <v>42468</v>
      </c>
      <c r="B615" s="70" t="s">
        <v>38</v>
      </c>
      <c r="C615">
        <v>115</v>
      </c>
      <c r="D615">
        <v>1888</v>
      </c>
      <c r="E615" t="s">
        <v>98</v>
      </c>
    </row>
    <row r="616" spans="1:5" x14ac:dyDescent="0.35">
      <c r="A616" s="2">
        <v>42468</v>
      </c>
      <c r="B616" s="70" t="s">
        <v>38</v>
      </c>
      <c r="C616">
        <v>124</v>
      </c>
      <c r="D616">
        <v>1912</v>
      </c>
      <c r="E616" t="s">
        <v>98</v>
      </c>
    </row>
    <row r="617" spans="1:5" x14ac:dyDescent="0.35">
      <c r="A617" s="2">
        <v>42468</v>
      </c>
      <c r="B617" s="70" t="s">
        <v>38</v>
      </c>
      <c r="C617">
        <v>204</v>
      </c>
      <c r="D617">
        <v>13125</v>
      </c>
      <c r="E617" t="s">
        <v>98</v>
      </c>
    </row>
    <row r="618" spans="1:5" x14ac:dyDescent="0.35">
      <c r="A618" s="2">
        <v>42468</v>
      </c>
      <c r="B618" s="70" t="s">
        <v>38</v>
      </c>
      <c r="C618">
        <v>110</v>
      </c>
      <c r="D618">
        <v>1670</v>
      </c>
      <c r="E618" t="s">
        <v>98</v>
      </c>
    </row>
    <row r="619" spans="1:5" x14ac:dyDescent="0.35">
      <c r="A619" s="2">
        <v>42468</v>
      </c>
      <c r="B619" s="70" t="s">
        <v>38</v>
      </c>
      <c r="C619">
        <v>98</v>
      </c>
      <c r="D619">
        <v>1176</v>
      </c>
      <c r="E619" t="s">
        <v>98</v>
      </c>
    </row>
    <row r="620" spans="1:5" x14ac:dyDescent="0.35">
      <c r="A620" s="2">
        <v>42468</v>
      </c>
      <c r="B620" s="70" t="s">
        <v>38</v>
      </c>
      <c r="C620">
        <v>102</v>
      </c>
      <c r="D620">
        <v>1184</v>
      </c>
      <c r="E620" t="s">
        <v>98</v>
      </c>
    </row>
    <row r="621" spans="1:5" x14ac:dyDescent="0.35">
      <c r="A621" s="2">
        <v>42468</v>
      </c>
      <c r="B621" s="70" t="s">
        <v>38</v>
      </c>
      <c r="C621">
        <v>110</v>
      </c>
      <c r="D621">
        <v>1464</v>
      </c>
      <c r="E621" t="s">
        <v>98</v>
      </c>
    </row>
    <row r="622" spans="1:5" x14ac:dyDescent="0.35">
      <c r="A622" s="2">
        <v>42468</v>
      </c>
      <c r="B622" s="70" t="s">
        <v>38</v>
      </c>
      <c r="C622">
        <v>107</v>
      </c>
      <c r="D622">
        <v>1717</v>
      </c>
      <c r="E622" t="s">
        <v>98</v>
      </c>
    </row>
    <row r="623" spans="1:5" x14ac:dyDescent="0.35">
      <c r="A623" s="2">
        <v>42468</v>
      </c>
      <c r="B623" s="70" t="s">
        <v>38</v>
      </c>
      <c r="C623">
        <v>97</v>
      </c>
      <c r="D623">
        <v>1228</v>
      </c>
      <c r="E623" t="s">
        <v>98</v>
      </c>
    </row>
    <row r="624" spans="1:5" x14ac:dyDescent="0.35">
      <c r="A624" s="2">
        <v>42468</v>
      </c>
      <c r="B624" s="70" t="s">
        <v>38</v>
      </c>
      <c r="C624">
        <v>109</v>
      </c>
      <c r="D624">
        <v>2086</v>
      </c>
      <c r="E624" t="s">
        <v>98</v>
      </c>
    </row>
    <row r="625" spans="1:7" x14ac:dyDescent="0.35">
      <c r="A625" s="2">
        <v>42468</v>
      </c>
      <c r="B625" s="70" t="s">
        <v>38</v>
      </c>
      <c r="C625">
        <v>94</v>
      </c>
      <c r="D625">
        <v>1195</v>
      </c>
      <c r="E625" t="s">
        <v>98</v>
      </c>
    </row>
    <row r="626" spans="1:7" x14ac:dyDescent="0.35">
      <c r="A626" s="2">
        <v>42468</v>
      </c>
      <c r="B626" s="70" t="s">
        <v>38</v>
      </c>
      <c r="C626">
        <v>104</v>
      </c>
      <c r="D626">
        <v>1261</v>
      </c>
      <c r="E626" t="s">
        <v>98</v>
      </c>
    </row>
    <row r="627" spans="1:7" x14ac:dyDescent="0.35">
      <c r="A627" s="2">
        <v>42468</v>
      </c>
      <c r="B627" s="70" t="s">
        <v>38</v>
      </c>
      <c r="C627">
        <v>91</v>
      </c>
      <c r="D627">
        <v>756</v>
      </c>
      <c r="E627" t="s">
        <v>98</v>
      </c>
    </row>
    <row r="628" spans="1:7" x14ac:dyDescent="0.35">
      <c r="A628" s="2">
        <v>42468</v>
      </c>
      <c r="B628" s="70" t="s">
        <v>38</v>
      </c>
      <c r="C628">
        <v>89</v>
      </c>
      <c r="D628">
        <v>870</v>
      </c>
      <c r="E628" t="s">
        <v>98</v>
      </c>
    </row>
    <row r="629" spans="1:7" x14ac:dyDescent="0.35">
      <c r="A629" s="2">
        <v>42468</v>
      </c>
      <c r="B629" s="70" t="s">
        <v>38</v>
      </c>
      <c r="C629">
        <v>141</v>
      </c>
      <c r="D629">
        <v>3560</v>
      </c>
      <c r="E629" t="s">
        <v>98</v>
      </c>
    </row>
    <row r="630" spans="1:7" x14ac:dyDescent="0.35">
      <c r="A630" s="2">
        <v>42468</v>
      </c>
      <c r="B630" s="70" t="s">
        <v>38</v>
      </c>
      <c r="C630">
        <v>91</v>
      </c>
      <c r="D630">
        <v>928</v>
      </c>
      <c r="E630" t="s">
        <v>98</v>
      </c>
    </row>
    <row r="631" spans="1:7" x14ac:dyDescent="0.35">
      <c r="A631" s="2">
        <v>42468</v>
      </c>
      <c r="B631" s="70" t="s">
        <v>38</v>
      </c>
      <c r="C631">
        <v>95</v>
      </c>
      <c r="D631">
        <v>955</v>
      </c>
      <c r="E631" t="s">
        <v>98</v>
      </c>
    </row>
    <row r="632" spans="1:7" x14ac:dyDescent="0.35">
      <c r="A632" s="2">
        <v>42468</v>
      </c>
      <c r="B632" s="70" t="s">
        <v>38</v>
      </c>
      <c r="C632">
        <v>97</v>
      </c>
      <c r="D632">
        <v>869</v>
      </c>
      <c r="E632" t="s">
        <v>98</v>
      </c>
      <c r="G632" s="42" t="e">
        <f>AVERAGE(#REF!)</f>
        <v>#REF!</v>
      </c>
    </row>
    <row r="633" spans="1:7" x14ac:dyDescent="0.35">
      <c r="A633" s="2">
        <v>42468</v>
      </c>
      <c r="B633" s="70" t="s">
        <v>38</v>
      </c>
      <c r="C633">
        <v>71</v>
      </c>
      <c r="D633">
        <v>287</v>
      </c>
      <c r="E633" t="s">
        <v>32</v>
      </c>
    </row>
    <row r="634" spans="1:7" x14ac:dyDescent="0.35">
      <c r="A634" s="2">
        <v>42468</v>
      </c>
      <c r="B634" s="70" t="s">
        <v>38</v>
      </c>
      <c r="C634">
        <v>68</v>
      </c>
      <c r="D634">
        <v>247</v>
      </c>
      <c r="E634" t="s">
        <v>34</v>
      </c>
    </row>
    <row r="635" spans="1:7" x14ac:dyDescent="0.35">
      <c r="A635" s="2">
        <v>42468</v>
      </c>
      <c r="B635" s="70" t="s">
        <v>38</v>
      </c>
      <c r="C635">
        <v>73</v>
      </c>
      <c r="D635">
        <v>431</v>
      </c>
      <c r="E635" t="s">
        <v>34</v>
      </c>
    </row>
    <row r="636" spans="1:7" x14ac:dyDescent="0.35">
      <c r="A636" s="2">
        <v>42468</v>
      </c>
      <c r="B636" s="70" t="s">
        <v>38</v>
      </c>
      <c r="C636">
        <v>65</v>
      </c>
      <c r="D636">
        <v>225</v>
      </c>
      <c r="E636" t="s">
        <v>34</v>
      </c>
    </row>
    <row r="637" spans="1:7" x14ac:dyDescent="0.35">
      <c r="A637" s="2">
        <v>42468</v>
      </c>
      <c r="B637" s="70" t="s">
        <v>38</v>
      </c>
      <c r="C637">
        <v>69</v>
      </c>
      <c r="D637">
        <v>286</v>
      </c>
      <c r="E637" t="s">
        <v>32</v>
      </c>
    </row>
    <row r="638" spans="1:7" x14ac:dyDescent="0.35">
      <c r="A638" s="2">
        <v>42468</v>
      </c>
      <c r="B638" s="70" t="s">
        <v>38</v>
      </c>
      <c r="C638">
        <v>77</v>
      </c>
      <c r="D638">
        <v>352</v>
      </c>
      <c r="E638" t="s">
        <v>34</v>
      </c>
    </row>
    <row r="639" spans="1:7" x14ac:dyDescent="0.35">
      <c r="A639" s="2">
        <v>42468</v>
      </c>
      <c r="B639" s="70" t="s">
        <v>38</v>
      </c>
      <c r="C639">
        <v>71</v>
      </c>
      <c r="D639">
        <v>328</v>
      </c>
      <c r="E639" t="s">
        <v>34</v>
      </c>
    </row>
    <row r="640" spans="1:7" x14ac:dyDescent="0.35">
      <c r="A640" s="2">
        <v>42468</v>
      </c>
      <c r="B640" s="70" t="s">
        <v>38</v>
      </c>
      <c r="C640">
        <v>66</v>
      </c>
      <c r="D640">
        <v>222</v>
      </c>
      <c r="E640" t="s">
        <v>34</v>
      </c>
    </row>
    <row r="641" spans="1:5" x14ac:dyDescent="0.35">
      <c r="A641" s="2">
        <v>42468</v>
      </c>
      <c r="B641" s="70" t="s">
        <v>38</v>
      </c>
      <c r="C641">
        <v>66</v>
      </c>
      <c r="D641">
        <v>248</v>
      </c>
      <c r="E641" t="s">
        <v>32</v>
      </c>
    </row>
    <row r="642" spans="1:5" x14ac:dyDescent="0.35">
      <c r="A642" s="2">
        <v>42468</v>
      </c>
      <c r="B642" s="70" t="s">
        <v>38</v>
      </c>
      <c r="C642">
        <v>68</v>
      </c>
      <c r="D642">
        <v>268</v>
      </c>
      <c r="E642" t="s">
        <v>32</v>
      </c>
    </row>
    <row r="643" spans="1:5" x14ac:dyDescent="0.35">
      <c r="A643" s="2">
        <v>42468</v>
      </c>
      <c r="B643" s="70" t="s">
        <v>38</v>
      </c>
      <c r="C643">
        <v>78</v>
      </c>
      <c r="D643">
        <v>403</v>
      </c>
      <c r="E643" t="s">
        <v>32</v>
      </c>
    </row>
    <row r="644" spans="1:5" x14ac:dyDescent="0.35">
      <c r="A644" s="2">
        <v>42468</v>
      </c>
      <c r="B644" s="70" t="s">
        <v>38</v>
      </c>
      <c r="C644">
        <v>69</v>
      </c>
      <c r="D644">
        <v>252</v>
      </c>
      <c r="E644" t="s">
        <v>34</v>
      </c>
    </row>
    <row r="645" spans="1:5" x14ac:dyDescent="0.35">
      <c r="A645" s="2">
        <v>42468</v>
      </c>
      <c r="B645" s="70" t="s">
        <v>38</v>
      </c>
      <c r="C645">
        <v>72</v>
      </c>
      <c r="D645">
        <v>299</v>
      </c>
      <c r="E645" t="s">
        <v>32</v>
      </c>
    </row>
    <row r="646" spans="1:5" x14ac:dyDescent="0.35">
      <c r="A646" s="2">
        <v>42468</v>
      </c>
      <c r="B646" s="70" t="s">
        <v>38</v>
      </c>
      <c r="C646">
        <v>70</v>
      </c>
      <c r="D646">
        <v>273</v>
      </c>
      <c r="E646" t="s">
        <v>34</v>
      </c>
    </row>
    <row r="647" spans="1:5" x14ac:dyDescent="0.35">
      <c r="A647" s="2">
        <v>42468</v>
      </c>
      <c r="B647" s="70" t="s">
        <v>38</v>
      </c>
      <c r="C647">
        <v>66</v>
      </c>
      <c r="D647">
        <v>265</v>
      </c>
      <c r="E647" t="s">
        <v>34</v>
      </c>
    </row>
    <row r="648" spans="1:5" x14ac:dyDescent="0.35">
      <c r="A648" s="2">
        <v>42468</v>
      </c>
      <c r="B648" s="70" t="s">
        <v>38</v>
      </c>
      <c r="C648">
        <v>77</v>
      </c>
      <c r="D648">
        <v>409</v>
      </c>
      <c r="E648" t="s">
        <v>34</v>
      </c>
    </row>
    <row r="649" spans="1:5" x14ac:dyDescent="0.35">
      <c r="A649" s="2">
        <v>42468</v>
      </c>
      <c r="B649" s="70" t="s">
        <v>38</v>
      </c>
      <c r="C649">
        <v>75</v>
      </c>
      <c r="D649">
        <v>317</v>
      </c>
      <c r="E649" t="s">
        <v>34</v>
      </c>
    </row>
    <row r="650" spans="1:5" x14ac:dyDescent="0.35">
      <c r="A650" s="2">
        <v>42468</v>
      </c>
      <c r="B650" s="70" t="s">
        <v>38</v>
      </c>
      <c r="C650">
        <v>65</v>
      </c>
      <c r="D650">
        <v>233</v>
      </c>
      <c r="E650" t="s">
        <v>34</v>
      </c>
    </row>
    <row r="651" spans="1:5" x14ac:dyDescent="0.35">
      <c r="A651" s="2">
        <v>42468</v>
      </c>
      <c r="B651" s="70" t="s">
        <v>38</v>
      </c>
      <c r="C651">
        <v>66</v>
      </c>
      <c r="D651">
        <v>236</v>
      </c>
      <c r="E651" t="s">
        <v>32</v>
      </c>
    </row>
    <row r="652" spans="1:5" x14ac:dyDescent="0.35">
      <c r="A652" s="2">
        <v>42468</v>
      </c>
      <c r="B652" s="70" t="s">
        <v>38</v>
      </c>
      <c r="C652">
        <v>64</v>
      </c>
      <c r="D652">
        <v>214</v>
      </c>
      <c r="E652" t="s">
        <v>32</v>
      </c>
    </row>
    <row r="653" spans="1:5" x14ac:dyDescent="0.35">
      <c r="A653" s="2">
        <v>42468</v>
      </c>
      <c r="B653" s="70" t="s">
        <v>38</v>
      </c>
      <c r="C653">
        <v>78</v>
      </c>
      <c r="D653">
        <v>488</v>
      </c>
      <c r="E653" t="s">
        <v>33</v>
      </c>
    </row>
    <row r="654" spans="1:5" x14ac:dyDescent="0.35">
      <c r="A654" s="2">
        <v>42468</v>
      </c>
      <c r="B654" s="70" t="s">
        <v>38</v>
      </c>
      <c r="C654">
        <v>81</v>
      </c>
      <c r="D654">
        <v>428</v>
      </c>
      <c r="E654" t="s">
        <v>32</v>
      </c>
    </row>
    <row r="655" spans="1:5" x14ac:dyDescent="0.35">
      <c r="A655" s="2">
        <v>42468</v>
      </c>
      <c r="B655" s="70" t="s">
        <v>38</v>
      </c>
      <c r="C655">
        <v>74</v>
      </c>
      <c r="D655">
        <v>334</v>
      </c>
      <c r="E655" t="s">
        <v>32</v>
      </c>
    </row>
    <row r="656" spans="1:5" x14ac:dyDescent="0.35">
      <c r="A656" s="2">
        <v>42468</v>
      </c>
      <c r="B656" s="70" t="s">
        <v>38</v>
      </c>
      <c r="C656">
        <v>72</v>
      </c>
      <c r="D656">
        <v>243</v>
      </c>
      <c r="E656" t="s">
        <v>34</v>
      </c>
    </row>
    <row r="657" spans="1:5" x14ac:dyDescent="0.35">
      <c r="A657" s="2">
        <v>42468</v>
      </c>
      <c r="B657" s="70" t="s">
        <v>38</v>
      </c>
      <c r="C657">
        <v>72</v>
      </c>
      <c r="D657">
        <v>304</v>
      </c>
      <c r="E657" t="s">
        <v>33</v>
      </c>
    </row>
    <row r="658" spans="1:5" x14ac:dyDescent="0.35">
      <c r="A658" s="2">
        <v>42468</v>
      </c>
      <c r="B658" s="70" t="s">
        <v>38</v>
      </c>
      <c r="C658">
        <v>65</v>
      </c>
      <c r="D658">
        <v>224</v>
      </c>
      <c r="E658" t="s">
        <v>33</v>
      </c>
    </row>
    <row r="659" spans="1:5" x14ac:dyDescent="0.35">
      <c r="A659" s="2">
        <v>42468</v>
      </c>
      <c r="B659" s="70" t="s">
        <v>38</v>
      </c>
      <c r="C659">
        <v>67</v>
      </c>
      <c r="D659">
        <v>282</v>
      </c>
      <c r="E659" t="s">
        <v>34</v>
      </c>
    </row>
    <row r="660" spans="1:5" x14ac:dyDescent="0.35">
      <c r="A660" s="2">
        <v>42468</v>
      </c>
      <c r="B660" s="70" t="s">
        <v>38</v>
      </c>
      <c r="C660">
        <v>72</v>
      </c>
      <c r="D660">
        <v>313</v>
      </c>
      <c r="E660" t="s">
        <v>34</v>
      </c>
    </row>
    <row r="661" spans="1:5" x14ac:dyDescent="0.35">
      <c r="A661" s="2">
        <v>42468</v>
      </c>
      <c r="B661" s="70" t="s">
        <v>38</v>
      </c>
      <c r="C661">
        <v>74</v>
      </c>
      <c r="D661">
        <v>366</v>
      </c>
      <c r="E661" t="s">
        <v>32</v>
      </c>
    </row>
    <row r="662" spans="1:5" x14ac:dyDescent="0.35">
      <c r="A662" s="2">
        <v>42468</v>
      </c>
      <c r="B662" s="70" t="s">
        <v>38</v>
      </c>
      <c r="C662">
        <v>75</v>
      </c>
      <c r="D662">
        <v>321</v>
      </c>
      <c r="E662" t="s">
        <v>34</v>
      </c>
    </row>
    <row r="663" spans="1:5" x14ac:dyDescent="0.35">
      <c r="A663" s="2">
        <v>42468</v>
      </c>
      <c r="B663" s="70" t="s">
        <v>38</v>
      </c>
      <c r="C663">
        <v>66</v>
      </c>
      <c r="D663">
        <v>245</v>
      </c>
      <c r="E663" t="s">
        <v>32</v>
      </c>
    </row>
    <row r="664" spans="1:5" x14ac:dyDescent="0.35">
      <c r="A664" s="2">
        <v>42468</v>
      </c>
      <c r="B664" s="70" t="s">
        <v>38</v>
      </c>
      <c r="C664">
        <v>66</v>
      </c>
      <c r="D664">
        <v>284</v>
      </c>
      <c r="E664" t="s">
        <v>33</v>
      </c>
    </row>
    <row r="665" spans="1:5" x14ac:dyDescent="0.35">
      <c r="A665" s="2">
        <v>42468</v>
      </c>
      <c r="B665" s="70" t="s">
        <v>38</v>
      </c>
      <c r="C665">
        <v>76</v>
      </c>
      <c r="D665">
        <v>400</v>
      </c>
      <c r="E665" t="s">
        <v>32</v>
      </c>
    </row>
    <row r="666" spans="1:5" x14ac:dyDescent="0.35">
      <c r="A666" s="2">
        <v>42468</v>
      </c>
      <c r="B666" s="70" t="s">
        <v>38</v>
      </c>
      <c r="C666">
        <v>73</v>
      </c>
      <c r="D666">
        <v>354</v>
      </c>
      <c r="E666" t="s">
        <v>34</v>
      </c>
    </row>
    <row r="667" spans="1:5" x14ac:dyDescent="0.35">
      <c r="A667" s="2">
        <v>42468</v>
      </c>
      <c r="B667" s="70" t="s">
        <v>38</v>
      </c>
      <c r="C667">
        <v>76</v>
      </c>
      <c r="D667">
        <v>301</v>
      </c>
      <c r="E667" t="s">
        <v>34</v>
      </c>
    </row>
    <row r="668" spans="1:5" x14ac:dyDescent="0.35">
      <c r="A668" s="2">
        <v>42468</v>
      </c>
      <c r="B668" s="70" t="s">
        <v>38</v>
      </c>
      <c r="C668">
        <v>62</v>
      </c>
      <c r="D668">
        <v>204</v>
      </c>
      <c r="E668" t="s">
        <v>32</v>
      </c>
    </row>
    <row r="669" spans="1:5" x14ac:dyDescent="0.35">
      <c r="A669" s="2">
        <v>42468</v>
      </c>
      <c r="B669" s="70" t="s">
        <v>38</v>
      </c>
      <c r="C669">
        <v>70</v>
      </c>
      <c r="D669">
        <v>289</v>
      </c>
      <c r="E669" t="s">
        <v>32</v>
      </c>
    </row>
    <row r="670" spans="1:5" x14ac:dyDescent="0.35">
      <c r="A670" s="2">
        <v>42468</v>
      </c>
      <c r="B670" s="70" t="s">
        <v>38</v>
      </c>
      <c r="C670">
        <v>64</v>
      </c>
      <c r="D670">
        <v>202</v>
      </c>
      <c r="E670" t="s">
        <v>34</v>
      </c>
    </row>
    <row r="671" spans="1:5" x14ac:dyDescent="0.35">
      <c r="A671" s="2">
        <v>42468</v>
      </c>
      <c r="B671" s="70" t="s">
        <v>38</v>
      </c>
      <c r="C671">
        <v>65</v>
      </c>
      <c r="D671">
        <v>188</v>
      </c>
      <c r="E671" t="s">
        <v>32</v>
      </c>
    </row>
    <row r="672" spans="1:5" x14ac:dyDescent="0.35">
      <c r="A672" s="2">
        <v>42468</v>
      </c>
      <c r="B672" s="70" t="s">
        <v>38</v>
      </c>
      <c r="C672">
        <v>63</v>
      </c>
      <c r="D672">
        <v>143</v>
      </c>
      <c r="E672" t="s">
        <v>32</v>
      </c>
    </row>
    <row r="673" spans="1:19" x14ac:dyDescent="0.35">
      <c r="A673" s="2">
        <v>42468</v>
      </c>
      <c r="B673" s="70" t="s">
        <v>38</v>
      </c>
      <c r="C673">
        <v>65</v>
      </c>
      <c r="D673">
        <v>208</v>
      </c>
      <c r="E673" t="s">
        <v>34</v>
      </c>
    </row>
    <row r="674" spans="1:19" x14ac:dyDescent="0.35">
      <c r="A674" s="2">
        <v>42468</v>
      </c>
      <c r="B674" s="70" t="s">
        <v>38</v>
      </c>
      <c r="C674">
        <v>72</v>
      </c>
      <c r="D674">
        <v>355</v>
      </c>
      <c r="E674" t="s">
        <v>33</v>
      </c>
    </row>
    <row r="675" spans="1:19" x14ac:dyDescent="0.35">
      <c r="A675" s="2">
        <v>42468</v>
      </c>
      <c r="B675" s="70" t="s">
        <v>38</v>
      </c>
      <c r="C675">
        <v>68</v>
      </c>
      <c r="D675">
        <v>233</v>
      </c>
      <c r="E675" t="s">
        <v>33</v>
      </c>
    </row>
    <row r="676" spans="1:19" x14ac:dyDescent="0.35">
      <c r="A676" s="2">
        <v>42468</v>
      </c>
      <c r="B676" s="70" t="s">
        <v>38</v>
      </c>
      <c r="C676">
        <v>57</v>
      </c>
      <c r="D676">
        <v>109</v>
      </c>
      <c r="E676" t="s">
        <v>34</v>
      </c>
    </row>
    <row r="677" spans="1:19" x14ac:dyDescent="0.35">
      <c r="A677" s="2">
        <v>42468</v>
      </c>
      <c r="B677" s="70" t="s">
        <v>38</v>
      </c>
      <c r="C677">
        <v>69</v>
      </c>
      <c r="D677">
        <v>273</v>
      </c>
      <c r="E677" t="s">
        <v>33</v>
      </c>
    </row>
    <row r="678" spans="1:19" x14ac:dyDescent="0.35">
      <c r="A678" s="2">
        <v>42468</v>
      </c>
      <c r="B678" s="70" t="s">
        <v>38</v>
      </c>
      <c r="C678">
        <v>72</v>
      </c>
      <c r="D678">
        <v>325</v>
      </c>
      <c r="E678" t="s">
        <v>34</v>
      </c>
    </row>
    <row r="679" spans="1:19" x14ac:dyDescent="0.35">
      <c r="A679" s="2">
        <v>42468</v>
      </c>
      <c r="B679" s="70" t="s">
        <v>38</v>
      </c>
      <c r="C679">
        <v>70</v>
      </c>
      <c r="D679">
        <v>252</v>
      </c>
      <c r="E679" t="s">
        <v>34</v>
      </c>
      <c r="F679" t="s">
        <v>282</v>
      </c>
    </row>
    <row r="680" spans="1:19" x14ac:dyDescent="0.35">
      <c r="A680" s="2">
        <v>42468</v>
      </c>
      <c r="B680" s="70" t="s">
        <v>38</v>
      </c>
      <c r="C680">
        <v>72</v>
      </c>
      <c r="D680">
        <v>341</v>
      </c>
      <c r="E680" t="s">
        <v>34</v>
      </c>
      <c r="G680" t="s">
        <v>42</v>
      </c>
      <c r="H680" t="s">
        <v>39</v>
      </c>
      <c r="I680" t="s">
        <v>40</v>
      </c>
      <c r="J680" t="s">
        <v>36</v>
      </c>
      <c r="K680" t="s">
        <v>33</v>
      </c>
      <c r="L680" t="s">
        <v>34</v>
      </c>
      <c r="M680" t="s">
        <v>32</v>
      </c>
      <c r="N680" t="s">
        <v>37</v>
      </c>
      <c r="P680" t="s">
        <v>43</v>
      </c>
      <c r="Q680" t="s">
        <v>44</v>
      </c>
    </row>
    <row r="681" spans="1:19" x14ac:dyDescent="0.35">
      <c r="A681" s="2">
        <v>42468</v>
      </c>
      <c r="B681" s="70" t="s">
        <v>38</v>
      </c>
      <c r="C681">
        <v>72</v>
      </c>
      <c r="D681">
        <v>320</v>
      </c>
      <c r="E681" t="s">
        <v>34</v>
      </c>
      <c r="G681" s="5">
        <f>COUNTIF(E633:E682,"VA")</f>
        <v>0</v>
      </c>
      <c r="H681" s="5">
        <f>COUNTIF(E633:E682,"VB")</f>
        <v>0</v>
      </c>
      <c r="I681" s="5">
        <f>COUNTIF(E633:E682,"VIA0")</f>
        <v>0</v>
      </c>
      <c r="J681" s="5">
        <f>COUNTIF(E633:E682,"VIA1")</f>
        <v>0</v>
      </c>
      <c r="K681" s="5">
        <f>COUNTIF(E633:E682,"VIA2")</f>
        <v>7</v>
      </c>
      <c r="L681" s="5">
        <v>35</v>
      </c>
      <c r="M681" s="5">
        <v>8</v>
      </c>
      <c r="N681" s="5">
        <f>COUNTIF(E633:E682,"VIB")</f>
        <v>0</v>
      </c>
      <c r="P681" s="7">
        <f>AVERAGE(C633:C682)</f>
        <v>69.84</v>
      </c>
      <c r="Q681" s="8">
        <f>AVERAGE(D633:D682)</f>
        <v>286.22000000000003</v>
      </c>
      <c r="R681" s="8"/>
      <c r="S681" s="42" t="e">
        <f>AVERAGE(#REF!)</f>
        <v>#REF!</v>
      </c>
    </row>
    <row r="682" spans="1:19" s="4" customFormat="1" x14ac:dyDescent="0.35">
      <c r="A682" s="3">
        <v>42468</v>
      </c>
      <c r="B682" s="44" t="s">
        <v>38</v>
      </c>
      <c r="C682" s="4">
        <v>68</v>
      </c>
      <c r="D682" s="4">
        <v>187</v>
      </c>
      <c r="E682" s="4" t="s">
        <v>34</v>
      </c>
      <c r="G682" s="6">
        <f>G681/50*100</f>
        <v>0</v>
      </c>
      <c r="H682" s="6">
        <f t="shared" ref="H682" si="31">H681/50*100</f>
        <v>0</v>
      </c>
      <c r="I682" s="6">
        <f t="shared" ref="I682" si="32">I681/50*100</f>
        <v>0</v>
      </c>
      <c r="J682" s="6">
        <f t="shared" ref="J682" si="33">J681/50*100</f>
        <v>0</v>
      </c>
      <c r="K682" s="6">
        <f t="shared" ref="K682" si="34">K681/50*100</f>
        <v>14.000000000000002</v>
      </c>
      <c r="L682" s="6">
        <f t="shared" ref="L682" si="35">L681/50*100</f>
        <v>70</v>
      </c>
      <c r="M682" s="6">
        <f t="shared" ref="M682" si="36">M681/50*100</f>
        <v>16</v>
      </c>
      <c r="N682" s="6">
        <f t="shared" ref="N682" si="37">N681/50*100</f>
        <v>0</v>
      </c>
    </row>
    <row r="683" spans="1:19" x14ac:dyDescent="0.35">
      <c r="A683" s="2">
        <v>42468</v>
      </c>
      <c r="B683" s="70" t="s">
        <v>29</v>
      </c>
      <c r="C683" s="10">
        <v>135</v>
      </c>
      <c r="D683" s="10">
        <v>2934</v>
      </c>
      <c r="E683" s="10" t="s">
        <v>98</v>
      </c>
    </row>
    <row r="684" spans="1:19" x14ac:dyDescent="0.35">
      <c r="A684" s="2">
        <v>42468</v>
      </c>
      <c r="B684" s="70" t="s">
        <v>29</v>
      </c>
      <c r="C684" s="10">
        <v>118</v>
      </c>
      <c r="D684" s="10">
        <v>1989</v>
      </c>
      <c r="E684" s="10" t="s">
        <v>98</v>
      </c>
    </row>
    <row r="685" spans="1:19" x14ac:dyDescent="0.35">
      <c r="A685" s="2">
        <v>42468</v>
      </c>
      <c r="B685" s="70" t="s">
        <v>29</v>
      </c>
      <c r="C685" s="10">
        <v>124</v>
      </c>
      <c r="D685" s="10">
        <v>2495</v>
      </c>
      <c r="E685" s="10" t="s">
        <v>98</v>
      </c>
    </row>
    <row r="686" spans="1:19" x14ac:dyDescent="0.35">
      <c r="A686" s="2">
        <v>42468</v>
      </c>
      <c r="B686" s="70" t="s">
        <v>29</v>
      </c>
      <c r="C686" s="10">
        <v>112</v>
      </c>
      <c r="D686" s="10">
        <v>1506</v>
      </c>
      <c r="E686" s="10" t="s">
        <v>98</v>
      </c>
    </row>
    <row r="687" spans="1:19" x14ac:dyDescent="0.35">
      <c r="A687" s="2">
        <v>42468</v>
      </c>
      <c r="B687" s="70" t="s">
        <v>29</v>
      </c>
      <c r="C687" s="10">
        <v>138</v>
      </c>
      <c r="D687" s="10">
        <v>2368</v>
      </c>
      <c r="E687" s="10" t="s">
        <v>98</v>
      </c>
    </row>
    <row r="688" spans="1:19" x14ac:dyDescent="0.35">
      <c r="A688" s="2">
        <v>42468</v>
      </c>
      <c r="B688" s="70" t="s">
        <v>29</v>
      </c>
      <c r="C688" s="10">
        <v>147</v>
      </c>
      <c r="D688" s="10">
        <v>3566</v>
      </c>
      <c r="E688" s="10" t="s">
        <v>98</v>
      </c>
    </row>
    <row r="689" spans="1:5" x14ac:dyDescent="0.35">
      <c r="A689" s="2">
        <v>42468</v>
      </c>
      <c r="B689" s="70" t="s">
        <v>29</v>
      </c>
      <c r="C689" s="10">
        <v>100</v>
      </c>
      <c r="D689" s="10">
        <v>1155</v>
      </c>
      <c r="E689" s="10" t="s">
        <v>98</v>
      </c>
    </row>
    <row r="690" spans="1:5" x14ac:dyDescent="0.35">
      <c r="A690" s="2">
        <v>42468</v>
      </c>
      <c r="B690" s="70" t="s">
        <v>29</v>
      </c>
      <c r="C690" s="10">
        <v>106</v>
      </c>
      <c r="D690" s="10">
        <v>1433</v>
      </c>
      <c r="E690" s="10" t="s">
        <v>98</v>
      </c>
    </row>
    <row r="691" spans="1:5" x14ac:dyDescent="0.35">
      <c r="A691" s="2">
        <v>42468</v>
      </c>
      <c r="B691" s="70" t="s">
        <v>29</v>
      </c>
      <c r="C691" s="10">
        <v>92</v>
      </c>
      <c r="D691" s="10">
        <v>922</v>
      </c>
      <c r="E691" s="10" t="s">
        <v>98</v>
      </c>
    </row>
    <row r="692" spans="1:5" x14ac:dyDescent="0.35">
      <c r="A692" s="2">
        <v>42468</v>
      </c>
      <c r="B692" s="70" t="s">
        <v>29</v>
      </c>
      <c r="C692" s="10">
        <v>135</v>
      </c>
      <c r="D692" s="10">
        <v>3172</v>
      </c>
      <c r="E692" s="10" t="s">
        <v>98</v>
      </c>
    </row>
    <row r="693" spans="1:5" x14ac:dyDescent="0.35">
      <c r="A693" s="2">
        <v>42468</v>
      </c>
      <c r="B693" s="70" t="s">
        <v>29</v>
      </c>
      <c r="C693" s="10">
        <v>90</v>
      </c>
      <c r="D693" s="10">
        <v>778</v>
      </c>
      <c r="E693" s="10" t="s">
        <v>98</v>
      </c>
    </row>
    <row r="694" spans="1:5" x14ac:dyDescent="0.35">
      <c r="A694" s="2">
        <v>42468</v>
      </c>
      <c r="B694" s="70" t="s">
        <v>29</v>
      </c>
      <c r="C694" s="10">
        <v>102</v>
      </c>
      <c r="D694" s="10">
        <v>1142</v>
      </c>
      <c r="E694" s="10" t="s">
        <v>98</v>
      </c>
    </row>
    <row r="695" spans="1:5" x14ac:dyDescent="0.35">
      <c r="A695" s="2">
        <v>42468</v>
      </c>
      <c r="B695" s="70" t="s">
        <v>29</v>
      </c>
      <c r="C695" s="10">
        <v>93</v>
      </c>
      <c r="D695" s="10">
        <v>1148</v>
      </c>
      <c r="E695" s="10" t="s">
        <v>98</v>
      </c>
    </row>
    <row r="696" spans="1:5" x14ac:dyDescent="0.35">
      <c r="A696" s="2">
        <v>42468</v>
      </c>
      <c r="B696" s="70" t="s">
        <v>29</v>
      </c>
      <c r="C696" s="10">
        <v>95</v>
      </c>
      <c r="D696" s="10">
        <v>985</v>
      </c>
      <c r="E696" s="10" t="s">
        <v>98</v>
      </c>
    </row>
    <row r="697" spans="1:5" x14ac:dyDescent="0.35">
      <c r="A697" s="2">
        <v>42468</v>
      </c>
      <c r="B697" s="70" t="s">
        <v>29</v>
      </c>
      <c r="C697" s="10">
        <v>87</v>
      </c>
      <c r="D697" s="10">
        <v>743</v>
      </c>
      <c r="E697" s="10" t="s">
        <v>98</v>
      </c>
    </row>
    <row r="698" spans="1:5" x14ac:dyDescent="0.35">
      <c r="A698" s="2">
        <v>42468</v>
      </c>
      <c r="B698" s="70" t="s">
        <v>29</v>
      </c>
      <c r="C698" s="10">
        <v>102</v>
      </c>
      <c r="D698" s="10">
        <v>1170</v>
      </c>
      <c r="E698" s="10" t="s">
        <v>98</v>
      </c>
    </row>
    <row r="699" spans="1:5" x14ac:dyDescent="0.35">
      <c r="A699" s="2">
        <v>42468</v>
      </c>
      <c r="B699" s="70" t="s">
        <v>29</v>
      </c>
      <c r="C699" s="10">
        <v>97</v>
      </c>
      <c r="D699" s="10">
        <v>1065</v>
      </c>
      <c r="E699" s="10" t="s">
        <v>98</v>
      </c>
    </row>
    <row r="700" spans="1:5" x14ac:dyDescent="0.35">
      <c r="A700" s="2">
        <v>42468</v>
      </c>
      <c r="B700" s="70" t="s">
        <v>29</v>
      </c>
      <c r="C700" s="10">
        <v>98</v>
      </c>
      <c r="D700" s="10">
        <v>1188</v>
      </c>
      <c r="E700" s="10" t="s">
        <v>98</v>
      </c>
    </row>
    <row r="701" spans="1:5" x14ac:dyDescent="0.35">
      <c r="A701" s="2">
        <v>42468</v>
      </c>
      <c r="B701" s="70" t="s">
        <v>29</v>
      </c>
      <c r="C701" s="10">
        <v>96</v>
      </c>
      <c r="D701" s="10">
        <v>949</v>
      </c>
      <c r="E701" s="10" t="s">
        <v>98</v>
      </c>
    </row>
    <row r="702" spans="1:5" x14ac:dyDescent="0.35">
      <c r="A702" s="2">
        <v>42468</v>
      </c>
      <c r="B702" s="70" t="s">
        <v>29</v>
      </c>
      <c r="C702" s="10">
        <v>87</v>
      </c>
      <c r="D702" s="10">
        <v>819</v>
      </c>
      <c r="E702" s="10" t="s">
        <v>98</v>
      </c>
    </row>
    <row r="703" spans="1:5" x14ac:dyDescent="0.35">
      <c r="A703" s="2">
        <v>42468</v>
      </c>
      <c r="B703" s="70" t="s">
        <v>29</v>
      </c>
      <c r="C703" s="10">
        <v>98</v>
      </c>
      <c r="D703" s="10">
        <v>1105</v>
      </c>
      <c r="E703" s="10" t="s">
        <v>98</v>
      </c>
    </row>
    <row r="704" spans="1:5" x14ac:dyDescent="0.35">
      <c r="A704" s="2">
        <v>42468</v>
      </c>
      <c r="B704" s="70" t="s">
        <v>29</v>
      </c>
      <c r="C704" s="10">
        <v>117</v>
      </c>
      <c r="D704" s="10">
        <v>2000</v>
      </c>
      <c r="E704" s="10" t="s">
        <v>98</v>
      </c>
    </row>
    <row r="705" spans="1:7" x14ac:dyDescent="0.35">
      <c r="A705" s="2">
        <v>42468</v>
      </c>
      <c r="B705" s="70" t="s">
        <v>29</v>
      </c>
      <c r="C705" s="10">
        <v>102</v>
      </c>
      <c r="D705" s="10">
        <v>1534</v>
      </c>
      <c r="E705" s="10" t="s">
        <v>98</v>
      </c>
    </row>
    <row r="706" spans="1:7" x14ac:dyDescent="0.35">
      <c r="A706" s="2">
        <v>42468</v>
      </c>
      <c r="B706" s="70" t="s">
        <v>29</v>
      </c>
      <c r="C706" s="10">
        <v>111</v>
      </c>
      <c r="D706" s="10">
        <v>1516</v>
      </c>
      <c r="E706" s="10" t="s">
        <v>98</v>
      </c>
    </row>
    <row r="707" spans="1:7" x14ac:dyDescent="0.35">
      <c r="A707" s="2">
        <v>42468</v>
      </c>
      <c r="B707" s="70" t="s">
        <v>29</v>
      </c>
      <c r="C707" s="10">
        <v>96</v>
      </c>
      <c r="D707" s="10">
        <v>1017</v>
      </c>
      <c r="E707" s="10" t="s">
        <v>98</v>
      </c>
    </row>
    <row r="708" spans="1:7" x14ac:dyDescent="0.35">
      <c r="A708" s="2">
        <v>42468</v>
      </c>
      <c r="B708" s="70" t="s">
        <v>29</v>
      </c>
      <c r="C708" s="10">
        <v>95</v>
      </c>
      <c r="D708" s="10">
        <v>1052</v>
      </c>
      <c r="E708" s="10" t="s">
        <v>98</v>
      </c>
    </row>
    <row r="709" spans="1:7" x14ac:dyDescent="0.35">
      <c r="A709" s="2">
        <v>42468</v>
      </c>
      <c r="B709" s="70" t="s">
        <v>29</v>
      </c>
      <c r="C709" s="10">
        <v>162</v>
      </c>
      <c r="D709" s="10">
        <v>5557</v>
      </c>
      <c r="E709" s="10" t="s">
        <v>98</v>
      </c>
    </row>
    <row r="710" spans="1:7" x14ac:dyDescent="0.35">
      <c r="A710" s="2">
        <v>42468</v>
      </c>
      <c r="B710" s="70" t="s">
        <v>29</v>
      </c>
      <c r="C710" s="10">
        <v>117</v>
      </c>
      <c r="D710" s="10">
        <v>2332</v>
      </c>
      <c r="E710" s="10" t="s">
        <v>98</v>
      </c>
    </row>
    <row r="711" spans="1:7" x14ac:dyDescent="0.35">
      <c r="A711" s="2">
        <v>42468</v>
      </c>
      <c r="B711" s="70" t="s">
        <v>29</v>
      </c>
      <c r="C711" s="10">
        <v>94</v>
      </c>
      <c r="D711" s="10">
        <v>1044</v>
      </c>
      <c r="E711" s="10" t="s">
        <v>98</v>
      </c>
    </row>
    <row r="712" spans="1:7" x14ac:dyDescent="0.35">
      <c r="A712" s="2">
        <v>42468</v>
      </c>
      <c r="B712" s="70" t="s">
        <v>29</v>
      </c>
      <c r="C712" s="10">
        <v>147</v>
      </c>
      <c r="D712" s="10">
        <v>4772</v>
      </c>
      <c r="E712" s="10" t="s">
        <v>98</v>
      </c>
    </row>
    <row r="713" spans="1:7" x14ac:dyDescent="0.35">
      <c r="A713" s="2">
        <v>42468</v>
      </c>
      <c r="B713" s="70" t="s">
        <v>29</v>
      </c>
      <c r="C713" s="10">
        <v>102</v>
      </c>
      <c r="D713" s="10">
        <v>1068</v>
      </c>
      <c r="E713" s="10" t="s">
        <v>98</v>
      </c>
    </row>
    <row r="714" spans="1:7" x14ac:dyDescent="0.35">
      <c r="A714" s="2">
        <v>42468</v>
      </c>
      <c r="B714" s="70" t="s">
        <v>29</v>
      </c>
      <c r="C714" s="10">
        <v>87</v>
      </c>
      <c r="D714" s="10">
        <v>982</v>
      </c>
      <c r="E714" s="10" t="s">
        <v>98</v>
      </c>
    </row>
    <row r="715" spans="1:7" x14ac:dyDescent="0.35">
      <c r="A715" s="2">
        <v>42468</v>
      </c>
      <c r="B715" s="70" t="s">
        <v>29</v>
      </c>
      <c r="C715" s="10">
        <v>93</v>
      </c>
      <c r="D715" s="10">
        <v>1006</v>
      </c>
      <c r="E715" s="10" t="s">
        <v>98</v>
      </c>
    </row>
    <row r="716" spans="1:7" x14ac:dyDescent="0.35">
      <c r="A716" s="2">
        <v>42468</v>
      </c>
      <c r="B716" s="70" t="s">
        <v>29</v>
      </c>
      <c r="C716" s="10">
        <v>90</v>
      </c>
      <c r="D716" s="10">
        <v>1064</v>
      </c>
      <c r="E716" s="10" t="s">
        <v>98</v>
      </c>
    </row>
    <row r="717" spans="1:7" x14ac:dyDescent="0.35">
      <c r="A717" s="2">
        <v>42468</v>
      </c>
      <c r="B717" s="70" t="s">
        <v>29</v>
      </c>
      <c r="C717" s="10">
        <v>116</v>
      </c>
      <c r="D717" s="10">
        <v>1824</v>
      </c>
      <c r="E717" s="10" t="s">
        <v>98</v>
      </c>
    </row>
    <row r="718" spans="1:7" x14ac:dyDescent="0.35">
      <c r="A718" s="2">
        <v>42468</v>
      </c>
      <c r="B718" s="70" t="s">
        <v>29</v>
      </c>
      <c r="C718" s="10">
        <v>103</v>
      </c>
      <c r="D718" s="10">
        <v>1277</v>
      </c>
      <c r="E718" s="10" t="s">
        <v>98</v>
      </c>
    </row>
    <row r="719" spans="1:7" x14ac:dyDescent="0.35">
      <c r="A719" s="2">
        <v>42468</v>
      </c>
      <c r="B719" s="70" t="s">
        <v>29</v>
      </c>
      <c r="C719" s="10">
        <v>100</v>
      </c>
      <c r="D719" s="10">
        <v>1120</v>
      </c>
      <c r="E719" s="10" t="s">
        <v>98</v>
      </c>
    </row>
    <row r="720" spans="1:7" x14ac:dyDescent="0.35">
      <c r="A720" s="2">
        <v>42468</v>
      </c>
      <c r="B720" s="70" t="s">
        <v>29</v>
      </c>
      <c r="C720" s="10">
        <v>104</v>
      </c>
      <c r="D720" s="10">
        <v>1197</v>
      </c>
      <c r="E720" s="10" t="s">
        <v>98</v>
      </c>
      <c r="G720" s="42" t="e">
        <f>AVERAGE(#REF!)</f>
        <v>#REF!</v>
      </c>
    </row>
    <row r="721" spans="1:7" x14ac:dyDescent="0.35">
      <c r="A721" s="2">
        <v>42468</v>
      </c>
      <c r="B721" s="70" t="s">
        <v>29</v>
      </c>
      <c r="C721" s="10">
        <v>280</v>
      </c>
      <c r="E721" s="10" t="s">
        <v>101</v>
      </c>
      <c r="G721" s="42" t="e">
        <f>AVERAGE(#REF!,#REF!)</f>
        <v>#REF!</v>
      </c>
    </row>
    <row r="722" spans="1:7" x14ac:dyDescent="0.35">
      <c r="A722" s="2">
        <v>42468</v>
      </c>
      <c r="B722" s="70" t="s">
        <v>29</v>
      </c>
      <c r="C722" s="10">
        <v>77</v>
      </c>
      <c r="D722" s="24">
        <v>409</v>
      </c>
      <c r="E722" s="10" t="s">
        <v>33</v>
      </c>
    </row>
    <row r="723" spans="1:7" x14ac:dyDescent="0.35">
      <c r="A723" s="2">
        <v>42468</v>
      </c>
      <c r="B723" s="70" t="s">
        <v>29</v>
      </c>
      <c r="C723" s="10">
        <v>72</v>
      </c>
      <c r="D723">
        <v>327</v>
      </c>
      <c r="E723" s="10" t="s">
        <v>33</v>
      </c>
    </row>
    <row r="724" spans="1:7" x14ac:dyDescent="0.35">
      <c r="A724" s="2">
        <v>42468</v>
      </c>
      <c r="B724" s="70" t="s">
        <v>29</v>
      </c>
      <c r="C724" s="10">
        <v>78</v>
      </c>
      <c r="D724" s="24">
        <v>416</v>
      </c>
      <c r="E724" s="10" t="s">
        <v>32</v>
      </c>
    </row>
    <row r="725" spans="1:7" x14ac:dyDescent="0.35">
      <c r="A725" s="2">
        <v>42468</v>
      </c>
      <c r="B725" s="70" t="s">
        <v>29</v>
      </c>
      <c r="C725" s="10">
        <v>68</v>
      </c>
      <c r="D725">
        <v>275</v>
      </c>
      <c r="E725" s="10" t="s">
        <v>33</v>
      </c>
    </row>
    <row r="726" spans="1:7" x14ac:dyDescent="0.35">
      <c r="A726" s="2">
        <v>42468</v>
      </c>
      <c r="B726" s="70" t="s">
        <v>29</v>
      </c>
      <c r="C726" s="10">
        <v>73</v>
      </c>
      <c r="D726">
        <v>324</v>
      </c>
      <c r="E726" s="10" t="s">
        <v>33</v>
      </c>
    </row>
    <row r="727" spans="1:7" x14ac:dyDescent="0.35">
      <c r="A727" s="2">
        <v>42468</v>
      </c>
      <c r="B727" s="70" t="s">
        <v>29</v>
      </c>
      <c r="C727" s="10">
        <v>64</v>
      </c>
      <c r="D727">
        <v>186</v>
      </c>
      <c r="E727" s="10" t="s">
        <v>32</v>
      </c>
    </row>
    <row r="728" spans="1:7" x14ac:dyDescent="0.35">
      <c r="A728" s="2">
        <v>42468</v>
      </c>
      <c r="B728" s="70" t="s">
        <v>29</v>
      </c>
      <c r="C728" s="10">
        <v>65</v>
      </c>
      <c r="D728">
        <v>185</v>
      </c>
      <c r="E728" s="10" t="s">
        <v>32</v>
      </c>
    </row>
    <row r="729" spans="1:7" x14ac:dyDescent="0.35">
      <c r="A729" s="2">
        <v>42468</v>
      </c>
      <c r="B729" s="70" t="s">
        <v>29</v>
      </c>
      <c r="C729" s="10">
        <v>68</v>
      </c>
      <c r="D729">
        <v>289</v>
      </c>
      <c r="E729" s="10" t="s">
        <v>33</v>
      </c>
    </row>
    <row r="730" spans="1:7" x14ac:dyDescent="0.35">
      <c r="A730" s="2">
        <v>42468</v>
      </c>
      <c r="B730" s="70" t="s">
        <v>29</v>
      </c>
      <c r="C730" s="10">
        <v>77</v>
      </c>
      <c r="D730">
        <v>394</v>
      </c>
      <c r="E730" s="10" t="s">
        <v>32</v>
      </c>
    </row>
    <row r="731" spans="1:7" x14ac:dyDescent="0.35">
      <c r="A731" s="2">
        <v>42468</v>
      </c>
      <c r="B731" s="70" t="s">
        <v>29</v>
      </c>
      <c r="C731" s="10">
        <v>66</v>
      </c>
      <c r="D731">
        <v>241</v>
      </c>
      <c r="E731" s="10" t="s">
        <v>32</v>
      </c>
    </row>
    <row r="732" spans="1:7" x14ac:dyDescent="0.35">
      <c r="A732" s="2">
        <v>42468</v>
      </c>
      <c r="B732" s="70" t="s">
        <v>29</v>
      </c>
      <c r="C732" s="10">
        <v>70</v>
      </c>
      <c r="D732">
        <v>313</v>
      </c>
      <c r="E732" s="10" t="s">
        <v>33</v>
      </c>
    </row>
    <row r="733" spans="1:7" x14ac:dyDescent="0.35">
      <c r="A733" s="2">
        <v>42468</v>
      </c>
      <c r="B733" s="70" t="s">
        <v>29</v>
      </c>
      <c r="C733" s="10">
        <v>74</v>
      </c>
      <c r="D733">
        <v>294</v>
      </c>
      <c r="E733" s="10" t="s">
        <v>32</v>
      </c>
    </row>
    <row r="734" spans="1:7" x14ac:dyDescent="0.35">
      <c r="A734" s="2">
        <v>42468</v>
      </c>
      <c r="B734" s="70" t="s">
        <v>29</v>
      </c>
      <c r="C734" s="10">
        <v>75</v>
      </c>
      <c r="D734">
        <v>331</v>
      </c>
      <c r="E734" s="10" t="s">
        <v>32</v>
      </c>
    </row>
    <row r="735" spans="1:7" x14ac:dyDescent="0.35">
      <c r="A735" s="2">
        <v>42468</v>
      </c>
      <c r="B735" s="70" t="s">
        <v>29</v>
      </c>
      <c r="C735" s="10">
        <v>72</v>
      </c>
      <c r="D735">
        <v>357</v>
      </c>
      <c r="E735" s="10" t="s">
        <v>33</v>
      </c>
    </row>
    <row r="736" spans="1:7" x14ac:dyDescent="0.35">
      <c r="A736" s="2">
        <v>42468</v>
      </c>
      <c r="B736" s="70" t="s">
        <v>29</v>
      </c>
      <c r="C736" s="10">
        <v>65</v>
      </c>
      <c r="D736">
        <v>212</v>
      </c>
      <c r="E736" s="10" t="s">
        <v>32</v>
      </c>
    </row>
    <row r="737" spans="1:5" x14ac:dyDescent="0.35">
      <c r="A737" s="2">
        <v>42468</v>
      </c>
      <c r="B737" s="70" t="s">
        <v>29</v>
      </c>
      <c r="C737" s="10">
        <v>66</v>
      </c>
      <c r="D737">
        <v>226</v>
      </c>
      <c r="E737" s="10" t="s">
        <v>33</v>
      </c>
    </row>
    <row r="738" spans="1:5" x14ac:dyDescent="0.35">
      <c r="A738" s="2">
        <v>42468</v>
      </c>
      <c r="B738" s="70" t="s">
        <v>29</v>
      </c>
      <c r="C738" s="10">
        <v>67</v>
      </c>
      <c r="D738">
        <v>193</v>
      </c>
      <c r="E738" s="10" t="s">
        <v>34</v>
      </c>
    </row>
    <row r="739" spans="1:5" x14ac:dyDescent="0.35">
      <c r="A739" s="2">
        <v>42468</v>
      </c>
      <c r="B739" s="70" t="s">
        <v>29</v>
      </c>
      <c r="C739" s="10">
        <v>70</v>
      </c>
      <c r="D739">
        <v>244</v>
      </c>
      <c r="E739" s="10" t="s">
        <v>34</v>
      </c>
    </row>
    <row r="740" spans="1:5" x14ac:dyDescent="0.35">
      <c r="A740" s="2">
        <v>42468</v>
      </c>
      <c r="B740" s="70" t="s">
        <v>29</v>
      </c>
      <c r="C740" s="10">
        <v>71</v>
      </c>
      <c r="D740">
        <v>284</v>
      </c>
      <c r="E740" s="10" t="s">
        <v>32</v>
      </c>
    </row>
    <row r="741" spans="1:5" x14ac:dyDescent="0.35">
      <c r="A741" s="2">
        <v>42468</v>
      </c>
      <c r="B741" s="70" t="s">
        <v>29</v>
      </c>
      <c r="C741" s="10">
        <v>71</v>
      </c>
      <c r="D741">
        <v>340</v>
      </c>
      <c r="E741" s="10" t="s">
        <v>33</v>
      </c>
    </row>
    <row r="742" spans="1:5" x14ac:dyDescent="0.35">
      <c r="A742" s="2">
        <v>42468</v>
      </c>
      <c r="B742" s="70" t="s">
        <v>29</v>
      </c>
      <c r="C742" s="10">
        <v>66</v>
      </c>
      <c r="D742">
        <v>221</v>
      </c>
      <c r="E742" s="10" t="s">
        <v>32</v>
      </c>
    </row>
    <row r="743" spans="1:5" x14ac:dyDescent="0.35">
      <c r="A743" s="2">
        <v>42468</v>
      </c>
      <c r="B743" s="70" t="s">
        <v>29</v>
      </c>
      <c r="C743" s="10">
        <v>72</v>
      </c>
      <c r="D743">
        <v>324</v>
      </c>
      <c r="E743" s="10" t="s">
        <v>33</v>
      </c>
    </row>
    <row r="744" spans="1:5" x14ac:dyDescent="0.35">
      <c r="A744" s="2">
        <v>42468</v>
      </c>
      <c r="B744" s="70" t="s">
        <v>29</v>
      </c>
      <c r="C744" s="10">
        <v>73</v>
      </c>
      <c r="D744">
        <v>313</v>
      </c>
      <c r="E744" s="10" t="s">
        <v>34</v>
      </c>
    </row>
    <row r="745" spans="1:5" x14ac:dyDescent="0.35">
      <c r="A745" s="2">
        <v>42468</v>
      </c>
      <c r="B745" s="70" t="s">
        <v>29</v>
      </c>
      <c r="C745" s="10">
        <v>73</v>
      </c>
      <c r="D745">
        <v>357</v>
      </c>
      <c r="E745" s="10" t="s">
        <v>34</v>
      </c>
    </row>
    <row r="746" spans="1:5" x14ac:dyDescent="0.35">
      <c r="A746" s="2">
        <v>42468</v>
      </c>
      <c r="B746" s="70" t="s">
        <v>29</v>
      </c>
      <c r="C746" s="10">
        <v>72</v>
      </c>
      <c r="D746">
        <v>319</v>
      </c>
      <c r="E746" s="10" t="s">
        <v>32</v>
      </c>
    </row>
    <row r="747" spans="1:5" x14ac:dyDescent="0.35">
      <c r="A747" s="2">
        <v>42468</v>
      </c>
      <c r="B747" s="70" t="s">
        <v>29</v>
      </c>
      <c r="C747" s="10">
        <v>64</v>
      </c>
      <c r="D747">
        <v>207</v>
      </c>
      <c r="E747" s="10" t="s">
        <v>33</v>
      </c>
    </row>
    <row r="748" spans="1:5" x14ac:dyDescent="0.35">
      <c r="A748" s="2">
        <v>42468</v>
      </c>
      <c r="B748" s="70" t="s">
        <v>29</v>
      </c>
      <c r="C748" s="10">
        <v>72</v>
      </c>
      <c r="D748">
        <v>328</v>
      </c>
      <c r="E748" s="10" t="s">
        <v>34</v>
      </c>
    </row>
    <row r="749" spans="1:5" x14ac:dyDescent="0.35">
      <c r="A749" s="2">
        <v>42468</v>
      </c>
      <c r="B749" s="70" t="s">
        <v>29</v>
      </c>
      <c r="C749" s="10">
        <v>67</v>
      </c>
      <c r="D749">
        <v>280</v>
      </c>
      <c r="E749" s="10" t="s">
        <v>32</v>
      </c>
    </row>
    <row r="750" spans="1:5" x14ac:dyDescent="0.35">
      <c r="A750" s="2">
        <v>42468</v>
      </c>
      <c r="B750" s="70" t="s">
        <v>29</v>
      </c>
      <c r="C750" s="10">
        <v>70</v>
      </c>
      <c r="D750">
        <v>310</v>
      </c>
      <c r="E750" s="10" t="s">
        <v>32</v>
      </c>
    </row>
    <row r="751" spans="1:5" x14ac:dyDescent="0.35">
      <c r="A751" s="2">
        <v>42468</v>
      </c>
      <c r="B751" s="70" t="s">
        <v>29</v>
      </c>
      <c r="C751" s="10">
        <v>78</v>
      </c>
      <c r="D751">
        <v>375</v>
      </c>
      <c r="E751" s="10" t="s">
        <v>32</v>
      </c>
    </row>
    <row r="752" spans="1:5" x14ac:dyDescent="0.35">
      <c r="A752" s="2">
        <v>42468</v>
      </c>
      <c r="B752" s="70" t="s">
        <v>29</v>
      </c>
      <c r="C752" s="10">
        <v>69</v>
      </c>
      <c r="D752">
        <v>278</v>
      </c>
      <c r="E752" s="10" t="s">
        <v>32</v>
      </c>
    </row>
    <row r="753" spans="1:17" x14ac:dyDescent="0.35">
      <c r="A753" s="2">
        <v>42468</v>
      </c>
      <c r="B753" s="70" t="s">
        <v>29</v>
      </c>
      <c r="C753" s="10">
        <v>73</v>
      </c>
      <c r="D753">
        <v>295</v>
      </c>
      <c r="E753" s="10" t="s">
        <v>32</v>
      </c>
    </row>
    <row r="754" spans="1:17" x14ac:dyDescent="0.35">
      <c r="A754" s="2">
        <v>42468</v>
      </c>
      <c r="B754" s="70" t="s">
        <v>29</v>
      </c>
      <c r="C754" s="10">
        <v>58</v>
      </c>
      <c r="D754">
        <v>148</v>
      </c>
      <c r="E754" s="10" t="s">
        <v>33</v>
      </c>
    </row>
    <row r="755" spans="1:17" x14ac:dyDescent="0.35">
      <c r="A755" s="2">
        <v>42468</v>
      </c>
      <c r="B755" s="70" t="s">
        <v>29</v>
      </c>
      <c r="C755" s="10">
        <v>72</v>
      </c>
      <c r="D755">
        <v>249</v>
      </c>
      <c r="E755" s="10" t="s">
        <v>33</v>
      </c>
    </row>
    <row r="756" spans="1:17" x14ac:dyDescent="0.35">
      <c r="A756" s="2">
        <v>42468</v>
      </c>
      <c r="B756" s="70" t="s">
        <v>29</v>
      </c>
      <c r="C756" s="10">
        <v>73</v>
      </c>
      <c r="D756">
        <v>248</v>
      </c>
      <c r="E756" s="10" t="s">
        <v>32</v>
      </c>
    </row>
    <row r="757" spans="1:17" x14ac:dyDescent="0.35">
      <c r="A757" s="2">
        <v>42468</v>
      </c>
      <c r="B757" s="70" t="s">
        <v>29</v>
      </c>
      <c r="C757" s="10">
        <v>66</v>
      </c>
      <c r="D757">
        <v>222</v>
      </c>
      <c r="E757" s="10" t="s">
        <v>32</v>
      </c>
    </row>
    <row r="758" spans="1:17" x14ac:dyDescent="0.35">
      <c r="A758" s="2">
        <v>42468</v>
      </c>
      <c r="B758" s="70" t="s">
        <v>29</v>
      </c>
      <c r="C758" s="10">
        <v>67</v>
      </c>
      <c r="D758">
        <v>243</v>
      </c>
      <c r="E758" s="10" t="s">
        <v>33</v>
      </c>
    </row>
    <row r="759" spans="1:17" x14ac:dyDescent="0.35">
      <c r="A759" s="2">
        <v>42468</v>
      </c>
      <c r="B759" s="70" t="s">
        <v>29</v>
      </c>
      <c r="C759" s="10">
        <v>64</v>
      </c>
      <c r="D759">
        <v>216</v>
      </c>
      <c r="E759" s="10" t="s">
        <v>32</v>
      </c>
    </row>
    <row r="760" spans="1:17" x14ac:dyDescent="0.35">
      <c r="A760" s="2">
        <v>42468</v>
      </c>
      <c r="B760" s="70" t="s">
        <v>29</v>
      </c>
      <c r="C760" s="10">
        <v>72</v>
      </c>
      <c r="D760">
        <v>298</v>
      </c>
      <c r="E760" s="10" t="s">
        <v>34</v>
      </c>
    </row>
    <row r="761" spans="1:17" x14ac:dyDescent="0.35">
      <c r="A761" s="2">
        <v>42468</v>
      </c>
      <c r="B761" s="70" t="s">
        <v>29</v>
      </c>
      <c r="C761" s="10">
        <v>71</v>
      </c>
      <c r="D761">
        <v>327</v>
      </c>
      <c r="E761" s="10" t="s">
        <v>33</v>
      </c>
    </row>
    <row r="762" spans="1:17" x14ac:dyDescent="0.35">
      <c r="A762" s="2">
        <v>42468</v>
      </c>
      <c r="B762" s="70" t="s">
        <v>29</v>
      </c>
      <c r="C762" s="10">
        <v>72</v>
      </c>
      <c r="D762">
        <v>281</v>
      </c>
      <c r="E762" s="10" t="s">
        <v>34</v>
      </c>
    </row>
    <row r="763" spans="1:17" x14ac:dyDescent="0.35">
      <c r="A763" s="2">
        <v>42468</v>
      </c>
      <c r="B763" s="70" t="s">
        <v>29</v>
      </c>
      <c r="C763" s="10">
        <v>66</v>
      </c>
      <c r="D763">
        <v>216</v>
      </c>
      <c r="E763" s="10" t="s">
        <v>33</v>
      </c>
    </row>
    <row r="764" spans="1:17" x14ac:dyDescent="0.35">
      <c r="A764" s="2">
        <v>42468</v>
      </c>
      <c r="B764" s="70" t="s">
        <v>29</v>
      </c>
      <c r="C764" s="10">
        <v>72</v>
      </c>
      <c r="D764">
        <v>268</v>
      </c>
      <c r="E764" s="10" t="s">
        <v>32</v>
      </c>
      <c r="G764">
        <f>G770+G681</f>
        <v>0</v>
      </c>
      <c r="H764">
        <f t="shared" ref="H764:N764" si="38">H770+H681</f>
        <v>0</v>
      </c>
      <c r="I764">
        <f t="shared" si="38"/>
        <v>0</v>
      </c>
      <c r="J764">
        <f t="shared" si="38"/>
        <v>0</v>
      </c>
      <c r="K764">
        <f t="shared" si="38"/>
        <v>25</v>
      </c>
      <c r="L764">
        <f t="shared" si="38"/>
        <v>56</v>
      </c>
      <c r="M764">
        <f t="shared" si="38"/>
        <v>19</v>
      </c>
      <c r="N764">
        <f t="shared" si="38"/>
        <v>0</v>
      </c>
      <c r="P764">
        <f>AVERAGE(C722:C771,C633:C682)</f>
        <v>70.05</v>
      </c>
      <c r="Q764">
        <f>AVERAGE(D722:D771,D633:D682)</f>
        <v>286.45</v>
      </c>
    </row>
    <row r="765" spans="1:17" x14ac:dyDescent="0.35">
      <c r="A765" s="2">
        <v>42468</v>
      </c>
      <c r="B765" s="70" t="s">
        <v>29</v>
      </c>
      <c r="C765" s="10">
        <v>73</v>
      </c>
      <c r="D765">
        <v>336</v>
      </c>
      <c r="E765" s="10" t="s">
        <v>34</v>
      </c>
    </row>
    <row r="766" spans="1:17" x14ac:dyDescent="0.35">
      <c r="A766" s="2">
        <v>42468</v>
      </c>
      <c r="B766" s="70" t="s">
        <v>29</v>
      </c>
      <c r="C766" s="10">
        <v>70</v>
      </c>
      <c r="D766">
        <v>261</v>
      </c>
      <c r="E766" s="10" t="s">
        <v>34</v>
      </c>
    </row>
    <row r="767" spans="1:17" x14ac:dyDescent="0.35">
      <c r="A767" s="2">
        <v>42468</v>
      </c>
      <c r="B767" s="70" t="s">
        <v>29</v>
      </c>
      <c r="C767" s="10">
        <v>72</v>
      </c>
      <c r="D767">
        <v>342</v>
      </c>
      <c r="E767" s="10" t="s">
        <v>32</v>
      </c>
    </row>
    <row r="768" spans="1:17" x14ac:dyDescent="0.35">
      <c r="A768" s="2">
        <v>42468</v>
      </c>
      <c r="B768" s="70" t="s">
        <v>29</v>
      </c>
      <c r="C768" s="10">
        <v>70</v>
      </c>
      <c r="D768">
        <v>285</v>
      </c>
      <c r="E768" s="10" t="s">
        <v>34</v>
      </c>
      <c r="F768" t="s">
        <v>281</v>
      </c>
    </row>
    <row r="769" spans="1:22" x14ac:dyDescent="0.35">
      <c r="A769" s="2">
        <v>42468</v>
      </c>
      <c r="B769" s="70" t="s">
        <v>29</v>
      </c>
      <c r="C769" s="10">
        <v>74</v>
      </c>
      <c r="D769">
        <v>367</v>
      </c>
      <c r="E769" s="10" t="s">
        <v>34</v>
      </c>
      <c r="G769" t="s">
        <v>42</v>
      </c>
      <c r="H769" t="s">
        <v>39</v>
      </c>
      <c r="I769" t="s">
        <v>40</v>
      </c>
      <c r="J769" t="s">
        <v>36</v>
      </c>
      <c r="K769" t="s">
        <v>33</v>
      </c>
      <c r="L769" t="s">
        <v>34</v>
      </c>
      <c r="M769" t="s">
        <v>32</v>
      </c>
      <c r="N769" t="s">
        <v>37</v>
      </c>
      <c r="P769" t="s">
        <v>43</v>
      </c>
      <c r="Q769" t="s">
        <v>44</v>
      </c>
    </row>
    <row r="770" spans="1:22" x14ac:dyDescent="0.35">
      <c r="A770" s="2">
        <v>42468</v>
      </c>
      <c r="B770" s="70" t="s">
        <v>29</v>
      </c>
      <c r="C770" s="10">
        <v>73</v>
      </c>
      <c r="D770">
        <v>328</v>
      </c>
      <c r="E770" s="10" t="s">
        <v>33</v>
      </c>
      <c r="G770" s="5">
        <f>COUNTIF(E722:E771,"VA")</f>
        <v>0</v>
      </c>
      <c r="H770" s="5">
        <f>COUNTIF(E722:E771,"VB")</f>
        <v>0</v>
      </c>
      <c r="I770" s="5">
        <f>COUNTIF(E722:E771,"VIA0")</f>
        <v>0</v>
      </c>
      <c r="J770" s="5">
        <f>COUNTIF(E722:E771,"VIA1")</f>
        <v>0</v>
      </c>
      <c r="K770" s="5">
        <f>COUNTIF(E722:E771,"VIA2")</f>
        <v>18</v>
      </c>
      <c r="L770" s="5">
        <v>21</v>
      </c>
      <c r="M770" s="5">
        <v>11</v>
      </c>
      <c r="N770" s="5">
        <f>COUNTIF(E722:E771,"VIB")</f>
        <v>0</v>
      </c>
      <c r="P770" s="7">
        <f>AVERAGE(C722:C771)</f>
        <v>70.260000000000005</v>
      </c>
      <c r="Q770" s="8">
        <f>AVERAGE(D722:D771)</f>
        <v>286.68</v>
      </c>
      <c r="R770" s="8"/>
      <c r="S770" s="42" t="e">
        <f>AVERAGE(#REF!)</f>
        <v>#REF!</v>
      </c>
      <c r="U770">
        <f>AVERAGE(C722:C771,C633:C682)</f>
        <v>70.05</v>
      </c>
      <c r="V770">
        <f>AVERAGE(D722:D771,D633:D682)</f>
        <v>286.45</v>
      </c>
    </row>
    <row r="771" spans="1:22" s="4" customFormat="1" x14ac:dyDescent="0.35">
      <c r="A771" s="3">
        <v>42468</v>
      </c>
      <c r="B771" s="44" t="s">
        <v>29</v>
      </c>
      <c r="C771" s="11">
        <v>70</v>
      </c>
      <c r="D771" s="4">
        <v>252</v>
      </c>
      <c r="E771" s="4" t="s">
        <v>33</v>
      </c>
      <c r="G771" s="6">
        <f>G770/50*100</f>
        <v>0</v>
      </c>
      <c r="H771" s="6">
        <f t="shared" ref="H771" si="39">H770/50*100</f>
        <v>0</v>
      </c>
      <c r="I771" s="6">
        <f t="shared" ref="I771" si="40">I770/50*100</f>
        <v>0</v>
      </c>
      <c r="J771" s="6">
        <f t="shared" ref="J771" si="41">J770/50*100</f>
        <v>0</v>
      </c>
      <c r="K771" s="6">
        <f t="shared" ref="K771" si="42">K770/50*100</f>
        <v>36</v>
      </c>
      <c r="L771" s="6">
        <f t="shared" ref="L771" si="43">L770/50*100</f>
        <v>42</v>
      </c>
      <c r="M771" s="6">
        <f t="shared" ref="M771" si="44">M770/50*100</f>
        <v>22</v>
      </c>
      <c r="N771" s="6">
        <f t="shared" ref="N771" si="45">N770/50*100</f>
        <v>0</v>
      </c>
    </row>
    <row r="772" spans="1:22" x14ac:dyDescent="0.35">
      <c r="A772" s="13">
        <v>42468</v>
      </c>
      <c r="B772" s="40" t="s">
        <v>63</v>
      </c>
      <c r="C772" s="10">
        <v>113</v>
      </c>
      <c r="D772" s="10">
        <v>872</v>
      </c>
      <c r="E772" s="10" t="s">
        <v>98</v>
      </c>
    </row>
    <row r="773" spans="1:22" x14ac:dyDescent="0.35">
      <c r="A773" s="13">
        <v>42468</v>
      </c>
      <c r="B773" s="40" t="s">
        <v>63</v>
      </c>
      <c r="C773" s="10">
        <v>93</v>
      </c>
      <c r="D773" s="10">
        <v>987</v>
      </c>
      <c r="E773" s="10" t="s">
        <v>98</v>
      </c>
    </row>
    <row r="774" spans="1:22" x14ac:dyDescent="0.35">
      <c r="A774" s="13">
        <v>42468</v>
      </c>
      <c r="B774" s="40" t="s">
        <v>63</v>
      </c>
      <c r="C774" s="10">
        <v>108</v>
      </c>
      <c r="D774" s="10">
        <v>1773</v>
      </c>
      <c r="E774" s="10" t="s">
        <v>98</v>
      </c>
    </row>
    <row r="775" spans="1:22" x14ac:dyDescent="0.35">
      <c r="A775" s="13">
        <v>42468</v>
      </c>
      <c r="B775" s="40" t="s">
        <v>63</v>
      </c>
      <c r="C775" s="10">
        <v>107</v>
      </c>
      <c r="D775" s="10">
        <v>1489</v>
      </c>
      <c r="E775" s="10" t="s">
        <v>98</v>
      </c>
    </row>
    <row r="776" spans="1:22" x14ac:dyDescent="0.35">
      <c r="A776" s="13">
        <v>42468</v>
      </c>
      <c r="B776" s="40" t="s">
        <v>63</v>
      </c>
      <c r="C776" s="10">
        <v>66</v>
      </c>
      <c r="D776" s="10">
        <v>208</v>
      </c>
      <c r="E776" s="10" t="s">
        <v>36</v>
      </c>
    </row>
    <row r="777" spans="1:22" s="4" customFormat="1" x14ac:dyDescent="0.35">
      <c r="A777" s="3">
        <v>42468</v>
      </c>
      <c r="B777" s="44" t="s">
        <v>63</v>
      </c>
      <c r="C777" s="11">
        <v>69</v>
      </c>
      <c r="D777" s="11">
        <v>271</v>
      </c>
      <c r="E777" s="11" t="s">
        <v>33</v>
      </c>
    </row>
    <row r="778" spans="1:22" x14ac:dyDescent="0.35">
      <c r="A778" s="13">
        <v>42468</v>
      </c>
      <c r="B778" s="40" t="s">
        <v>66</v>
      </c>
      <c r="C778" s="10">
        <v>104</v>
      </c>
      <c r="D778" s="10">
        <v>1493</v>
      </c>
      <c r="E778" s="10" t="s">
        <v>98</v>
      </c>
    </row>
    <row r="779" spans="1:22" x14ac:dyDescent="0.35">
      <c r="A779" s="13">
        <v>42468</v>
      </c>
      <c r="B779" s="40" t="s">
        <v>66</v>
      </c>
      <c r="C779" s="10">
        <v>95</v>
      </c>
      <c r="D779" s="10">
        <v>1036</v>
      </c>
      <c r="E779" s="10" t="s">
        <v>98</v>
      </c>
    </row>
    <row r="780" spans="1:22" x14ac:dyDescent="0.35">
      <c r="A780" s="13">
        <v>42468</v>
      </c>
      <c r="B780" s="40" t="s">
        <v>66</v>
      </c>
      <c r="C780" s="10">
        <v>106</v>
      </c>
      <c r="D780" s="10">
        <v>1222</v>
      </c>
      <c r="E780" s="10" t="s">
        <v>98</v>
      </c>
    </row>
    <row r="781" spans="1:22" x14ac:dyDescent="0.35">
      <c r="A781" s="13">
        <v>42468</v>
      </c>
      <c r="B781" s="40" t="s">
        <v>66</v>
      </c>
      <c r="C781" s="10">
        <v>142</v>
      </c>
      <c r="D781" s="10">
        <v>2335</v>
      </c>
      <c r="E781" s="10" t="s">
        <v>98</v>
      </c>
    </row>
    <row r="782" spans="1:22" x14ac:dyDescent="0.35">
      <c r="A782" s="13">
        <v>42468</v>
      </c>
      <c r="B782" s="40" t="s">
        <v>66</v>
      </c>
      <c r="C782" s="10">
        <v>113</v>
      </c>
      <c r="D782" s="10">
        <v>1258</v>
      </c>
      <c r="E782" s="10" t="s">
        <v>98</v>
      </c>
    </row>
    <row r="783" spans="1:22" s="4" customFormat="1" x14ac:dyDescent="0.35">
      <c r="A783" s="3">
        <v>42468</v>
      </c>
      <c r="B783" s="44" t="s">
        <v>66</v>
      </c>
      <c r="C783" s="11">
        <v>74</v>
      </c>
      <c r="D783" s="11">
        <v>432</v>
      </c>
      <c r="E783" s="11" t="s">
        <v>37</v>
      </c>
    </row>
    <row r="784" spans="1:22" x14ac:dyDescent="0.35">
      <c r="A784" s="13">
        <v>42468</v>
      </c>
      <c r="B784" s="40" t="s">
        <v>102</v>
      </c>
      <c r="C784" s="10">
        <v>109</v>
      </c>
      <c r="D784" s="10">
        <v>1297</v>
      </c>
      <c r="E784" s="10" t="s">
        <v>98</v>
      </c>
    </row>
    <row r="785" spans="1:30" x14ac:dyDescent="0.35">
      <c r="A785" s="13">
        <v>42468</v>
      </c>
      <c r="B785" s="40" t="s">
        <v>102</v>
      </c>
      <c r="C785" s="10">
        <v>101</v>
      </c>
      <c r="D785" s="10">
        <v>1338</v>
      </c>
      <c r="E785" s="10" t="s">
        <v>98</v>
      </c>
    </row>
    <row r="786" spans="1:30" s="4" customFormat="1" x14ac:dyDescent="0.35">
      <c r="A786" s="3">
        <v>42468</v>
      </c>
      <c r="B786" s="44" t="s">
        <v>102</v>
      </c>
      <c r="C786" s="11">
        <v>114</v>
      </c>
      <c r="D786" s="11">
        <v>1746</v>
      </c>
      <c r="E786" s="11" t="s">
        <v>98</v>
      </c>
    </row>
    <row r="787" spans="1:30" s="22" customFormat="1" x14ac:dyDescent="0.35">
      <c r="A787" s="19">
        <v>42468</v>
      </c>
      <c r="B787" s="71" t="s">
        <v>103</v>
      </c>
      <c r="C787" s="20">
        <v>117</v>
      </c>
      <c r="D787" s="20">
        <v>2235</v>
      </c>
      <c r="E787" s="20" t="s">
        <v>98</v>
      </c>
      <c r="T787" s="22" t="s">
        <v>119</v>
      </c>
    </row>
    <row r="788" spans="1:30" s="22" customFormat="1" x14ac:dyDescent="0.35">
      <c r="A788" s="19">
        <v>42468</v>
      </c>
      <c r="B788" s="71" t="s">
        <v>104</v>
      </c>
      <c r="C788" s="20">
        <v>101</v>
      </c>
      <c r="D788" s="20">
        <v>1109</v>
      </c>
      <c r="E788" s="20" t="s">
        <v>98</v>
      </c>
      <c r="G788" s="52" t="e">
        <f>AVERAGE(#REF!,#REF!,#REF!)</f>
        <v>#REF!</v>
      </c>
      <c r="T788" s="22" t="s">
        <v>42</v>
      </c>
      <c r="U788" s="22" t="s">
        <v>39</v>
      </c>
      <c r="V788" s="22" t="s">
        <v>40</v>
      </c>
      <c r="W788" s="22" t="s">
        <v>36</v>
      </c>
      <c r="X788" s="22" t="s">
        <v>33</v>
      </c>
      <c r="Y788" s="22" t="s">
        <v>34</v>
      </c>
      <c r="Z788" s="22" t="s">
        <v>32</v>
      </c>
      <c r="AA788" s="22" t="s">
        <v>37</v>
      </c>
      <c r="AB788" s="22" t="s">
        <v>59</v>
      </c>
      <c r="AC788" s="22" t="s">
        <v>43</v>
      </c>
      <c r="AD788" s="22" t="s">
        <v>44</v>
      </c>
    </row>
    <row r="789" spans="1:30" x14ac:dyDescent="0.35">
      <c r="A789" s="2">
        <v>42468</v>
      </c>
      <c r="B789" s="70" t="s">
        <v>41</v>
      </c>
      <c r="C789">
        <v>70</v>
      </c>
      <c r="D789">
        <v>269</v>
      </c>
      <c r="E789" t="s">
        <v>33</v>
      </c>
      <c r="T789" s="27">
        <f>COUNTIF(E587:E790,"VA")</f>
        <v>0</v>
      </c>
      <c r="U789" s="27">
        <f>COUNTIF(E587:E790,"VB")</f>
        <v>0</v>
      </c>
      <c r="V789" s="27">
        <f>COUNTIF(E587:E790,"VIA0")</f>
        <v>0</v>
      </c>
      <c r="W789" s="27">
        <f>COUNTIF(E587:E790,"VIA1")</f>
        <v>1</v>
      </c>
      <c r="X789" s="27">
        <f>COUNTIF(E587:E790,"VIA2")</f>
        <v>27</v>
      </c>
      <c r="Y789" s="27">
        <v>56</v>
      </c>
      <c r="Z789" s="27">
        <v>20</v>
      </c>
      <c r="AA789" s="27">
        <f>COUNTIF(E587:E790,"VIB")</f>
        <v>1</v>
      </c>
      <c r="AB789" s="5">
        <f>COUNTIF(E587:E790,"potlood")</f>
        <v>98</v>
      </c>
      <c r="AC789" s="8">
        <f>AVERAGE(C789:C790,C783,C776:C777,C722:C771,C633:C682)</f>
        <v>70.066666666666663</v>
      </c>
      <c r="AD789" s="8">
        <f>AVERAGE(D789:D790,D783,D776:D777,D722:D771,D633:D682)</f>
        <v>286.79047619047617</v>
      </c>
    </row>
    <row r="790" spans="1:30" s="4" customFormat="1" x14ac:dyDescent="0.35">
      <c r="A790" s="3">
        <v>42468</v>
      </c>
      <c r="B790" s="44" t="s">
        <v>41</v>
      </c>
      <c r="C790" s="4">
        <v>73</v>
      </c>
      <c r="D790" s="4">
        <v>288</v>
      </c>
      <c r="E790" s="4" t="s">
        <v>32</v>
      </c>
      <c r="T790" s="28">
        <f>T789/105*100</f>
        <v>0</v>
      </c>
      <c r="U790" s="28">
        <f t="shared" ref="U790:AA790" si="46">U789/105*100</f>
        <v>0</v>
      </c>
      <c r="V790" s="28">
        <f t="shared" si="46"/>
        <v>0</v>
      </c>
      <c r="W790" s="28">
        <f t="shared" si="46"/>
        <v>0.95238095238095244</v>
      </c>
      <c r="X790" s="28">
        <f t="shared" si="46"/>
        <v>25.714285714285712</v>
      </c>
      <c r="Y790" s="28">
        <f t="shared" si="46"/>
        <v>53.333333333333336</v>
      </c>
      <c r="Z790" s="28">
        <f t="shared" si="46"/>
        <v>19.047619047619047</v>
      </c>
      <c r="AA790" s="28">
        <f t="shared" si="46"/>
        <v>0.95238095238095244</v>
      </c>
    </row>
    <row r="791" spans="1:30" s="22" customFormat="1" x14ac:dyDescent="0.35">
      <c r="A791" s="19">
        <v>42468</v>
      </c>
      <c r="B791" s="72" t="s">
        <v>100</v>
      </c>
      <c r="C791" s="20">
        <v>72</v>
      </c>
      <c r="D791" s="20">
        <v>307</v>
      </c>
      <c r="E791" s="20" t="s">
        <v>39</v>
      </c>
    </row>
    <row r="792" spans="1:30" s="22" customFormat="1" x14ac:dyDescent="0.35">
      <c r="A792" s="19">
        <v>42468</v>
      </c>
      <c r="B792" s="72" t="s">
        <v>105</v>
      </c>
      <c r="C792" s="20">
        <v>68</v>
      </c>
      <c r="D792" s="20">
        <v>240</v>
      </c>
      <c r="E792" s="20" t="s">
        <v>39</v>
      </c>
    </row>
    <row r="793" spans="1:30" x14ac:dyDescent="0.35">
      <c r="A793" s="2">
        <v>42475</v>
      </c>
      <c r="B793" s="70" t="s">
        <v>29</v>
      </c>
      <c r="C793" s="10">
        <v>106</v>
      </c>
      <c r="D793" s="10">
        <v>1180</v>
      </c>
      <c r="E793" s="10" t="s">
        <v>98</v>
      </c>
    </row>
    <row r="794" spans="1:30" x14ac:dyDescent="0.35">
      <c r="A794" s="2">
        <v>42475</v>
      </c>
      <c r="B794" s="70" t="s">
        <v>29</v>
      </c>
      <c r="C794" s="10">
        <v>89</v>
      </c>
      <c r="D794" s="10">
        <v>917</v>
      </c>
      <c r="E794" s="10" t="s">
        <v>98</v>
      </c>
    </row>
    <row r="795" spans="1:30" x14ac:dyDescent="0.35">
      <c r="A795" s="2">
        <v>42475</v>
      </c>
      <c r="B795" s="70" t="s">
        <v>29</v>
      </c>
      <c r="C795" s="10">
        <v>102</v>
      </c>
      <c r="D795" s="10">
        <v>1089</v>
      </c>
      <c r="E795" s="10" t="s">
        <v>98</v>
      </c>
    </row>
    <row r="796" spans="1:30" x14ac:dyDescent="0.35">
      <c r="A796" s="2">
        <v>42475</v>
      </c>
      <c r="B796" s="70" t="s">
        <v>29</v>
      </c>
      <c r="C796" s="10">
        <v>129</v>
      </c>
      <c r="D796" s="10">
        <v>3146</v>
      </c>
      <c r="E796" s="10" t="s">
        <v>98</v>
      </c>
    </row>
    <row r="797" spans="1:30" x14ac:dyDescent="0.35">
      <c r="A797" s="2">
        <v>42475</v>
      </c>
      <c r="B797" s="70" t="s">
        <v>29</v>
      </c>
      <c r="C797" s="10">
        <v>101</v>
      </c>
      <c r="D797" s="10">
        <v>1128</v>
      </c>
      <c r="E797" s="10" t="s">
        <v>98</v>
      </c>
    </row>
    <row r="798" spans="1:30" x14ac:dyDescent="0.35">
      <c r="A798" s="2">
        <v>42475</v>
      </c>
      <c r="B798" s="70" t="s">
        <v>29</v>
      </c>
      <c r="C798" s="10">
        <v>100</v>
      </c>
      <c r="D798" s="10">
        <v>1224</v>
      </c>
      <c r="E798" s="10" t="s">
        <v>98</v>
      </c>
    </row>
    <row r="799" spans="1:30" x14ac:dyDescent="0.35">
      <c r="A799" s="2">
        <v>42475</v>
      </c>
      <c r="B799" s="70" t="s">
        <v>29</v>
      </c>
      <c r="C799" s="10">
        <v>104</v>
      </c>
      <c r="D799" s="10">
        <v>1462</v>
      </c>
      <c r="E799" s="10" t="s">
        <v>98</v>
      </c>
    </row>
    <row r="800" spans="1:30" x14ac:dyDescent="0.35">
      <c r="A800" s="2">
        <v>42475</v>
      </c>
      <c r="B800" s="70" t="s">
        <v>29</v>
      </c>
      <c r="C800" s="10">
        <v>106</v>
      </c>
      <c r="D800" s="10">
        <v>1640</v>
      </c>
      <c r="E800" s="10" t="s">
        <v>98</v>
      </c>
    </row>
    <row r="801" spans="1:5" x14ac:dyDescent="0.35">
      <c r="A801" s="2">
        <v>42475</v>
      </c>
      <c r="B801" s="70" t="s">
        <v>29</v>
      </c>
      <c r="C801" s="10">
        <v>90</v>
      </c>
      <c r="D801" s="10">
        <v>925</v>
      </c>
      <c r="E801" s="10" t="s">
        <v>98</v>
      </c>
    </row>
    <row r="802" spans="1:5" x14ac:dyDescent="0.35">
      <c r="A802" s="2">
        <v>42475</v>
      </c>
      <c r="B802" s="70" t="s">
        <v>29</v>
      </c>
      <c r="C802" s="10">
        <v>94</v>
      </c>
      <c r="D802" s="10">
        <v>1084</v>
      </c>
      <c r="E802" s="10" t="s">
        <v>98</v>
      </c>
    </row>
    <row r="803" spans="1:5" x14ac:dyDescent="0.35">
      <c r="A803" s="2">
        <v>42475</v>
      </c>
      <c r="B803" s="70" t="s">
        <v>29</v>
      </c>
      <c r="C803" s="10">
        <v>111</v>
      </c>
      <c r="D803" s="10">
        <v>2178</v>
      </c>
      <c r="E803" s="10" t="s">
        <v>98</v>
      </c>
    </row>
    <row r="804" spans="1:5" x14ac:dyDescent="0.35">
      <c r="A804" s="2">
        <v>42475</v>
      </c>
      <c r="B804" s="70" t="s">
        <v>29</v>
      </c>
      <c r="C804" s="10">
        <v>95</v>
      </c>
      <c r="D804" s="10">
        <v>1455</v>
      </c>
      <c r="E804" s="10" t="s">
        <v>98</v>
      </c>
    </row>
    <row r="805" spans="1:5" x14ac:dyDescent="0.35">
      <c r="A805" s="2">
        <v>42475</v>
      </c>
      <c r="B805" s="70" t="s">
        <v>29</v>
      </c>
      <c r="C805" s="10">
        <v>101</v>
      </c>
      <c r="D805" s="10">
        <v>1115</v>
      </c>
      <c r="E805" s="10" t="s">
        <v>98</v>
      </c>
    </row>
    <row r="806" spans="1:5" x14ac:dyDescent="0.35">
      <c r="A806" s="2">
        <v>42475</v>
      </c>
      <c r="B806" s="70" t="s">
        <v>29</v>
      </c>
      <c r="C806" s="10">
        <v>102</v>
      </c>
      <c r="D806" s="10">
        <v>1132</v>
      </c>
      <c r="E806" s="10" t="s">
        <v>98</v>
      </c>
    </row>
    <row r="807" spans="1:5" x14ac:dyDescent="0.35">
      <c r="A807" s="2">
        <v>42475</v>
      </c>
      <c r="B807" s="70" t="s">
        <v>29</v>
      </c>
      <c r="C807" s="10">
        <v>98</v>
      </c>
      <c r="D807" s="10">
        <v>1238</v>
      </c>
      <c r="E807" s="10" t="s">
        <v>98</v>
      </c>
    </row>
    <row r="808" spans="1:5" x14ac:dyDescent="0.35">
      <c r="A808" s="2">
        <v>42475</v>
      </c>
      <c r="B808" s="70" t="s">
        <v>29</v>
      </c>
      <c r="C808" s="10">
        <v>99</v>
      </c>
      <c r="D808" s="10">
        <v>1198</v>
      </c>
      <c r="E808" s="10" t="s">
        <v>98</v>
      </c>
    </row>
    <row r="809" spans="1:5" x14ac:dyDescent="0.35">
      <c r="A809" s="2">
        <v>42475</v>
      </c>
      <c r="B809" s="70" t="s">
        <v>29</v>
      </c>
      <c r="C809" s="10">
        <v>91</v>
      </c>
      <c r="D809" s="10">
        <v>882</v>
      </c>
      <c r="E809" s="10" t="s">
        <v>98</v>
      </c>
    </row>
    <row r="810" spans="1:5" x14ac:dyDescent="0.35">
      <c r="A810" s="2">
        <v>42475</v>
      </c>
      <c r="B810" s="70" t="s">
        <v>29</v>
      </c>
      <c r="C810" s="10">
        <v>100</v>
      </c>
      <c r="D810" s="10">
        <v>1172</v>
      </c>
      <c r="E810" s="10" t="s">
        <v>98</v>
      </c>
    </row>
    <row r="811" spans="1:5" x14ac:dyDescent="0.35">
      <c r="A811" s="2">
        <v>42475</v>
      </c>
      <c r="B811" s="70" t="s">
        <v>29</v>
      </c>
      <c r="C811" s="10">
        <v>93</v>
      </c>
      <c r="D811" s="10">
        <v>906</v>
      </c>
      <c r="E811" s="10" t="s">
        <v>98</v>
      </c>
    </row>
    <row r="812" spans="1:5" x14ac:dyDescent="0.35">
      <c r="A812" s="2">
        <v>42475</v>
      </c>
      <c r="B812" s="70" t="s">
        <v>29</v>
      </c>
      <c r="C812" s="10">
        <v>109</v>
      </c>
      <c r="D812" s="10">
        <v>1869</v>
      </c>
      <c r="E812" s="10" t="s">
        <v>98</v>
      </c>
    </row>
    <row r="813" spans="1:5" x14ac:dyDescent="0.35">
      <c r="A813" s="2">
        <v>42475</v>
      </c>
      <c r="B813" s="70" t="s">
        <v>29</v>
      </c>
      <c r="C813" s="10">
        <v>102</v>
      </c>
      <c r="D813" s="10">
        <v>1061</v>
      </c>
      <c r="E813" s="10" t="s">
        <v>98</v>
      </c>
    </row>
    <row r="814" spans="1:5" x14ac:dyDescent="0.35">
      <c r="A814" s="2">
        <v>42475</v>
      </c>
      <c r="B814" s="70" t="s">
        <v>29</v>
      </c>
      <c r="C814" s="55">
        <v>82</v>
      </c>
      <c r="D814" s="55">
        <v>837</v>
      </c>
      <c r="E814" s="55" t="s">
        <v>159</v>
      </c>
    </row>
    <row r="815" spans="1:5" x14ac:dyDescent="0.35">
      <c r="A815" s="2">
        <v>42475</v>
      </c>
      <c r="B815" s="70" t="s">
        <v>29</v>
      </c>
      <c r="C815" s="10">
        <v>96</v>
      </c>
      <c r="D815" s="10">
        <v>937</v>
      </c>
      <c r="E815" s="10" t="s">
        <v>98</v>
      </c>
    </row>
    <row r="816" spans="1:5" x14ac:dyDescent="0.35">
      <c r="A816" s="2">
        <v>42475</v>
      </c>
      <c r="B816" s="70" t="s">
        <v>29</v>
      </c>
      <c r="C816" s="10">
        <v>96</v>
      </c>
      <c r="D816" s="10">
        <v>1024</v>
      </c>
      <c r="E816" s="10" t="s">
        <v>98</v>
      </c>
    </row>
    <row r="817" spans="1:5" x14ac:dyDescent="0.35">
      <c r="A817" s="2">
        <v>42475</v>
      </c>
      <c r="B817" s="70" t="s">
        <v>29</v>
      </c>
      <c r="C817" s="10">
        <v>112</v>
      </c>
      <c r="D817" s="10">
        <v>1836</v>
      </c>
      <c r="E817" s="10" t="s">
        <v>98</v>
      </c>
    </row>
    <row r="818" spans="1:5" x14ac:dyDescent="0.35">
      <c r="A818" s="2">
        <v>42475</v>
      </c>
      <c r="B818" s="70" t="s">
        <v>29</v>
      </c>
      <c r="C818" s="10">
        <v>109</v>
      </c>
      <c r="D818" s="10">
        <v>1375</v>
      </c>
      <c r="E818" s="10" t="s">
        <v>98</v>
      </c>
    </row>
    <row r="819" spans="1:5" x14ac:dyDescent="0.35">
      <c r="A819" s="2">
        <v>42475</v>
      </c>
      <c r="B819" s="70" t="s">
        <v>29</v>
      </c>
      <c r="C819" s="10">
        <v>117</v>
      </c>
      <c r="D819" s="10">
        <v>2566</v>
      </c>
      <c r="E819" s="10" t="s">
        <v>98</v>
      </c>
    </row>
    <row r="820" spans="1:5" x14ac:dyDescent="0.35">
      <c r="A820" s="2">
        <v>42475</v>
      </c>
      <c r="B820" s="70" t="s">
        <v>29</v>
      </c>
      <c r="C820" s="10">
        <v>129</v>
      </c>
      <c r="D820" s="10">
        <v>2963</v>
      </c>
      <c r="E820" s="10" t="s">
        <v>98</v>
      </c>
    </row>
    <row r="821" spans="1:5" x14ac:dyDescent="0.35">
      <c r="A821" s="2">
        <v>42475</v>
      </c>
      <c r="B821" s="70" t="s">
        <v>29</v>
      </c>
      <c r="C821" s="10">
        <v>97</v>
      </c>
      <c r="D821" s="10">
        <v>1060</v>
      </c>
      <c r="E821" s="10" t="s">
        <v>98</v>
      </c>
    </row>
    <row r="822" spans="1:5" x14ac:dyDescent="0.35">
      <c r="A822" s="2">
        <v>42475</v>
      </c>
      <c r="B822" s="70" t="s">
        <v>29</v>
      </c>
      <c r="C822" s="10">
        <v>89</v>
      </c>
      <c r="D822" s="10">
        <v>967</v>
      </c>
      <c r="E822" s="10" t="s">
        <v>98</v>
      </c>
    </row>
    <row r="823" spans="1:5" x14ac:dyDescent="0.35">
      <c r="A823" s="2">
        <v>42475</v>
      </c>
      <c r="B823" s="70" t="s">
        <v>29</v>
      </c>
      <c r="C823" s="10">
        <v>91</v>
      </c>
      <c r="D823" s="10">
        <v>987</v>
      </c>
      <c r="E823" s="10" t="s">
        <v>98</v>
      </c>
    </row>
    <row r="824" spans="1:5" x14ac:dyDescent="0.35">
      <c r="A824" s="2">
        <v>42475</v>
      </c>
      <c r="B824" s="70" t="s">
        <v>29</v>
      </c>
      <c r="C824" s="10">
        <v>102</v>
      </c>
      <c r="D824" s="10">
        <v>1604</v>
      </c>
      <c r="E824" s="10" t="s">
        <v>98</v>
      </c>
    </row>
    <row r="825" spans="1:5" x14ac:dyDescent="0.35">
      <c r="A825" s="2">
        <v>42475</v>
      </c>
      <c r="B825" s="70" t="s">
        <v>29</v>
      </c>
      <c r="C825" s="10">
        <v>105</v>
      </c>
      <c r="D825" s="10">
        <v>1705</v>
      </c>
      <c r="E825" s="10" t="s">
        <v>98</v>
      </c>
    </row>
    <row r="826" spans="1:5" x14ac:dyDescent="0.35">
      <c r="A826" s="2">
        <v>42475</v>
      </c>
      <c r="B826" s="70" t="s">
        <v>29</v>
      </c>
      <c r="C826" s="10">
        <v>98</v>
      </c>
      <c r="D826" s="10">
        <v>1615</v>
      </c>
      <c r="E826" s="10" t="s">
        <v>98</v>
      </c>
    </row>
    <row r="827" spans="1:5" x14ac:dyDescent="0.35">
      <c r="A827" s="2">
        <v>42475</v>
      </c>
      <c r="B827" s="70" t="s">
        <v>29</v>
      </c>
      <c r="C827" s="10">
        <v>92</v>
      </c>
      <c r="D827" s="10">
        <v>886</v>
      </c>
      <c r="E827" s="10" t="s">
        <v>98</v>
      </c>
    </row>
    <row r="828" spans="1:5" x14ac:dyDescent="0.35">
      <c r="A828" s="2">
        <v>42475</v>
      </c>
      <c r="B828" s="70" t="s">
        <v>29</v>
      </c>
      <c r="C828" s="10">
        <v>104</v>
      </c>
      <c r="D828" s="10">
        <v>1273</v>
      </c>
      <c r="E828" s="10" t="s">
        <v>98</v>
      </c>
    </row>
    <row r="829" spans="1:5" x14ac:dyDescent="0.35">
      <c r="A829" s="2">
        <v>42475</v>
      </c>
      <c r="B829" s="70" t="s">
        <v>29</v>
      </c>
      <c r="C829" s="10">
        <v>93</v>
      </c>
      <c r="D829" s="10">
        <v>1086</v>
      </c>
      <c r="E829" s="10" t="s">
        <v>98</v>
      </c>
    </row>
    <row r="830" spans="1:5" x14ac:dyDescent="0.35">
      <c r="A830" s="2">
        <v>42475</v>
      </c>
      <c r="B830" s="70" t="s">
        <v>29</v>
      </c>
      <c r="C830" s="10">
        <v>107</v>
      </c>
      <c r="D830" s="10">
        <v>1730</v>
      </c>
      <c r="E830" s="10" t="s">
        <v>98</v>
      </c>
    </row>
    <row r="831" spans="1:5" x14ac:dyDescent="0.35">
      <c r="A831" s="2">
        <v>42475</v>
      </c>
      <c r="B831" s="70" t="s">
        <v>29</v>
      </c>
      <c r="C831" s="10">
        <v>97</v>
      </c>
      <c r="D831" s="10">
        <v>1364</v>
      </c>
      <c r="E831" s="10" t="s">
        <v>98</v>
      </c>
    </row>
    <row r="832" spans="1:5" x14ac:dyDescent="0.35">
      <c r="A832" s="2">
        <v>42475</v>
      </c>
      <c r="B832" s="70" t="s">
        <v>29</v>
      </c>
      <c r="C832" s="10">
        <v>96</v>
      </c>
      <c r="D832" s="10">
        <v>1214</v>
      </c>
      <c r="E832" s="10" t="s">
        <v>98</v>
      </c>
    </row>
    <row r="833" spans="1:7" x14ac:dyDescent="0.35">
      <c r="A833" s="2">
        <v>42475</v>
      </c>
      <c r="B833" s="70" t="s">
        <v>29</v>
      </c>
      <c r="C833" s="10">
        <v>91</v>
      </c>
      <c r="D833" s="10">
        <v>945</v>
      </c>
      <c r="E833" s="10" t="s">
        <v>98</v>
      </c>
    </row>
    <row r="834" spans="1:7" x14ac:dyDescent="0.35">
      <c r="A834" s="2">
        <v>42475</v>
      </c>
      <c r="B834" s="70" t="s">
        <v>29</v>
      </c>
      <c r="C834" s="10">
        <v>102</v>
      </c>
      <c r="D834" s="10">
        <v>1225</v>
      </c>
      <c r="E834" s="10" t="s">
        <v>98</v>
      </c>
      <c r="G834" s="42" t="e">
        <f>AVERAGE(#REF!)</f>
        <v>#REF!</v>
      </c>
    </row>
    <row r="835" spans="1:7" x14ac:dyDescent="0.35">
      <c r="A835" s="2">
        <v>42475</v>
      </c>
      <c r="B835" s="70" t="s">
        <v>29</v>
      </c>
      <c r="C835" s="10">
        <v>64</v>
      </c>
      <c r="D835" s="10">
        <v>187</v>
      </c>
      <c r="E835" s="10" t="s">
        <v>32</v>
      </c>
    </row>
    <row r="836" spans="1:7" x14ac:dyDescent="0.35">
      <c r="A836" s="2">
        <v>42475</v>
      </c>
      <c r="B836" s="70" t="s">
        <v>29</v>
      </c>
      <c r="C836" s="10">
        <v>74</v>
      </c>
      <c r="D836" s="10">
        <v>292</v>
      </c>
      <c r="E836" s="10" t="s">
        <v>32</v>
      </c>
    </row>
    <row r="837" spans="1:7" x14ac:dyDescent="0.35">
      <c r="A837" s="2">
        <v>42475</v>
      </c>
      <c r="B837" s="70" t="s">
        <v>29</v>
      </c>
      <c r="C837" s="10">
        <v>79</v>
      </c>
      <c r="D837" s="10">
        <v>484</v>
      </c>
      <c r="E837" s="10" t="s">
        <v>34</v>
      </c>
    </row>
    <row r="838" spans="1:7" x14ac:dyDescent="0.35">
      <c r="A838" s="2">
        <v>42475</v>
      </c>
      <c r="B838" s="70" t="s">
        <v>29</v>
      </c>
      <c r="C838" s="10">
        <v>68</v>
      </c>
      <c r="D838" s="10">
        <v>234</v>
      </c>
      <c r="E838" s="10" t="s">
        <v>32</v>
      </c>
    </row>
    <row r="839" spans="1:7" x14ac:dyDescent="0.35">
      <c r="A839" s="2">
        <v>42475</v>
      </c>
      <c r="B839" s="70" t="s">
        <v>29</v>
      </c>
      <c r="C839" s="10">
        <v>71</v>
      </c>
      <c r="D839" s="10">
        <v>256</v>
      </c>
      <c r="E839" s="10" t="s">
        <v>34</v>
      </c>
    </row>
    <row r="840" spans="1:7" x14ac:dyDescent="0.35">
      <c r="A840" s="2">
        <v>42475</v>
      </c>
      <c r="B840" s="70" t="s">
        <v>29</v>
      </c>
      <c r="C840" s="10">
        <v>69</v>
      </c>
      <c r="D840" s="10">
        <v>224</v>
      </c>
      <c r="E840" s="10" t="s">
        <v>32</v>
      </c>
    </row>
    <row r="841" spans="1:7" x14ac:dyDescent="0.35">
      <c r="A841" s="2">
        <v>42475</v>
      </c>
      <c r="B841" s="70" t="s">
        <v>29</v>
      </c>
      <c r="C841" s="10">
        <v>72</v>
      </c>
      <c r="D841" s="10">
        <v>291</v>
      </c>
      <c r="E841" s="10" t="s">
        <v>32</v>
      </c>
    </row>
    <row r="842" spans="1:7" x14ac:dyDescent="0.35">
      <c r="A842" s="2">
        <v>42475</v>
      </c>
      <c r="B842" s="70" t="s">
        <v>29</v>
      </c>
      <c r="C842" s="10">
        <v>63</v>
      </c>
      <c r="D842" s="10">
        <v>235</v>
      </c>
      <c r="E842" s="10" t="s">
        <v>32</v>
      </c>
    </row>
    <row r="843" spans="1:7" x14ac:dyDescent="0.35">
      <c r="A843" s="2">
        <v>42475</v>
      </c>
      <c r="B843" s="70" t="s">
        <v>29</v>
      </c>
      <c r="C843" s="10">
        <v>74</v>
      </c>
      <c r="D843" s="10">
        <v>349</v>
      </c>
      <c r="E843" s="10" t="s">
        <v>34</v>
      </c>
    </row>
    <row r="844" spans="1:7" x14ac:dyDescent="0.35">
      <c r="A844" s="2">
        <v>42475</v>
      </c>
      <c r="B844" s="70" t="s">
        <v>29</v>
      </c>
      <c r="C844" s="10">
        <v>76</v>
      </c>
      <c r="D844" s="10">
        <v>413</v>
      </c>
      <c r="E844" s="10" t="s">
        <v>32</v>
      </c>
    </row>
    <row r="845" spans="1:7" x14ac:dyDescent="0.35">
      <c r="A845" s="2">
        <v>42475</v>
      </c>
      <c r="B845" s="70" t="s">
        <v>29</v>
      </c>
      <c r="C845" s="10">
        <v>68</v>
      </c>
      <c r="D845" s="10">
        <v>340</v>
      </c>
      <c r="E845" s="10" t="s">
        <v>32</v>
      </c>
    </row>
    <row r="846" spans="1:7" x14ac:dyDescent="0.35">
      <c r="A846" s="2">
        <v>42475</v>
      </c>
      <c r="B846" s="70" t="s">
        <v>29</v>
      </c>
      <c r="C846" s="10">
        <v>64</v>
      </c>
      <c r="D846" s="10">
        <v>260</v>
      </c>
      <c r="E846" s="10" t="s">
        <v>32</v>
      </c>
    </row>
    <row r="847" spans="1:7" x14ac:dyDescent="0.35">
      <c r="A847" s="2">
        <v>42475</v>
      </c>
      <c r="B847" s="70" t="s">
        <v>29</v>
      </c>
      <c r="C847" s="10">
        <v>75</v>
      </c>
      <c r="D847" s="10">
        <v>340</v>
      </c>
      <c r="E847" s="10" t="s">
        <v>34</v>
      </c>
    </row>
    <row r="848" spans="1:7" x14ac:dyDescent="0.35">
      <c r="A848" s="2">
        <v>42475</v>
      </c>
      <c r="B848" s="70" t="s">
        <v>29</v>
      </c>
      <c r="C848" s="10">
        <v>70</v>
      </c>
      <c r="D848" s="10">
        <v>267</v>
      </c>
      <c r="E848" s="10" t="s">
        <v>32</v>
      </c>
    </row>
    <row r="849" spans="1:5" x14ac:dyDescent="0.35">
      <c r="A849" s="2">
        <v>42475</v>
      </c>
      <c r="B849" s="70" t="s">
        <v>29</v>
      </c>
      <c r="C849" s="10">
        <v>70</v>
      </c>
      <c r="D849" s="10">
        <v>310</v>
      </c>
      <c r="E849" s="10" t="s">
        <v>32</v>
      </c>
    </row>
    <row r="850" spans="1:5" x14ac:dyDescent="0.35">
      <c r="A850" s="2">
        <v>42475</v>
      </c>
      <c r="B850" s="70" t="s">
        <v>29</v>
      </c>
      <c r="C850" s="10">
        <v>72</v>
      </c>
      <c r="D850" s="10">
        <v>348</v>
      </c>
      <c r="E850" s="10" t="s">
        <v>32</v>
      </c>
    </row>
    <row r="851" spans="1:5" x14ac:dyDescent="0.35">
      <c r="A851" s="2">
        <v>42475</v>
      </c>
      <c r="B851" s="70" t="s">
        <v>29</v>
      </c>
      <c r="C851" s="10">
        <v>70</v>
      </c>
      <c r="D851" s="10">
        <v>324</v>
      </c>
      <c r="E851" s="10" t="s">
        <v>34</v>
      </c>
    </row>
    <row r="852" spans="1:5" x14ac:dyDescent="0.35">
      <c r="A852" s="2">
        <v>42475</v>
      </c>
      <c r="B852" s="70" t="s">
        <v>29</v>
      </c>
      <c r="C852" s="10">
        <v>72</v>
      </c>
      <c r="D852" s="10">
        <v>359</v>
      </c>
      <c r="E852" s="10" t="s">
        <v>32</v>
      </c>
    </row>
    <row r="853" spans="1:5" x14ac:dyDescent="0.35">
      <c r="A853" s="2">
        <v>42475</v>
      </c>
      <c r="B853" s="70" t="s">
        <v>29</v>
      </c>
      <c r="C853" s="10">
        <v>78</v>
      </c>
      <c r="D853" s="10">
        <v>416</v>
      </c>
      <c r="E853" s="10" t="s">
        <v>32</v>
      </c>
    </row>
    <row r="854" spans="1:5" x14ac:dyDescent="0.35">
      <c r="A854" s="2">
        <v>42475</v>
      </c>
      <c r="B854" s="70" t="s">
        <v>29</v>
      </c>
      <c r="C854" s="10">
        <v>75</v>
      </c>
      <c r="D854" s="10">
        <v>323</v>
      </c>
      <c r="E854" s="10" t="s">
        <v>34</v>
      </c>
    </row>
    <row r="855" spans="1:5" x14ac:dyDescent="0.35">
      <c r="A855" s="2">
        <v>42475</v>
      </c>
      <c r="B855" s="70" t="s">
        <v>29</v>
      </c>
      <c r="C855" s="10">
        <v>68</v>
      </c>
      <c r="D855" s="10">
        <v>251</v>
      </c>
      <c r="E855" s="10" t="s">
        <v>32</v>
      </c>
    </row>
    <row r="856" spans="1:5" x14ac:dyDescent="0.35">
      <c r="A856" s="2">
        <v>42475</v>
      </c>
      <c r="B856" s="70" t="s">
        <v>29</v>
      </c>
      <c r="C856" s="10">
        <v>72</v>
      </c>
      <c r="D856" s="10">
        <v>365</v>
      </c>
      <c r="E856" s="10" t="s">
        <v>34</v>
      </c>
    </row>
    <row r="857" spans="1:5" x14ac:dyDescent="0.35">
      <c r="A857" s="2">
        <v>42475</v>
      </c>
      <c r="B857" s="70" t="s">
        <v>29</v>
      </c>
      <c r="C857" s="10">
        <v>70</v>
      </c>
      <c r="D857" s="10">
        <v>257</v>
      </c>
      <c r="E857" s="10" t="s">
        <v>34</v>
      </c>
    </row>
    <row r="858" spans="1:5" x14ac:dyDescent="0.35">
      <c r="A858" s="2">
        <v>42475</v>
      </c>
      <c r="B858" s="70" t="s">
        <v>29</v>
      </c>
      <c r="C858" s="10">
        <v>68</v>
      </c>
      <c r="D858" s="10">
        <v>246</v>
      </c>
      <c r="E858" s="10" t="s">
        <v>32</v>
      </c>
    </row>
    <row r="859" spans="1:5" x14ac:dyDescent="0.35">
      <c r="A859" s="2">
        <v>42475</v>
      </c>
      <c r="B859" s="70" t="s">
        <v>29</v>
      </c>
      <c r="C859" s="10">
        <v>70</v>
      </c>
      <c r="D859" s="10">
        <v>236</v>
      </c>
      <c r="E859" s="10" t="s">
        <v>34</v>
      </c>
    </row>
    <row r="860" spans="1:5" x14ac:dyDescent="0.35">
      <c r="A860" s="2">
        <v>42475</v>
      </c>
      <c r="B860" s="70" t="s">
        <v>29</v>
      </c>
      <c r="C860" s="10">
        <v>74</v>
      </c>
      <c r="D860" s="10">
        <v>322</v>
      </c>
      <c r="E860" s="10" t="s">
        <v>32</v>
      </c>
    </row>
    <row r="861" spans="1:5" x14ac:dyDescent="0.35">
      <c r="A861" s="2">
        <v>42475</v>
      </c>
      <c r="B861" s="70" t="s">
        <v>29</v>
      </c>
      <c r="C861" s="10">
        <v>68</v>
      </c>
      <c r="D861" s="10">
        <v>257</v>
      </c>
      <c r="E861" s="10" t="s">
        <v>32</v>
      </c>
    </row>
    <row r="862" spans="1:5" x14ac:dyDescent="0.35">
      <c r="A862" s="2">
        <v>42475</v>
      </c>
      <c r="B862" s="70" t="s">
        <v>29</v>
      </c>
      <c r="C862" s="10">
        <v>73</v>
      </c>
      <c r="D862" s="10">
        <v>286</v>
      </c>
      <c r="E862" s="10" t="s">
        <v>34</v>
      </c>
    </row>
    <row r="863" spans="1:5" x14ac:dyDescent="0.35">
      <c r="A863" s="2">
        <v>42475</v>
      </c>
      <c r="B863" s="70" t="s">
        <v>29</v>
      </c>
      <c r="C863" s="10">
        <v>64</v>
      </c>
      <c r="D863" s="10">
        <v>280</v>
      </c>
      <c r="E863" s="10" t="s">
        <v>32</v>
      </c>
    </row>
    <row r="864" spans="1:5" x14ac:dyDescent="0.35">
      <c r="A864" s="2">
        <v>42475</v>
      </c>
      <c r="B864" s="70" t="s">
        <v>29</v>
      </c>
      <c r="C864" s="10">
        <v>65</v>
      </c>
      <c r="D864" s="10">
        <v>240</v>
      </c>
      <c r="E864" s="10" t="s">
        <v>32</v>
      </c>
    </row>
    <row r="865" spans="1:5" x14ac:dyDescent="0.35">
      <c r="A865" s="2">
        <v>42475</v>
      </c>
      <c r="B865" s="70" t="s">
        <v>29</v>
      </c>
      <c r="C865" s="10">
        <v>70</v>
      </c>
      <c r="D865" s="10">
        <v>288</v>
      </c>
      <c r="E865" s="10" t="s">
        <v>32</v>
      </c>
    </row>
    <row r="866" spans="1:5" x14ac:dyDescent="0.35">
      <c r="A866" s="2">
        <v>42475</v>
      </c>
      <c r="B866" s="70" t="s">
        <v>29</v>
      </c>
      <c r="C866" s="10">
        <v>65</v>
      </c>
      <c r="D866" s="10">
        <v>222</v>
      </c>
      <c r="E866" s="10" t="s">
        <v>34</v>
      </c>
    </row>
    <row r="867" spans="1:5" x14ac:dyDescent="0.35">
      <c r="A867" s="2">
        <v>42475</v>
      </c>
      <c r="B867" s="70" t="s">
        <v>29</v>
      </c>
      <c r="C867" s="10">
        <v>70</v>
      </c>
      <c r="D867" s="10">
        <v>287</v>
      </c>
      <c r="E867" s="10" t="s">
        <v>32</v>
      </c>
    </row>
    <row r="868" spans="1:5" x14ac:dyDescent="0.35">
      <c r="A868" s="2">
        <v>42475</v>
      </c>
      <c r="B868" s="70" t="s">
        <v>29</v>
      </c>
      <c r="C868" s="10">
        <v>75</v>
      </c>
      <c r="D868" s="10">
        <v>359</v>
      </c>
      <c r="E868" s="10" t="s">
        <v>32</v>
      </c>
    </row>
    <row r="869" spans="1:5" x14ac:dyDescent="0.35">
      <c r="A869" s="2">
        <v>42475</v>
      </c>
      <c r="B869" s="70" t="s">
        <v>29</v>
      </c>
      <c r="C869" s="10">
        <v>61</v>
      </c>
      <c r="D869" s="10">
        <v>154</v>
      </c>
      <c r="E869" s="10" t="s">
        <v>32</v>
      </c>
    </row>
    <row r="870" spans="1:5" x14ac:dyDescent="0.35">
      <c r="A870" s="2">
        <v>42475</v>
      </c>
      <c r="B870" s="70" t="s">
        <v>29</v>
      </c>
      <c r="C870" s="10">
        <v>66</v>
      </c>
      <c r="D870" s="10">
        <v>238</v>
      </c>
      <c r="E870" s="10" t="s">
        <v>32</v>
      </c>
    </row>
    <row r="871" spans="1:5" x14ac:dyDescent="0.35">
      <c r="A871" s="2">
        <v>42475</v>
      </c>
      <c r="B871" s="70" t="s">
        <v>29</v>
      </c>
      <c r="C871" s="10">
        <v>71</v>
      </c>
      <c r="D871" s="10">
        <v>276</v>
      </c>
      <c r="E871" s="10" t="s">
        <v>34</v>
      </c>
    </row>
    <row r="872" spans="1:5" x14ac:dyDescent="0.35">
      <c r="A872" s="2">
        <v>42475</v>
      </c>
      <c r="B872" s="70" t="s">
        <v>29</v>
      </c>
      <c r="C872" s="10">
        <v>75</v>
      </c>
      <c r="D872" s="10">
        <v>303</v>
      </c>
      <c r="E872" s="10" t="s">
        <v>34</v>
      </c>
    </row>
    <row r="873" spans="1:5" x14ac:dyDescent="0.35">
      <c r="A873" s="2">
        <v>42475</v>
      </c>
      <c r="B873" s="70" t="s">
        <v>29</v>
      </c>
      <c r="C873" s="10">
        <v>68</v>
      </c>
      <c r="D873" s="10">
        <v>202</v>
      </c>
      <c r="E873" s="10" t="s">
        <v>34</v>
      </c>
    </row>
    <row r="874" spans="1:5" x14ac:dyDescent="0.35">
      <c r="A874" s="2">
        <v>42475</v>
      </c>
      <c r="B874" s="70" t="s">
        <v>29</v>
      </c>
      <c r="C874" s="10">
        <v>61</v>
      </c>
      <c r="D874" s="10">
        <v>195</v>
      </c>
      <c r="E874" s="10" t="s">
        <v>32</v>
      </c>
    </row>
    <row r="875" spans="1:5" x14ac:dyDescent="0.35">
      <c r="A875" s="2">
        <v>42475</v>
      </c>
      <c r="B875" s="70" t="s">
        <v>29</v>
      </c>
      <c r="C875" s="10">
        <v>71</v>
      </c>
      <c r="D875" s="10">
        <v>296</v>
      </c>
      <c r="E875" s="10" t="s">
        <v>32</v>
      </c>
    </row>
    <row r="876" spans="1:5" x14ac:dyDescent="0.35">
      <c r="A876" s="2">
        <v>42475</v>
      </c>
      <c r="B876" s="70" t="s">
        <v>29</v>
      </c>
      <c r="C876" s="10">
        <v>76</v>
      </c>
      <c r="D876" s="10">
        <v>370</v>
      </c>
      <c r="E876" s="10" t="s">
        <v>32</v>
      </c>
    </row>
    <row r="877" spans="1:5" x14ac:dyDescent="0.35">
      <c r="A877" s="2">
        <v>42475</v>
      </c>
      <c r="B877" s="70" t="s">
        <v>29</v>
      </c>
      <c r="C877" s="10">
        <v>74</v>
      </c>
      <c r="D877" s="10">
        <v>399</v>
      </c>
      <c r="E877" s="10" t="s">
        <v>33</v>
      </c>
    </row>
    <row r="878" spans="1:5" x14ac:dyDescent="0.35">
      <c r="A878" s="2">
        <v>42475</v>
      </c>
      <c r="B878" s="70" t="s">
        <v>29</v>
      </c>
      <c r="C878" s="10">
        <v>72</v>
      </c>
      <c r="D878" s="10">
        <v>298</v>
      </c>
      <c r="E878" s="10" t="s">
        <v>34</v>
      </c>
    </row>
    <row r="879" spans="1:5" x14ac:dyDescent="0.35">
      <c r="A879" s="2">
        <v>42475</v>
      </c>
      <c r="B879" s="70" t="s">
        <v>29</v>
      </c>
      <c r="C879" s="10">
        <v>71</v>
      </c>
      <c r="D879" s="10">
        <v>278</v>
      </c>
      <c r="E879" s="10" t="s">
        <v>32</v>
      </c>
    </row>
    <row r="880" spans="1:5" x14ac:dyDescent="0.35">
      <c r="A880" s="2">
        <v>42475</v>
      </c>
      <c r="B880" s="70" t="s">
        <v>29</v>
      </c>
      <c r="C880" s="10">
        <v>74</v>
      </c>
      <c r="D880" s="10">
        <v>329</v>
      </c>
      <c r="E880" s="10" t="s">
        <v>32</v>
      </c>
    </row>
    <row r="881" spans="1:19" x14ac:dyDescent="0.35">
      <c r="A881" s="2">
        <v>42475</v>
      </c>
      <c r="B881" s="70" t="s">
        <v>29</v>
      </c>
      <c r="C881" s="10">
        <v>68</v>
      </c>
      <c r="D881" s="10">
        <v>208</v>
      </c>
      <c r="E881" s="10" t="s">
        <v>34</v>
      </c>
    </row>
    <row r="882" spans="1:19" x14ac:dyDescent="0.35">
      <c r="A882" s="2">
        <v>42475</v>
      </c>
      <c r="B882" s="70" t="s">
        <v>29</v>
      </c>
      <c r="C882" s="10">
        <v>63</v>
      </c>
      <c r="D882" s="10">
        <v>170</v>
      </c>
      <c r="E882" s="10" t="s">
        <v>32</v>
      </c>
      <c r="G882" t="s">
        <v>42</v>
      </c>
      <c r="H882" t="s">
        <v>39</v>
      </c>
      <c r="I882" t="s">
        <v>40</v>
      </c>
      <c r="J882" t="s">
        <v>36</v>
      </c>
      <c r="K882" t="s">
        <v>33</v>
      </c>
      <c r="L882" t="s">
        <v>34</v>
      </c>
      <c r="M882" t="s">
        <v>32</v>
      </c>
      <c r="N882" t="s">
        <v>37</v>
      </c>
      <c r="P882" t="s">
        <v>43</v>
      </c>
      <c r="Q882" t="s">
        <v>44</v>
      </c>
    </row>
    <row r="883" spans="1:19" x14ac:dyDescent="0.35">
      <c r="A883" s="2">
        <v>42475</v>
      </c>
      <c r="B883" s="70" t="s">
        <v>29</v>
      </c>
      <c r="C883" s="10">
        <v>72</v>
      </c>
      <c r="D883" s="10">
        <v>265</v>
      </c>
      <c r="E883" s="10" t="s">
        <v>32</v>
      </c>
      <c r="G883" s="5">
        <f>COUNTIF(E835:E884,"VA")</f>
        <v>0</v>
      </c>
      <c r="H883" s="5">
        <f>COUNTIF(E835:E884,"VB")</f>
        <v>0</v>
      </c>
      <c r="I883" s="5">
        <f>COUNTIF(E835:E884,"VIA0")</f>
        <v>0</v>
      </c>
      <c r="J883" s="5">
        <f>COUNTIF(E835:E884,"VIA1")</f>
        <v>0</v>
      </c>
      <c r="K883" s="5">
        <f>COUNTIF(E835:E884,"VIA2")</f>
        <v>1</v>
      </c>
      <c r="L883" s="5">
        <v>33</v>
      </c>
      <c r="M883" s="5">
        <v>16</v>
      </c>
      <c r="N883" s="5">
        <f>COUNTIF(E835:E884,"VIB")</f>
        <v>0</v>
      </c>
      <c r="P883" s="7">
        <f>AVERAGE(C835:C884)</f>
        <v>70.02</v>
      </c>
      <c r="Q883" s="8">
        <f>AVERAGE(D835:D884)</f>
        <v>286.27999999999997</v>
      </c>
      <c r="R883" s="8"/>
      <c r="S883" s="42" t="e">
        <f>AVERAGE(#REF!)</f>
        <v>#REF!</v>
      </c>
    </row>
    <row r="884" spans="1:19" s="4" customFormat="1" x14ac:dyDescent="0.35">
      <c r="A884" s="3">
        <v>42475</v>
      </c>
      <c r="B884" s="44" t="s">
        <v>29</v>
      </c>
      <c r="C884" s="11">
        <v>62</v>
      </c>
      <c r="D884" s="11">
        <v>185</v>
      </c>
      <c r="E884" s="11" t="s">
        <v>32</v>
      </c>
      <c r="G884" s="6">
        <f>G883/50*100</f>
        <v>0</v>
      </c>
      <c r="H884" s="6">
        <f t="shared" ref="H884:N884" si="47">H883/50*100</f>
        <v>0</v>
      </c>
      <c r="I884" s="6">
        <f t="shared" si="47"/>
        <v>0</v>
      </c>
      <c r="J884" s="6">
        <f t="shared" si="47"/>
        <v>0</v>
      </c>
      <c r="K884" s="6">
        <f t="shared" si="47"/>
        <v>2</v>
      </c>
      <c r="L884" s="6">
        <f t="shared" si="47"/>
        <v>66</v>
      </c>
      <c r="M884" s="6">
        <f t="shared" si="47"/>
        <v>32</v>
      </c>
      <c r="N884" s="6">
        <f t="shared" si="47"/>
        <v>0</v>
      </c>
    </row>
    <row r="885" spans="1:19" x14ac:dyDescent="0.35">
      <c r="A885" s="2">
        <v>42475</v>
      </c>
      <c r="B885" s="70" t="s">
        <v>38</v>
      </c>
      <c r="C885" s="10">
        <v>83</v>
      </c>
      <c r="D885" s="10">
        <v>858</v>
      </c>
      <c r="E885" s="10" t="s">
        <v>98</v>
      </c>
      <c r="F885" t="s">
        <v>111</v>
      </c>
    </row>
    <row r="886" spans="1:19" x14ac:dyDescent="0.35">
      <c r="A886" s="2">
        <v>42475</v>
      </c>
      <c r="B886" s="70" t="s">
        <v>38</v>
      </c>
      <c r="C886" s="10">
        <v>98</v>
      </c>
      <c r="D886" s="10">
        <v>1130</v>
      </c>
      <c r="E886" s="10" t="s">
        <v>98</v>
      </c>
    </row>
    <row r="887" spans="1:19" x14ac:dyDescent="0.35">
      <c r="A887" s="2">
        <v>42475</v>
      </c>
      <c r="B887" s="70" t="s">
        <v>38</v>
      </c>
      <c r="C887" s="10">
        <v>102</v>
      </c>
      <c r="D887" s="10">
        <v>1263</v>
      </c>
      <c r="E887" s="10" t="s">
        <v>98</v>
      </c>
    </row>
    <row r="888" spans="1:19" x14ac:dyDescent="0.35">
      <c r="A888" s="2">
        <v>42475</v>
      </c>
      <c r="B888" s="70" t="s">
        <v>38</v>
      </c>
      <c r="C888" s="10">
        <v>97</v>
      </c>
      <c r="D888" s="10">
        <v>876</v>
      </c>
      <c r="E888" s="10" t="s">
        <v>98</v>
      </c>
    </row>
    <row r="889" spans="1:19" x14ac:dyDescent="0.35">
      <c r="A889" s="2">
        <v>42475</v>
      </c>
      <c r="B889" s="70" t="s">
        <v>38</v>
      </c>
      <c r="C889" s="10">
        <v>99</v>
      </c>
      <c r="D889" s="10">
        <v>1195</v>
      </c>
      <c r="E889" s="10" t="s">
        <v>98</v>
      </c>
    </row>
    <row r="890" spans="1:19" x14ac:dyDescent="0.35">
      <c r="A890" s="2">
        <v>42475</v>
      </c>
      <c r="B890" s="70" t="s">
        <v>38</v>
      </c>
      <c r="C890" s="10">
        <v>103</v>
      </c>
      <c r="D890" s="10">
        <v>1201</v>
      </c>
      <c r="E890" s="10" t="s">
        <v>98</v>
      </c>
    </row>
    <row r="891" spans="1:19" x14ac:dyDescent="0.35">
      <c r="A891" s="2">
        <v>42475</v>
      </c>
      <c r="B891" s="70" t="s">
        <v>38</v>
      </c>
      <c r="C891" s="10">
        <v>106</v>
      </c>
      <c r="D891" s="10">
        <v>1628</v>
      </c>
      <c r="E891" s="10" t="s">
        <v>98</v>
      </c>
    </row>
    <row r="892" spans="1:19" x14ac:dyDescent="0.35">
      <c r="A892" s="2">
        <v>42475</v>
      </c>
      <c r="B892" s="70" t="s">
        <v>38</v>
      </c>
      <c r="C892" s="10">
        <v>103</v>
      </c>
      <c r="D892" s="10">
        <v>1172</v>
      </c>
      <c r="E892" s="10" t="s">
        <v>98</v>
      </c>
    </row>
    <row r="893" spans="1:19" x14ac:dyDescent="0.35">
      <c r="A893" s="2">
        <v>42475</v>
      </c>
      <c r="B893" s="70" t="s">
        <v>38</v>
      </c>
      <c r="C893" s="10">
        <v>84</v>
      </c>
      <c r="D893" s="10">
        <v>705</v>
      </c>
      <c r="E893" s="10" t="s">
        <v>98</v>
      </c>
    </row>
    <row r="894" spans="1:19" x14ac:dyDescent="0.35">
      <c r="A894" s="2">
        <v>42475</v>
      </c>
      <c r="B894" s="70" t="s">
        <v>38</v>
      </c>
      <c r="C894" s="10">
        <v>113</v>
      </c>
      <c r="D894" s="10">
        <v>1869</v>
      </c>
      <c r="E894" s="10" t="s">
        <v>98</v>
      </c>
    </row>
    <row r="895" spans="1:19" x14ac:dyDescent="0.35">
      <c r="A895" s="2">
        <v>42475</v>
      </c>
      <c r="B895" s="70" t="s">
        <v>38</v>
      </c>
      <c r="C895" s="10">
        <v>106</v>
      </c>
      <c r="D895" s="10">
        <v>1382</v>
      </c>
      <c r="E895" s="10" t="s">
        <v>98</v>
      </c>
    </row>
    <row r="896" spans="1:19" x14ac:dyDescent="0.35">
      <c r="A896" s="2">
        <v>42475</v>
      </c>
      <c r="B896" s="70" t="s">
        <v>38</v>
      </c>
      <c r="C896" s="10">
        <v>106</v>
      </c>
      <c r="D896" s="10">
        <v>1852</v>
      </c>
      <c r="E896" s="10" t="s">
        <v>98</v>
      </c>
    </row>
    <row r="897" spans="1:8" x14ac:dyDescent="0.35">
      <c r="A897" s="2">
        <v>42475</v>
      </c>
      <c r="B897" s="70" t="s">
        <v>38</v>
      </c>
      <c r="C897" s="10">
        <v>94</v>
      </c>
      <c r="D897" s="10">
        <v>878</v>
      </c>
      <c r="E897" s="10" t="s">
        <v>98</v>
      </c>
    </row>
    <row r="898" spans="1:8" x14ac:dyDescent="0.35">
      <c r="A898" s="2">
        <v>42475</v>
      </c>
      <c r="B898" s="70" t="s">
        <v>38</v>
      </c>
      <c r="C898" s="10">
        <v>95</v>
      </c>
      <c r="D898" s="10">
        <v>902</v>
      </c>
      <c r="E898" s="10" t="s">
        <v>98</v>
      </c>
    </row>
    <row r="899" spans="1:8" x14ac:dyDescent="0.35">
      <c r="A899" s="2">
        <v>42475</v>
      </c>
      <c r="B899" s="70" t="s">
        <v>38</v>
      </c>
      <c r="C899" s="10">
        <v>98</v>
      </c>
      <c r="D899" s="10">
        <v>1186</v>
      </c>
      <c r="E899" s="10" t="s">
        <v>98</v>
      </c>
    </row>
    <row r="900" spans="1:8" x14ac:dyDescent="0.35">
      <c r="A900" s="2">
        <v>42475</v>
      </c>
      <c r="B900" s="70" t="s">
        <v>38</v>
      </c>
      <c r="C900" s="10">
        <v>87</v>
      </c>
      <c r="D900" s="10">
        <v>764</v>
      </c>
      <c r="E900" s="10" t="s">
        <v>98</v>
      </c>
    </row>
    <row r="901" spans="1:8" x14ac:dyDescent="0.35">
      <c r="A901" s="2">
        <v>42475</v>
      </c>
      <c r="B901" s="70" t="s">
        <v>38</v>
      </c>
      <c r="C901" s="10">
        <v>103</v>
      </c>
      <c r="D901" s="10">
        <v>1140</v>
      </c>
      <c r="E901" s="10" t="s">
        <v>98</v>
      </c>
    </row>
    <row r="902" spans="1:8" x14ac:dyDescent="0.35">
      <c r="A902" s="2">
        <v>42475</v>
      </c>
      <c r="B902" s="70" t="s">
        <v>38</v>
      </c>
      <c r="C902" s="10">
        <v>107</v>
      </c>
      <c r="D902" s="10">
        <v>1266</v>
      </c>
      <c r="E902" s="10" t="s">
        <v>98</v>
      </c>
    </row>
    <row r="903" spans="1:8" x14ac:dyDescent="0.35">
      <c r="A903" s="2">
        <v>42475</v>
      </c>
      <c r="B903" s="70" t="s">
        <v>38</v>
      </c>
      <c r="C903" s="10">
        <v>98</v>
      </c>
      <c r="D903" s="10">
        <v>1176</v>
      </c>
      <c r="E903" s="10" t="s">
        <v>98</v>
      </c>
    </row>
    <row r="904" spans="1:8" x14ac:dyDescent="0.35">
      <c r="A904" s="2">
        <v>42475</v>
      </c>
      <c r="B904" s="70" t="s">
        <v>38</v>
      </c>
      <c r="C904" s="10">
        <v>110</v>
      </c>
      <c r="D904" s="10">
        <v>1495</v>
      </c>
      <c r="E904" s="10" t="s">
        <v>98</v>
      </c>
    </row>
    <row r="905" spans="1:8" x14ac:dyDescent="0.35">
      <c r="A905" s="2">
        <v>42475</v>
      </c>
      <c r="B905" s="70" t="s">
        <v>38</v>
      </c>
      <c r="C905" s="10">
        <v>120</v>
      </c>
      <c r="D905" s="10">
        <v>2198</v>
      </c>
      <c r="E905" s="10" t="s">
        <v>98</v>
      </c>
    </row>
    <row r="906" spans="1:8" x14ac:dyDescent="0.35">
      <c r="A906" s="2">
        <v>42475</v>
      </c>
      <c r="B906" s="70" t="s">
        <v>38</v>
      </c>
      <c r="C906" s="10">
        <v>97</v>
      </c>
      <c r="D906" s="10">
        <v>1092</v>
      </c>
      <c r="E906" s="10" t="s">
        <v>98</v>
      </c>
    </row>
    <row r="907" spans="1:8" x14ac:dyDescent="0.35">
      <c r="A907" s="2">
        <v>42475</v>
      </c>
      <c r="B907" s="70" t="s">
        <v>38</v>
      </c>
      <c r="C907" s="10">
        <v>88</v>
      </c>
      <c r="D907" s="10">
        <v>755</v>
      </c>
      <c r="E907" s="10" t="s">
        <v>98</v>
      </c>
    </row>
    <row r="908" spans="1:8" x14ac:dyDescent="0.35">
      <c r="A908" s="2">
        <v>42475</v>
      </c>
      <c r="B908" s="70" t="s">
        <v>38</v>
      </c>
      <c r="C908" s="10">
        <v>101</v>
      </c>
      <c r="D908" s="10">
        <v>1245</v>
      </c>
      <c r="E908" s="10" t="s">
        <v>98</v>
      </c>
    </row>
    <row r="909" spans="1:8" x14ac:dyDescent="0.35">
      <c r="A909" s="2">
        <v>42475</v>
      </c>
      <c r="B909" s="70" t="s">
        <v>38</v>
      </c>
      <c r="C909" s="10">
        <v>92</v>
      </c>
      <c r="D909" s="10">
        <v>980</v>
      </c>
      <c r="E909" s="10" t="s">
        <v>98</v>
      </c>
    </row>
    <row r="910" spans="1:8" x14ac:dyDescent="0.35">
      <c r="A910" s="2">
        <v>42475</v>
      </c>
      <c r="B910" s="70" t="s">
        <v>38</v>
      </c>
      <c r="C910" s="10">
        <v>99</v>
      </c>
      <c r="D910" s="10">
        <v>1261</v>
      </c>
      <c r="E910" s="10" t="s">
        <v>98</v>
      </c>
    </row>
    <row r="911" spans="1:8" x14ac:dyDescent="0.35">
      <c r="A911" s="2">
        <v>42475</v>
      </c>
      <c r="B911" s="70" t="s">
        <v>38</v>
      </c>
      <c r="C911" s="55">
        <v>81</v>
      </c>
      <c r="D911" s="55">
        <v>522</v>
      </c>
      <c r="E911" s="55" t="s">
        <v>159</v>
      </c>
      <c r="H911" s="42" t="e">
        <f>AVERAGE(#REF!)</f>
        <v>#REF!</v>
      </c>
    </row>
    <row r="912" spans="1:8" x14ac:dyDescent="0.35">
      <c r="A912" s="2">
        <v>42475</v>
      </c>
      <c r="B912" s="70" t="s">
        <v>38</v>
      </c>
      <c r="C912" s="10">
        <v>62</v>
      </c>
      <c r="D912" s="10">
        <v>185</v>
      </c>
      <c r="E912" s="10" t="s">
        <v>32</v>
      </c>
      <c r="H912" s="42" t="e">
        <f>AVERAGE(#REF!,#REF!)</f>
        <v>#REF!</v>
      </c>
    </row>
    <row r="913" spans="1:6" x14ac:dyDescent="0.35">
      <c r="A913" s="2">
        <v>42475</v>
      </c>
      <c r="B913" s="70" t="s">
        <v>38</v>
      </c>
      <c r="C913" s="10">
        <v>65</v>
      </c>
      <c r="D913" s="10">
        <v>225</v>
      </c>
      <c r="E913" s="10" t="s">
        <v>34</v>
      </c>
    </row>
    <row r="914" spans="1:6" x14ac:dyDescent="0.35">
      <c r="A914" s="2">
        <v>42475</v>
      </c>
      <c r="B914" s="70" t="s">
        <v>38</v>
      </c>
      <c r="C914" s="10">
        <v>72</v>
      </c>
      <c r="D914" s="10">
        <v>354</v>
      </c>
      <c r="E914" s="10" t="s">
        <v>32</v>
      </c>
    </row>
    <row r="915" spans="1:6" x14ac:dyDescent="0.35">
      <c r="A915" s="2">
        <v>42475</v>
      </c>
      <c r="B915" s="70" t="s">
        <v>38</v>
      </c>
      <c r="C915" s="10">
        <v>63</v>
      </c>
      <c r="D915" s="10">
        <v>213</v>
      </c>
      <c r="E915" s="10" t="s">
        <v>32</v>
      </c>
    </row>
    <row r="916" spans="1:6" x14ac:dyDescent="0.35">
      <c r="A916" s="2">
        <v>42475</v>
      </c>
      <c r="B916" s="70" t="s">
        <v>38</v>
      </c>
      <c r="C916" s="10">
        <v>67</v>
      </c>
      <c r="D916" s="10">
        <v>284</v>
      </c>
      <c r="E916" s="10" t="s">
        <v>32</v>
      </c>
    </row>
    <row r="917" spans="1:6" x14ac:dyDescent="0.35">
      <c r="A917" s="2">
        <v>42475</v>
      </c>
      <c r="B917" s="70" t="s">
        <v>38</v>
      </c>
      <c r="C917" s="10">
        <v>68</v>
      </c>
      <c r="D917" s="10">
        <v>348</v>
      </c>
      <c r="E917" s="10" t="s">
        <v>32</v>
      </c>
    </row>
    <row r="918" spans="1:6" x14ac:dyDescent="0.35">
      <c r="A918" s="2">
        <v>42475</v>
      </c>
      <c r="B918" s="70" t="s">
        <v>38</v>
      </c>
      <c r="C918" s="10">
        <v>66</v>
      </c>
      <c r="D918" s="10">
        <v>226</v>
      </c>
      <c r="E918" s="10" t="s">
        <v>32</v>
      </c>
      <c r="F918" t="s">
        <v>112</v>
      </c>
    </row>
    <row r="919" spans="1:6" x14ac:dyDescent="0.35">
      <c r="A919" s="2">
        <v>42475</v>
      </c>
      <c r="B919" s="70" t="s">
        <v>38</v>
      </c>
      <c r="C919" s="10">
        <v>72</v>
      </c>
      <c r="D919" s="10">
        <v>286</v>
      </c>
      <c r="E919" s="10" t="s">
        <v>32</v>
      </c>
    </row>
    <row r="920" spans="1:6" x14ac:dyDescent="0.35">
      <c r="A920" s="2">
        <v>42475</v>
      </c>
      <c r="B920" s="70" t="s">
        <v>38</v>
      </c>
      <c r="C920" s="10">
        <v>71</v>
      </c>
      <c r="D920" s="10">
        <v>303</v>
      </c>
      <c r="E920" s="10" t="s">
        <v>33</v>
      </c>
    </row>
    <row r="921" spans="1:6" x14ac:dyDescent="0.35">
      <c r="A921" s="2">
        <v>42475</v>
      </c>
      <c r="B921" s="70" t="s">
        <v>38</v>
      </c>
      <c r="C921" s="10">
        <v>58</v>
      </c>
      <c r="D921" s="10">
        <v>106</v>
      </c>
      <c r="E921" s="10" t="s">
        <v>32</v>
      </c>
    </row>
    <row r="922" spans="1:6" x14ac:dyDescent="0.35">
      <c r="A922" s="2">
        <v>42475</v>
      </c>
      <c r="B922" s="70" t="s">
        <v>38</v>
      </c>
      <c r="C922" s="10">
        <v>69</v>
      </c>
      <c r="D922" s="10">
        <v>257</v>
      </c>
      <c r="E922" s="10" t="s">
        <v>32</v>
      </c>
    </row>
    <row r="923" spans="1:6" x14ac:dyDescent="0.35">
      <c r="A923" s="2">
        <v>42475</v>
      </c>
      <c r="B923" s="70" t="s">
        <v>38</v>
      </c>
      <c r="C923" s="10">
        <v>68</v>
      </c>
      <c r="D923" s="10">
        <v>284</v>
      </c>
      <c r="E923" s="10" t="s">
        <v>32</v>
      </c>
    </row>
    <row r="924" spans="1:6" x14ac:dyDescent="0.35">
      <c r="A924" s="2">
        <v>42475</v>
      </c>
      <c r="B924" s="70" t="s">
        <v>38</v>
      </c>
      <c r="C924" s="10">
        <v>76</v>
      </c>
      <c r="D924" s="10">
        <v>358</v>
      </c>
      <c r="E924" s="10" t="s">
        <v>32</v>
      </c>
    </row>
    <row r="925" spans="1:6" x14ac:dyDescent="0.35">
      <c r="A925" s="2">
        <v>42475</v>
      </c>
      <c r="B925" s="70" t="s">
        <v>38</v>
      </c>
      <c r="C925" s="10">
        <v>67</v>
      </c>
      <c r="D925" s="10">
        <v>281</v>
      </c>
      <c r="E925" s="10" t="s">
        <v>32</v>
      </c>
    </row>
    <row r="926" spans="1:6" x14ac:dyDescent="0.35">
      <c r="A926" s="2">
        <v>42475</v>
      </c>
      <c r="B926" s="70" t="s">
        <v>38</v>
      </c>
      <c r="C926" s="10">
        <v>73</v>
      </c>
      <c r="D926" s="10">
        <v>319</v>
      </c>
      <c r="E926" s="10" t="s">
        <v>32</v>
      </c>
    </row>
    <row r="927" spans="1:6" x14ac:dyDescent="0.35">
      <c r="A927" s="2">
        <v>42475</v>
      </c>
      <c r="B927" s="70" t="s">
        <v>38</v>
      </c>
      <c r="C927" s="10">
        <v>70</v>
      </c>
      <c r="D927" s="10">
        <v>241</v>
      </c>
      <c r="E927" s="10" t="s">
        <v>32</v>
      </c>
    </row>
    <row r="928" spans="1:6" x14ac:dyDescent="0.35">
      <c r="A928" s="2">
        <v>42475</v>
      </c>
      <c r="B928" s="70" t="s">
        <v>38</v>
      </c>
      <c r="C928" s="10">
        <v>78</v>
      </c>
      <c r="D928" s="10">
        <v>352</v>
      </c>
      <c r="E928" s="10" t="s">
        <v>32</v>
      </c>
    </row>
    <row r="929" spans="1:6" x14ac:dyDescent="0.35">
      <c r="A929" s="2">
        <v>42475</v>
      </c>
      <c r="B929" s="70" t="s">
        <v>38</v>
      </c>
      <c r="C929" s="10">
        <v>75</v>
      </c>
      <c r="D929" s="10">
        <v>280</v>
      </c>
      <c r="E929" s="10" t="s">
        <v>32</v>
      </c>
    </row>
    <row r="930" spans="1:6" x14ac:dyDescent="0.35">
      <c r="A930" s="2">
        <v>42475</v>
      </c>
      <c r="B930" s="70" t="s">
        <v>38</v>
      </c>
      <c r="C930" s="10">
        <v>67</v>
      </c>
      <c r="D930" s="10">
        <v>219</v>
      </c>
      <c r="E930" s="10" t="s">
        <v>32</v>
      </c>
    </row>
    <row r="931" spans="1:6" x14ac:dyDescent="0.35">
      <c r="A931" s="2">
        <v>42475</v>
      </c>
      <c r="B931" s="70" t="s">
        <v>38</v>
      </c>
      <c r="C931" s="10">
        <v>67</v>
      </c>
      <c r="D931" s="10">
        <v>227</v>
      </c>
      <c r="E931" s="10" t="s">
        <v>32</v>
      </c>
    </row>
    <row r="932" spans="1:6" x14ac:dyDescent="0.35">
      <c r="A932" s="2">
        <v>42475</v>
      </c>
      <c r="B932" s="70" t="s">
        <v>38</v>
      </c>
      <c r="C932" s="10">
        <v>69</v>
      </c>
      <c r="D932" s="10">
        <v>265</v>
      </c>
      <c r="E932" s="10" t="s">
        <v>32</v>
      </c>
    </row>
    <row r="933" spans="1:6" x14ac:dyDescent="0.35">
      <c r="A933" s="2">
        <v>42475</v>
      </c>
      <c r="B933" s="70" t="s">
        <v>38</v>
      </c>
      <c r="C933" s="10">
        <v>72</v>
      </c>
      <c r="D933" s="10">
        <v>310</v>
      </c>
      <c r="E933" s="10" t="s">
        <v>32</v>
      </c>
    </row>
    <row r="934" spans="1:6" x14ac:dyDescent="0.35">
      <c r="A934" s="2">
        <v>42475</v>
      </c>
      <c r="B934" s="70" t="s">
        <v>38</v>
      </c>
      <c r="C934" s="10">
        <v>76</v>
      </c>
      <c r="D934" s="10">
        <v>297</v>
      </c>
      <c r="E934" s="10" t="s">
        <v>32</v>
      </c>
    </row>
    <row r="935" spans="1:6" x14ac:dyDescent="0.35">
      <c r="A935" s="2">
        <v>42475</v>
      </c>
      <c r="B935" s="70" t="s">
        <v>38</v>
      </c>
      <c r="C935" s="10">
        <v>65</v>
      </c>
      <c r="D935" s="10">
        <v>200</v>
      </c>
      <c r="E935" s="10" t="s">
        <v>32</v>
      </c>
    </row>
    <row r="936" spans="1:6" x14ac:dyDescent="0.35">
      <c r="A936" s="2">
        <v>42475</v>
      </c>
      <c r="B936" s="70" t="s">
        <v>38</v>
      </c>
      <c r="C936" s="10">
        <v>68</v>
      </c>
      <c r="D936" s="10">
        <v>215</v>
      </c>
      <c r="E936" s="10" t="s">
        <v>32</v>
      </c>
      <c r="F936" t="s">
        <v>175</v>
      </c>
    </row>
    <row r="937" spans="1:6" x14ac:dyDescent="0.35">
      <c r="A937" s="2">
        <v>42475</v>
      </c>
      <c r="B937" s="70" t="s">
        <v>38</v>
      </c>
      <c r="C937" s="10">
        <v>70</v>
      </c>
      <c r="D937" s="10">
        <v>256</v>
      </c>
      <c r="E937" s="10" t="s">
        <v>34</v>
      </c>
    </row>
    <row r="938" spans="1:6" x14ac:dyDescent="0.35">
      <c r="A938" s="2">
        <v>42475</v>
      </c>
      <c r="B938" s="70" t="s">
        <v>38</v>
      </c>
      <c r="C938" s="10">
        <v>72</v>
      </c>
      <c r="D938" s="10">
        <v>280</v>
      </c>
      <c r="E938" s="10" t="s">
        <v>32</v>
      </c>
    </row>
    <row r="939" spans="1:6" x14ac:dyDescent="0.35">
      <c r="A939" s="2">
        <v>42475</v>
      </c>
      <c r="B939" s="70" t="s">
        <v>38</v>
      </c>
      <c r="C939" s="10">
        <v>72</v>
      </c>
      <c r="D939" s="10">
        <v>316</v>
      </c>
      <c r="E939" s="10" t="s">
        <v>32</v>
      </c>
    </row>
    <row r="940" spans="1:6" x14ac:dyDescent="0.35">
      <c r="A940" s="2">
        <v>42475</v>
      </c>
      <c r="B940" s="70" t="s">
        <v>38</v>
      </c>
      <c r="C940" s="10">
        <v>75</v>
      </c>
      <c r="D940" s="10">
        <v>353</v>
      </c>
      <c r="E940" s="10" t="s">
        <v>32</v>
      </c>
    </row>
    <row r="941" spans="1:6" x14ac:dyDescent="0.35">
      <c r="A941" s="2">
        <v>42475</v>
      </c>
      <c r="B941" s="70" t="s">
        <v>38</v>
      </c>
      <c r="C941" s="10">
        <v>65</v>
      </c>
      <c r="D941" s="10">
        <v>228</v>
      </c>
      <c r="E941" s="10" t="s">
        <v>34</v>
      </c>
    </row>
    <row r="942" spans="1:6" x14ac:dyDescent="0.35">
      <c r="A942" s="2">
        <v>42475</v>
      </c>
      <c r="B942" s="70" t="s">
        <v>38</v>
      </c>
      <c r="C942" s="10">
        <v>72</v>
      </c>
      <c r="D942" s="10">
        <v>266</v>
      </c>
      <c r="E942" s="10" t="s">
        <v>32</v>
      </c>
    </row>
    <row r="943" spans="1:6" x14ac:dyDescent="0.35">
      <c r="A943" s="2">
        <v>42475</v>
      </c>
      <c r="B943" s="70" t="s">
        <v>38</v>
      </c>
      <c r="C943" s="10">
        <v>75</v>
      </c>
      <c r="D943" s="10">
        <v>397</v>
      </c>
      <c r="E943" s="10" t="s">
        <v>32</v>
      </c>
    </row>
    <row r="944" spans="1:6" x14ac:dyDescent="0.35">
      <c r="A944" s="2">
        <v>42475</v>
      </c>
      <c r="B944" s="70" t="s">
        <v>38</v>
      </c>
      <c r="C944" s="10">
        <v>76</v>
      </c>
      <c r="D944" s="10">
        <v>375</v>
      </c>
      <c r="E944" s="10" t="s">
        <v>32</v>
      </c>
    </row>
    <row r="945" spans="1:23" x14ac:dyDescent="0.35">
      <c r="A945" s="2">
        <v>42475</v>
      </c>
      <c r="B945" s="70" t="s">
        <v>38</v>
      </c>
      <c r="C945" s="10">
        <v>63</v>
      </c>
      <c r="D945" s="10">
        <v>209</v>
      </c>
      <c r="E945" s="10" t="s">
        <v>32</v>
      </c>
    </row>
    <row r="946" spans="1:23" x14ac:dyDescent="0.35">
      <c r="A946" s="2">
        <v>42475</v>
      </c>
      <c r="B946" s="70" t="s">
        <v>38</v>
      </c>
      <c r="C946" s="10">
        <v>74</v>
      </c>
      <c r="D946" s="10">
        <v>362</v>
      </c>
      <c r="E946" s="10" t="s">
        <v>32</v>
      </c>
    </row>
    <row r="947" spans="1:23" x14ac:dyDescent="0.35">
      <c r="A947" s="2">
        <v>42475</v>
      </c>
      <c r="B947" s="70" t="s">
        <v>38</v>
      </c>
      <c r="C947" s="10">
        <v>65</v>
      </c>
      <c r="D947" s="10">
        <v>273</v>
      </c>
      <c r="E947" s="10" t="s">
        <v>32</v>
      </c>
    </row>
    <row r="948" spans="1:23" x14ac:dyDescent="0.35">
      <c r="A948" s="2">
        <v>42475</v>
      </c>
      <c r="B948" s="70" t="s">
        <v>38</v>
      </c>
      <c r="C948" s="10">
        <v>70</v>
      </c>
      <c r="D948" s="10">
        <v>281</v>
      </c>
      <c r="E948" s="10" t="s">
        <v>32</v>
      </c>
    </row>
    <row r="949" spans="1:23" x14ac:dyDescent="0.35">
      <c r="A949" s="2">
        <v>42475</v>
      </c>
      <c r="B949" s="70" t="s">
        <v>38</v>
      </c>
      <c r="C949" s="10">
        <v>71</v>
      </c>
      <c r="D949" s="10">
        <v>308</v>
      </c>
      <c r="E949" s="10" t="s">
        <v>32</v>
      </c>
    </row>
    <row r="950" spans="1:23" x14ac:dyDescent="0.35">
      <c r="A950" s="2">
        <v>42475</v>
      </c>
      <c r="B950" s="70" t="s">
        <v>38</v>
      </c>
      <c r="C950" s="10">
        <v>73</v>
      </c>
      <c r="D950" s="10">
        <v>269</v>
      </c>
      <c r="E950" s="10" t="s">
        <v>32</v>
      </c>
    </row>
    <row r="951" spans="1:23" x14ac:dyDescent="0.35">
      <c r="A951" s="2">
        <v>42475</v>
      </c>
      <c r="B951" s="70" t="s">
        <v>38</v>
      </c>
      <c r="C951" s="10">
        <v>70</v>
      </c>
      <c r="D951" s="10">
        <v>295</v>
      </c>
      <c r="E951" s="10" t="s">
        <v>32</v>
      </c>
    </row>
    <row r="952" spans="1:23" x14ac:dyDescent="0.35">
      <c r="A952" s="2">
        <v>42475</v>
      </c>
      <c r="B952" s="70" t="s">
        <v>38</v>
      </c>
      <c r="C952" s="10">
        <v>78</v>
      </c>
      <c r="D952" s="10">
        <v>328</v>
      </c>
      <c r="E952" s="10" t="s">
        <v>32</v>
      </c>
    </row>
    <row r="953" spans="1:23" x14ac:dyDescent="0.35">
      <c r="A953" s="2">
        <v>42475</v>
      </c>
      <c r="B953" s="70" t="s">
        <v>38</v>
      </c>
      <c r="C953" s="10">
        <v>73</v>
      </c>
      <c r="D953" s="10">
        <v>371</v>
      </c>
      <c r="E953" s="10" t="s">
        <v>32</v>
      </c>
    </row>
    <row r="954" spans="1:23" x14ac:dyDescent="0.35">
      <c r="A954" s="2">
        <v>42475</v>
      </c>
      <c r="B954" s="70" t="s">
        <v>38</v>
      </c>
      <c r="C954" s="10">
        <v>65</v>
      </c>
      <c r="D954" s="10">
        <v>206</v>
      </c>
      <c r="E954" s="10" t="s">
        <v>32</v>
      </c>
    </row>
    <row r="955" spans="1:23" x14ac:dyDescent="0.35">
      <c r="A955" s="2">
        <v>42475</v>
      </c>
      <c r="B955" s="70" t="s">
        <v>38</v>
      </c>
      <c r="C955" s="10">
        <v>72</v>
      </c>
      <c r="D955" s="10">
        <v>263</v>
      </c>
      <c r="E955" s="10" t="s">
        <v>32</v>
      </c>
      <c r="G955">
        <f>G960+G883</f>
        <v>0</v>
      </c>
      <c r="H955">
        <f t="shared" ref="H955:N955" si="48">H960+H883</f>
        <v>0</v>
      </c>
      <c r="I955">
        <f t="shared" si="48"/>
        <v>0</v>
      </c>
      <c r="J955">
        <f t="shared" si="48"/>
        <v>0</v>
      </c>
      <c r="K955">
        <f t="shared" si="48"/>
        <v>2</v>
      </c>
      <c r="L955">
        <f t="shared" si="48"/>
        <v>60</v>
      </c>
      <c r="M955">
        <f t="shared" si="48"/>
        <v>38</v>
      </c>
      <c r="N955">
        <f t="shared" si="48"/>
        <v>0</v>
      </c>
      <c r="P955">
        <f>AVERAGE(C912:C961,C835:C884)</f>
        <v>70.12</v>
      </c>
      <c r="Q955">
        <f>AVERAGE(D912:D961,D835:D884)</f>
        <v>284.69</v>
      </c>
    </row>
    <row r="956" spans="1:23" x14ac:dyDescent="0.35">
      <c r="A956" s="2">
        <v>42475</v>
      </c>
      <c r="B956" s="70" t="s">
        <v>38</v>
      </c>
      <c r="C956" s="10">
        <v>70</v>
      </c>
      <c r="D956" s="10">
        <v>313</v>
      </c>
      <c r="E956" s="10" t="s">
        <v>32</v>
      </c>
    </row>
    <row r="957" spans="1:23" x14ac:dyDescent="0.35">
      <c r="A957" s="2">
        <v>42475</v>
      </c>
      <c r="B957" s="70" t="s">
        <v>38</v>
      </c>
      <c r="C957" s="10">
        <v>80</v>
      </c>
      <c r="D957" s="10">
        <v>408</v>
      </c>
      <c r="E957" s="10" t="s">
        <v>34</v>
      </c>
    </row>
    <row r="958" spans="1:23" x14ac:dyDescent="0.35">
      <c r="A958" s="2">
        <v>42475</v>
      </c>
      <c r="B958" s="70" t="s">
        <v>38</v>
      </c>
      <c r="C958" s="10">
        <v>72</v>
      </c>
      <c r="D958" s="10">
        <v>286</v>
      </c>
      <c r="E958" s="10" t="s">
        <v>34</v>
      </c>
    </row>
    <row r="959" spans="1:23" x14ac:dyDescent="0.35">
      <c r="A959" s="2">
        <v>42475</v>
      </c>
      <c r="B959" s="70" t="s">
        <v>38</v>
      </c>
      <c r="C959" s="10">
        <v>72</v>
      </c>
      <c r="D959" s="10">
        <v>339</v>
      </c>
      <c r="E959" s="10" t="s">
        <v>32</v>
      </c>
      <c r="G959" t="s">
        <v>42</v>
      </c>
      <c r="H959" t="s">
        <v>39</v>
      </c>
      <c r="I959" t="s">
        <v>40</v>
      </c>
      <c r="J959" t="s">
        <v>36</v>
      </c>
      <c r="K959" t="s">
        <v>33</v>
      </c>
      <c r="L959" t="s">
        <v>34</v>
      </c>
      <c r="M959" t="s">
        <v>32</v>
      </c>
      <c r="N959" t="s">
        <v>37</v>
      </c>
      <c r="P959" t="s">
        <v>43</v>
      </c>
      <c r="Q959" t="s">
        <v>44</v>
      </c>
      <c r="V959">
        <f>AVERAGE(C912:C961,C835:C884)</f>
        <v>70.12</v>
      </c>
      <c r="W959">
        <f>AVERAGE(D912:D961,D835:D884)</f>
        <v>284.69</v>
      </c>
    </row>
    <row r="960" spans="1:23" x14ac:dyDescent="0.35">
      <c r="A960" s="2">
        <v>42475</v>
      </c>
      <c r="B960" s="70" t="s">
        <v>38</v>
      </c>
      <c r="C960" s="10">
        <v>71</v>
      </c>
      <c r="D960" s="10">
        <v>293</v>
      </c>
      <c r="E960" s="10" t="s">
        <v>32</v>
      </c>
      <c r="G960" s="5">
        <f>COUNTIF(E912:E961,"VA")</f>
        <v>0</v>
      </c>
      <c r="H960" s="5">
        <f>COUNTIF(E912:E961,"VB")</f>
        <v>0</v>
      </c>
      <c r="I960" s="5">
        <f>COUNTIF(E912:E961,"VIA0")</f>
        <v>0</v>
      </c>
      <c r="J960" s="5">
        <f>COUNTIF(E912:E961,"VIA1")</f>
        <v>0</v>
      </c>
      <c r="K960" s="5">
        <f>COUNTIF(E912:E961,"VIA2")</f>
        <v>1</v>
      </c>
      <c r="L960" s="5">
        <v>27</v>
      </c>
      <c r="M960" s="5">
        <v>22</v>
      </c>
      <c r="N960" s="5">
        <f>COUNTIF(E912:E961,"VIB")</f>
        <v>0</v>
      </c>
      <c r="P960" s="7">
        <f>AVERAGE(C912:C961)</f>
        <v>70.22</v>
      </c>
      <c r="Q960" s="8">
        <f>AVERAGE(D912:D961)</f>
        <v>283.10000000000002</v>
      </c>
      <c r="R960" s="8"/>
      <c r="S960" s="8" t="e">
        <f>AVERAGE(#REF!)</f>
        <v>#REF!</v>
      </c>
      <c r="T960" s="8">
        <f>119/0.283</f>
        <v>420.49469964664314</v>
      </c>
    </row>
    <row r="961" spans="1:14" s="4" customFormat="1" x14ac:dyDescent="0.35">
      <c r="A961" s="3">
        <v>42475</v>
      </c>
      <c r="B961" s="44" t="s">
        <v>38</v>
      </c>
      <c r="C961" s="11">
        <v>71</v>
      </c>
      <c r="D961" s="11">
        <v>245</v>
      </c>
      <c r="E961" s="11" t="s">
        <v>32</v>
      </c>
      <c r="G961" s="6">
        <f>G960/50*100</f>
        <v>0</v>
      </c>
      <c r="H961" s="6">
        <f t="shared" ref="H961:N961" si="49">H960/50*100</f>
        <v>0</v>
      </c>
      <c r="I961" s="6">
        <f t="shared" si="49"/>
        <v>0</v>
      </c>
      <c r="J961" s="6">
        <f t="shared" si="49"/>
        <v>0</v>
      </c>
      <c r="K961" s="6">
        <f t="shared" si="49"/>
        <v>2</v>
      </c>
      <c r="L961" s="6">
        <f t="shared" si="49"/>
        <v>54</v>
      </c>
      <c r="M961" s="6">
        <f t="shared" si="49"/>
        <v>44</v>
      </c>
      <c r="N961" s="6">
        <f t="shared" si="49"/>
        <v>0</v>
      </c>
    </row>
    <row r="962" spans="1:14" x14ac:dyDescent="0.35">
      <c r="A962" s="2">
        <v>42475</v>
      </c>
      <c r="B962" s="70" t="s">
        <v>103</v>
      </c>
      <c r="C962" s="10">
        <v>74</v>
      </c>
      <c r="D962" s="10">
        <v>342</v>
      </c>
      <c r="E962" s="10" t="s">
        <v>33</v>
      </c>
    </row>
    <row r="963" spans="1:14" x14ac:dyDescent="0.35">
      <c r="A963" s="2">
        <v>42475</v>
      </c>
      <c r="B963" s="70" t="s">
        <v>103</v>
      </c>
      <c r="C963" s="10">
        <v>72</v>
      </c>
      <c r="D963" s="10">
        <v>399</v>
      </c>
      <c r="E963" s="10" t="s">
        <v>34</v>
      </c>
    </row>
    <row r="964" spans="1:14" x14ac:dyDescent="0.35">
      <c r="A964" s="2">
        <v>42475</v>
      </c>
      <c r="B964" s="70" t="s">
        <v>103</v>
      </c>
      <c r="C964" s="10">
        <v>72</v>
      </c>
      <c r="D964" s="10">
        <v>323</v>
      </c>
      <c r="E964" s="10" t="s">
        <v>33</v>
      </c>
    </row>
    <row r="965" spans="1:14" x14ac:dyDescent="0.35">
      <c r="A965" s="2">
        <v>42475</v>
      </c>
      <c r="B965" s="70" t="s">
        <v>103</v>
      </c>
      <c r="C965" s="10">
        <v>70</v>
      </c>
      <c r="D965" s="10">
        <v>251</v>
      </c>
      <c r="E965" s="10" t="s">
        <v>34</v>
      </c>
    </row>
    <row r="966" spans="1:14" x14ac:dyDescent="0.35">
      <c r="A966" s="2">
        <v>42475</v>
      </c>
      <c r="B966" s="70" t="s">
        <v>103</v>
      </c>
      <c r="C966" s="10">
        <v>72</v>
      </c>
      <c r="D966" s="10">
        <v>280</v>
      </c>
      <c r="E966" s="10" t="s">
        <v>34</v>
      </c>
    </row>
    <row r="967" spans="1:14" s="4" customFormat="1" x14ac:dyDescent="0.35">
      <c r="A967" s="3">
        <v>42475</v>
      </c>
      <c r="B967" s="44" t="s">
        <v>103</v>
      </c>
      <c r="C967" s="11">
        <v>75</v>
      </c>
      <c r="D967" s="4">
        <v>484</v>
      </c>
      <c r="E967" s="4" t="s">
        <v>159</v>
      </c>
    </row>
    <row r="968" spans="1:14" x14ac:dyDescent="0.35">
      <c r="A968" s="2">
        <v>42475</v>
      </c>
      <c r="B968" s="70" t="s">
        <v>104</v>
      </c>
      <c r="C968" s="10">
        <v>78</v>
      </c>
      <c r="D968" s="10">
        <v>336</v>
      </c>
      <c r="E968" s="10" t="s">
        <v>34</v>
      </c>
    </row>
    <row r="969" spans="1:14" x14ac:dyDescent="0.35">
      <c r="A969" s="2">
        <v>42475</v>
      </c>
      <c r="B969" s="70" t="s">
        <v>104</v>
      </c>
      <c r="C969" s="10">
        <v>70</v>
      </c>
      <c r="D969" s="10">
        <v>321</v>
      </c>
      <c r="E969" s="10" t="s">
        <v>34</v>
      </c>
    </row>
    <row r="970" spans="1:14" x14ac:dyDescent="0.35">
      <c r="A970" s="2">
        <v>42475</v>
      </c>
      <c r="B970" s="70" t="s">
        <v>104</v>
      </c>
      <c r="C970" s="10">
        <v>67</v>
      </c>
      <c r="D970" s="10">
        <v>225</v>
      </c>
      <c r="E970" s="10" t="s">
        <v>34</v>
      </c>
    </row>
    <row r="971" spans="1:14" x14ac:dyDescent="0.35">
      <c r="A971" s="2">
        <v>42475</v>
      </c>
      <c r="B971" s="70" t="s">
        <v>104</v>
      </c>
      <c r="C971" s="10">
        <v>67</v>
      </c>
      <c r="D971" s="10">
        <v>257</v>
      </c>
      <c r="E971" s="10" t="s">
        <v>34</v>
      </c>
    </row>
    <row r="972" spans="1:14" s="4" customFormat="1" x14ac:dyDescent="0.35">
      <c r="A972" s="3">
        <v>42475</v>
      </c>
      <c r="B972" s="44" t="s">
        <v>104</v>
      </c>
      <c r="C972" s="11">
        <v>109</v>
      </c>
      <c r="D972" s="11">
        <v>1569</v>
      </c>
      <c r="E972" s="4" t="s">
        <v>98</v>
      </c>
    </row>
    <row r="973" spans="1:14" x14ac:dyDescent="0.35">
      <c r="A973" s="2">
        <v>42475</v>
      </c>
      <c r="B973" s="70" t="s">
        <v>113</v>
      </c>
      <c r="C973" s="10">
        <v>70</v>
      </c>
      <c r="D973" s="10">
        <v>279</v>
      </c>
      <c r="E973" s="10" t="s">
        <v>32</v>
      </c>
    </row>
    <row r="974" spans="1:14" x14ac:dyDescent="0.35">
      <c r="A974" s="2">
        <v>42475</v>
      </c>
      <c r="B974" s="70" t="s">
        <v>113</v>
      </c>
      <c r="C974" s="10">
        <v>67</v>
      </c>
      <c r="D974" s="10">
        <v>268</v>
      </c>
      <c r="E974" s="10" t="s">
        <v>32</v>
      </c>
    </row>
    <row r="975" spans="1:14" x14ac:dyDescent="0.35">
      <c r="A975" s="2">
        <v>42475</v>
      </c>
      <c r="B975" s="70" t="s">
        <v>113</v>
      </c>
      <c r="C975" s="10">
        <v>114</v>
      </c>
      <c r="D975" s="10">
        <v>2300</v>
      </c>
      <c r="E975" t="s">
        <v>98</v>
      </c>
    </row>
    <row r="976" spans="1:14" s="4" customFormat="1" x14ac:dyDescent="0.35">
      <c r="A976" s="3">
        <v>42475</v>
      </c>
      <c r="B976" s="44" t="s">
        <v>113</v>
      </c>
      <c r="C976" s="11">
        <v>113</v>
      </c>
      <c r="D976" s="11">
        <v>1738</v>
      </c>
      <c r="E976" s="4" t="s">
        <v>98</v>
      </c>
    </row>
    <row r="977" spans="1:5" x14ac:dyDescent="0.35">
      <c r="A977" s="2">
        <v>42475</v>
      </c>
      <c r="B977" s="70" t="s">
        <v>102</v>
      </c>
      <c r="C977" s="10">
        <v>68</v>
      </c>
      <c r="D977" s="10">
        <v>266</v>
      </c>
      <c r="E977" s="10" t="s">
        <v>32</v>
      </c>
    </row>
    <row r="978" spans="1:5" x14ac:dyDescent="0.35">
      <c r="A978" s="2">
        <v>42475</v>
      </c>
      <c r="B978" s="70" t="s">
        <v>102</v>
      </c>
      <c r="C978" s="10">
        <v>93</v>
      </c>
      <c r="D978" s="10">
        <v>990</v>
      </c>
      <c r="E978" s="10" t="s">
        <v>98</v>
      </c>
    </row>
    <row r="979" spans="1:5" x14ac:dyDescent="0.35">
      <c r="A979" s="2">
        <v>42475</v>
      </c>
      <c r="B979" s="70" t="s">
        <v>102</v>
      </c>
      <c r="C979" s="10">
        <v>98</v>
      </c>
      <c r="D979" s="10">
        <v>1105</v>
      </c>
      <c r="E979" s="10" t="s">
        <v>98</v>
      </c>
    </row>
    <row r="980" spans="1:5" s="4" customFormat="1" x14ac:dyDescent="0.35">
      <c r="A980" s="3">
        <v>42475</v>
      </c>
      <c r="B980" s="44" t="s">
        <v>102</v>
      </c>
      <c r="C980" s="11">
        <v>97</v>
      </c>
      <c r="D980" s="11">
        <v>916</v>
      </c>
      <c r="E980" s="11" t="s">
        <v>98</v>
      </c>
    </row>
    <row r="981" spans="1:5" x14ac:dyDescent="0.35">
      <c r="A981" s="2">
        <v>42475</v>
      </c>
      <c r="B981" s="40" t="s">
        <v>63</v>
      </c>
      <c r="C981" s="10">
        <v>97</v>
      </c>
      <c r="D981" s="10">
        <v>1004</v>
      </c>
      <c r="E981" s="10" t="s">
        <v>98</v>
      </c>
    </row>
    <row r="982" spans="1:5" x14ac:dyDescent="0.35">
      <c r="A982" s="2">
        <v>42475</v>
      </c>
      <c r="B982" s="40" t="s">
        <v>63</v>
      </c>
      <c r="C982" s="10">
        <v>102</v>
      </c>
      <c r="D982" s="10">
        <v>1687</v>
      </c>
      <c r="E982" s="10" t="s">
        <v>98</v>
      </c>
    </row>
    <row r="983" spans="1:5" x14ac:dyDescent="0.35">
      <c r="A983" s="2">
        <v>42475</v>
      </c>
      <c r="B983" s="40" t="s">
        <v>63</v>
      </c>
      <c r="C983" s="10">
        <v>88</v>
      </c>
      <c r="D983" s="10">
        <v>802</v>
      </c>
      <c r="E983" s="10" t="s">
        <v>98</v>
      </c>
    </row>
    <row r="984" spans="1:5" x14ac:dyDescent="0.35">
      <c r="A984" s="2">
        <v>42475</v>
      </c>
      <c r="B984" s="40" t="s">
        <v>63</v>
      </c>
      <c r="C984" s="10">
        <v>89</v>
      </c>
      <c r="D984" s="10">
        <v>795</v>
      </c>
      <c r="E984" s="10" t="s">
        <v>98</v>
      </c>
    </row>
    <row r="985" spans="1:5" x14ac:dyDescent="0.35">
      <c r="A985" s="2">
        <v>42475</v>
      </c>
      <c r="B985" s="40" t="s">
        <v>63</v>
      </c>
      <c r="C985" s="10">
        <v>97</v>
      </c>
      <c r="D985" s="10">
        <v>972</v>
      </c>
      <c r="E985" s="10" t="s">
        <v>98</v>
      </c>
    </row>
    <row r="986" spans="1:5" x14ac:dyDescent="0.35">
      <c r="A986" s="2">
        <v>42475</v>
      </c>
      <c r="B986" s="40" t="s">
        <v>63</v>
      </c>
      <c r="C986" s="10">
        <v>63</v>
      </c>
      <c r="D986" s="10">
        <v>173</v>
      </c>
      <c r="E986" t="s">
        <v>32</v>
      </c>
    </row>
    <row r="987" spans="1:5" x14ac:dyDescent="0.35">
      <c r="A987" s="2">
        <v>42475</v>
      </c>
      <c r="B987" s="40" t="s">
        <v>63</v>
      </c>
      <c r="C987" s="10">
        <v>74</v>
      </c>
      <c r="D987" s="10">
        <v>396</v>
      </c>
      <c r="E987" t="s">
        <v>34</v>
      </c>
    </row>
    <row r="988" spans="1:5" x14ac:dyDescent="0.35">
      <c r="A988" s="2">
        <v>42475</v>
      </c>
      <c r="B988" s="40" t="s">
        <v>63</v>
      </c>
      <c r="C988" s="10">
        <v>72</v>
      </c>
      <c r="D988" s="10">
        <v>314</v>
      </c>
      <c r="E988" t="s">
        <v>34</v>
      </c>
    </row>
    <row r="989" spans="1:5" x14ac:dyDescent="0.35">
      <c r="A989" s="2">
        <v>42475</v>
      </c>
      <c r="B989" s="40" t="s">
        <v>63</v>
      </c>
      <c r="C989" s="10">
        <v>63</v>
      </c>
      <c r="D989" s="10">
        <v>193</v>
      </c>
      <c r="E989" t="s">
        <v>34</v>
      </c>
    </row>
    <row r="990" spans="1:5" x14ac:dyDescent="0.35">
      <c r="A990" s="2">
        <v>42475</v>
      </c>
      <c r="B990" s="40" t="s">
        <v>63</v>
      </c>
      <c r="C990" s="10">
        <v>71</v>
      </c>
      <c r="D990" s="10">
        <v>261</v>
      </c>
      <c r="E990" t="s">
        <v>34</v>
      </c>
    </row>
    <row r="991" spans="1:5" s="4" customFormat="1" x14ac:dyDescent="0.35">
      <c r="A991" s="3">
        <v>42475</v>
      </c>
      <c r="B991" s="44" t="s">
        <v>63</v>
      </c>
      <c r="C991" s="11">
        <v>66</v>
      </c>
      <c r="D991" s="11">
        <v>212</v>
      </c>
      <c r="E991" s="4" t="s">
        <v>34</v>
      </c>
    </row>
    <row r="992" spans="1:5" x14ac:dyDescent="0.35">
      <c r="A992" s="2">
        <v>42475</v>
      </c>
      <c r="B992" s="40" t="s">
        <v>66</v>
      </c>
      <c r="C992" s="10">
        <v>58</v>
      </c>
      <c r="D992" s="10">
        <v>147</v>
      </c>
      <c r="E992" s="10" t="s">
        <v>32</v>
      </c>
    </row>
    <row r="993" spans="1:21" x14ac:dyDescent="0.35">
      <c r="A993" s="2">
        <v>42475</v>
      </c>
      <c r="B993" s="40" t="s">
        <v>66</v>
      </c>
      <c r="C993" s="10">
        <v>68</v>
      </c>
      <c r="D993" s="10">
        <v>233</v>
      </c>
      <c r="E993" s="10" t="s">
        <v>34</v>
      </c>
    </row>
    <row r="994" spans="1:21" x14ac:dyDescent="0.35">
      <c r="A994" s="2">
        <v>42475</v>
      </c>
      <c r="B994" s="40" t="s">
        <v>66</v>
      </c>
      <c r="C994" s="10">
        <v>75</v>
      </c>
      <c r="D994" s="10">
        <v>383</v>
      </c>
      <c r="E994" s="10" t="s">
        <v>33</v>
      </c>
    </row>
    <row r="995" spans="1:21" x14ac:dyDescent="0.35">
      <c r="A995" s="2">
        <v>42475</v>
      </c>
      <c r="B995" s="40" t="s">
        <v>66</v>
      </c>
      <c r="C995" s="10">
        <v>73</v>
      </c>
      <c r="D995" s="10">
        <v>354</v>
      </c>
      <c r="E995" s="10" t="s">
        <v>32</v>
      </c>
      <c r="R995">
        <f>AVERAGE(C997:C998,C978:C985,C975:C976,C972)</f>
        <v>99.769230769230774</v>
      </c>
      <c r="S995">
        <f>AVERAGE(D997:D998,D978:D985,D975:D976,D972)</f>
        <v>1267.2307692307693</v>
      </c>
      <c r="U995" s="42" t="e">
        <f>AVERAGE(#REF!,#REF!,#REF!,#REF!)</f>
        <v>#REF!</v>
      </c>
    </row>
    <row r="996" spans="1:21" x14ac:dyDescent="0.35">
      <c r="A996" s="2">
        <v>42475</v>
      </c>
      <c r="B996" s="40" t="s">
        <v>66</v>
      </c>
      <c r="C996" s="10">
        <v>67</v>
      </c>
      <c r="D996" s="10">
        <v>211</v>
      </c>
      <c r="E996" s="10" t="s">
        <v>32</v>
      </c>
      <c r="G996" t="s">
        <v>42</v>
      </c>
      <c r="H996" t="s">
        <v>39</v>
      </c>
      <c r="I996" t="s">
        <v>40</v>
      </c>
      <c r="J996" t="s">
        <v>36</v>
      </c>
      <c r="K996" t="s">
        <v>33</v>
      </c>
      <c r="L996" t="s">
        <v>34</v>
      </c>
      <c r="M996" t="s">
        <v>32</v>
      </c>
      <c r="N996" t="s">
        <v>37</v>
      </c>
      <c r="O996" t="s">
        <v>159</v>
      </c>
    </row>
    <row r="997" spans="1:21" x14ac:dyDescent="0.35">
      <c r="A997" s="2">
        <v>42475</v>
      </c>
      <c r="B997" s="40" t="s">
        <v>66</v>
      </c>
      <c r="C997" s="10">
        <v>100</v>
      </c>
      <c r="D997" s="10">
        <v>1335</v>
      </c>
      <c r="E997" s="10" t="s">
        <v>98</v>
      </c>
      <c r="G997" s="5">
        <f>COUNTIF(E962:E998,"VA")</f>
        <v>0</v>
      </c>
      <c r="H997" s="5">
        <f>COUNTIF(E962:E998,"VB")</f>
        <v>0</v>
      </c>
      <c r="I997" s="5">
        <f>COUNTIF(E962:E998,"VIA0")</f>
        <v>0</v>
      </c>
      <c r="J997" s="5">
        <f>COUNTIF(E962:E998,"VIA1")</f>
        <v>0</v>
      </c>
      <c r="K997" s="5">
        <f>COUNTIF(E962:E998,"VIA2")</f>
        <v>3</v>
      </c>
      <c r="L997" s="5">
        <v>17</v>
      </c>
      <c r="M997" s="5">
        <v>3</v>
      </c>
      <c r="N997" s="5">
        <f>COUNTIF(E949:E998,"VIB")</f>
        <v>0</v>
      </c>
      <c r="O997">
        <v>1</v>
      </c>
      <c r="R997">
        <f>AVERAGE(C992:C996,C986:C991,C977,C973:C974,C968:C971,C962:C967)</f>
        <v>69.666666666666671</v>
      </c>
      <c r="S997">
        <f>AVERAGE(D992:D996,D986:D991,D977,D973:D974,D968:D971,D962:D967)</f>
        <v>287.83333333333331</v>
      </c>
      <c r="U997" s="42" t="e">
        <f>AVERAGE(#REF!,#REF!,#REF!,#REF!,#REF!,#REF!)</f>
        <v>#REF!</v>
      </c>
    </row>
    <row r="998" spans="1:21" s="4" customFormat="1" x14ac:dyDescent="0.35">
      <c r="A998" s="3">
        <v>42475</v>
      </c>
      <c r="B998" s="44" t="s">
        <v>66</v>
      </c>
      <c r="C998" s="11">
        <v>100</v>
      </c>
      <c r="D998" s="11">
        <v>1261</v>
      </c>
      <c r="E998" s="11" t="s">
        <v>98</v>
      </c>
      <c r="G998" s="6">
        <f>G997/24*100</f>
        <v>0</v>
      </c>
      <c r="H998" s="6">
        <f t="shared" ref="H998:O998" si="50">H997/24*100</f>
        <v>0</v>
      </c>
      <c r="I998" s="6">
        <f t="shared" si="50"/>
        <v>0</v>
      </c>
      <c r="J998" s="6">
        <f t="shared" si="50"/>
        <v>0</v>
      </c>
      <c r="K998" s="6">
        <f t="shared" si="50"/>
        <v>12.5</v>
      </c>
      <c r="L998" s="6">
        <f t="shared" si="50"/>
        <v>70.833333333333343</v>
      </c>
      <c r="M998" s="6">
        <f t="shared" si="50"/>
        <v>12.5</v>
      </c>
      <c r="N998" s="6">
        <f t="shared" si="50"/>
        <v>0</v>
      </c>
      <c r="O998" s="6">
        <f t="shared" si="50"/>
        <v>4.1666666666666661</v>
      </c>
    </row>
    <row r="999" spans="1:21" x14ac:dyDescent="0.35">
      <c r="A999" s="2">
        <v>42475</v>
      </c>
      <c r="B999" s="36" t="s">
        <v>114</v>
      </c>
      <c r="C999" s="10">
        <v>70</v>
      </c>
      <c r="D999" s="10">
        <v>261</v>
      </c>
      <c r="E999" s="10" t="s">
        <v>32</v>
      </c>
    </row>
    <row r="1000" spans="1:21" s="4" customFormat="1" x14ac:dyDescent="0.35">
      <c r="A1000" s="3">
        <v>42475</v>
      </c>
      <c r="B1000" s="26" t="s">
        <v>114</v>
      </c>
      <c r="C1000" s="11">
        <v>63</v>
      </c>
      <c r="D1000" s="11">
        <v>150</v>
      </c>
      <c r="E1000" s="11" t="s">
        <v>33</v>
      </c>
    </row>
    <row r="1001" spans="1:21" x14ac:dyDescent="0.35">
      <c r="A1001" s="2">
        <v>42475</v>
      </c>
      <c r="B1001" s="70" t="s">
        <v>41</v>
      </c>
      <c r="C1001" s="10">
        <v>65</v>
      </c>
      <c r="D1001" s="10">
        <v>210</v>
      </c>
      <c r="E1001" s="10" t="s">
        <v>34</v>
      </c>
    </row>
    <row r="1002" spans="1:21" x14ac:dyDescent="0.35">
      <c r="A1002" s="2">
        <v>42475</v>
      </c>
      <c r="B1002" s="70" t="s">
        <v>41</v>
      </c>
      <c r="C1002" s="10">
        <v>74</v>
      </c>
      <c r="D1002" s="10">
        <v>309</v>
      </c>
      <c r="E1002" s="10" t="s">
        <v>34</v>
      </c>
    </row>
    <row r="1003" spans="1:21" x14ac:dyDescent="0.35">
      <c r="A1003" s="2">
        <v>42475</v>
      </c>
      <c r="B1003" s="70" t="s">
        <v>41</v>
      </c>
      <c r="C1003" s="10">
        <v>73</v>
      </c>
      <c r="D1003" s="10">
        <v>313</v>
      </c>
      <c r="E1003" s="10" t="s">
        <v>34</v>
      </c>
    </row>
    <row r="1004" spans="1:21" x14ac:dyDescent="0.35">
      <c r="A1004" s="2">
        <v>42475</v>
      </c>
      <c r="B1004" s="70" t="s">
        <v>41</v>
      </c>
      <c r="C1004" s="10">
        <v>73</v>
      </c>
      <c r="D1004" s="10">
        <v>335</v>
      </c>
      <c r="E1004" s="10" t="s">
        <v>33</v>
      </c>
    </row>
    <row r="1005" spans="1:21" x14ac:dyDescent="0.35">
      <c r="A1005" s="2">
        <v>42475</v>
      </c>
      <c r="B1005" s="70" t="s">
        <v>41</v>
      </c>
      <c r="C1005" s="10">
        <v>72</v>
      </c>
      <c r="D1005" s="10">
        <v>230</v>
      </c>
      <c r="E1005" s="10" t="s">
        <v>34</v>
      </c>
    </row>
    <row r="1006" spans="1:21" x14ac:dyDescent="0.35">
      <c r="A1006" s="2">
        <v>42475</v>
      </c>
      <c r="B1006" s="70" t="s">
        <v>41</v>
      </c>
      <c r="C1006" s="10">
        <v>70</v>
      </c>
      <c r="D1006" s="10">
        <v>273</v>
      </c>
      <c r="E1006" s="10" t="s">
        <v>34</v>
      </c>
    </row>
    <row r="1007" spans="1:21" x14ac:dyDescent="0.35">
      <c r="A1007" s="2">
        <v>42475</v>
      </c>
      <c r="B1007" s="70" t="s">
        <v>41</v>
      </c>
      <c r="C1007" s="10">
        <v>70</v>
      </c>
      <c r="D1007" s="10">
        <v>230</v>
      </c>
      <c r="E1007" s="10" t="s">
        <v>34</v>
      </c>
    </row>
    <row r="1008" spans="1:21" x14ac:dyDescent="0.35">
      <c r="A1008" s="2">
        <v>42475</v>
      </c>
      <c r="B1008" s="70" t="s">
        <v>41</v>
      </c>
      <c r="C1008" s="10">
        <v>71</v>
      </c>
      <c r="D1008" s="10">
        <v>305</v>
      </c>
      <c r="E1008" s="10" t="s">
        <v>34</v>
      </c>
    </row>
    <row r="1009" spans="1:31" x14ac:dyDescent="0.35">
      <c r="A1009" s="2">
        <v>42475</v>
      </c>
      <c r="B1009" s="70" t="s">
        <v>41</v>
      </c>
      <c r="C1009" s="10">
        <v>73</v>
      </c>
      <c r="D1009" s="10">
        <v>295</v>
      </c>
      <c r="E1009" s="10" t="s">
        <v>34</v>
      </c>
    </row>
    <row r="1010" spans="1:31" x14ac:dyDescent="0.35">
      <c r="A1010" s="2">
        <v>42475</v>
      </c>
      <c r="B1010" s="70" t="s">
        <v>41</v>
      </c>
      <c r="C1010" s="10">
        <v>68</v>
      </c>
      <c r="D1010" s="10">
        <v>226</v>
      </c>
      <c r="E1010" s="10" t="s">
        <v>34</v>
      </c>
      <c r="T1010" s="5" t="s">
        <v>144</v>
      </c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</row>
    <row r="1011" spans="1:31" x14ac:dyDescent="0.35">
      <c r="A1011" s="2">
        <v>42475</v>
      </c>
      <c r="B1011" s="70" t="s">
        <v>41</v>
      </c>
      <c r="C1011" s="10">
        <v>76</v>
      </c>
      <c r="D1011" s="10">
        <v>345</v>
      </c>
      <c r="E1011" s="10" t="s">
        <v>34</v>
      </c>
      <c r="G1011" t="s">
        <v>42</v>
      </c>
      <c r="H1011" t="s">
        <v>39</v>
      </c>
      <c r="I1011" t="s">
        <v>40</v>
      </c>
      <c r="J1011" t="s">
        <v>36</v>
      </c>
      <c r="K1011" t="s">
        <v>33</v>
      </c>
      <c r="L1011" t="s">
        <v>34</v>
      </c>
      <c r="M1011" t="s">
        <v>32</v>
      </c>
      <c r="N1011" t="s">
        <v>37</v>
      </c>
      <c r="P1011" t="s">
        <v>43</v>
      </c>
      <c r="Q1011" t="s">
        <v>44</v>
      </c>
      <c r="T1011" s="5" t="s">
        <v>42</v>
      </c>
      <c r="U1011" s="5" t="s">
        <v>39</v>
      </c>
      <c r="V1011" s="5" t="s">
        <v>40</v>
      </c>
      <c r="W1011" s="5" t="s">
        <v>36</v>
      </c>
      <c r="X1011" s="5" t="s">
        <v>33</v>
      </c>
      <c r="Y1011" s="5" t="s">
        <v>34</v>
      </c>
      <c r="Z1011" s="5" t="s">
        <v>32</v>
      </c>
      <c r="AA1011" s="5" t="s">
        <v>37</v>
      </c>
      <c r="AB1011" s="5" t="s">
        <v>59</v>
      </c>
      <c r="AC1011" s="5" t="s">
        <v>43</v>
      </c>
      <c r="AD1011" s="5" t="s">
        <v>44</v>
      </c>
      <c r="AE1011" s="5"/>
    </row>
    <row r="1012" spans="1:31" x14ac:dyDescent="0.35">
      <c r="A1012" s="2">
        <v>42475</v>
      </c>
      <c r="B1012" s="70" t="s">
        <v>41</v>
      </c>
      <c r="C1012" s="10">
        <v>72</v>
      </c>
      <c r="D1012" s="10">
        <v>298</v>
      </c>
      <c r="E1012" s="10" t="s">
        <v>34</v>
      </c>
      <c r="G1012" s="5">
        <f>COUNTIF(E1001:E1013,"VA")</f>
        <v>0</v>
      </c>
      <c r="H1012" s="5">
        <f>COUNTIF(E1001:E1013,"VB")</f>
        <v>0</v>
      </c>
      <c r="I1012" s="5">
        <f>COUNTIF(E1001:E1013,"VIA0")</f>
        <v>0</v>
      </c>
      <c r="J1012" s="5">
        <f>COUNTIF(E1001:E1013,"VIA1")</f>
        <v>0</v>
      </c>
      <c r="K1012" s="5">
        <f>COUNTIF(E1001:E1013,"VIA2")</f>
        <v>2</v>
      </c>
      <c r="L1012" s="5">
        <f>COUNTIF(E1001:E1013,"VIA3")</f>
        <v>11</v>
      </c>
      <c r="M1012" s="5">
        <f>COUNTIF(E1001:E1013,"VIA4")</f>
        <v>0</v>
      </c>
      <c r="N1012" s="5">
        <f>COUNTIF(E1001:E1013,"VIB")</f>
        <v>0</v>
      </c>
      <c r="P1012" s="7">
        <f>AVERAGE(C1001:C1013)</f>
        <v>71.307692307692307</v>
      </c>
      <c r="Q1012" s="8">
        <f>AVERAGE(D1001:D1013)</f>
        <v>281.30769230769232</v>
      </c>
      <c r="R1012" s="8"/>
      <c r="S1012" s="42" t="e">
        <f>AVERAGE(#REF!)</f>
        <v>#REF!</v>
      </c>
      <c r="T1012" s="27">
        <v>0</v>
      </c>
      <c r="U1012" s="27">
        <v>0</v>
      </c>
      <c r="V1012" s="27">
        <v>0</v>
      </c>
      <c r="W1012" s="27">
        <v>0</v>
      </c>
      <c r="X1012" s="27">
        <v>5</v>
      </c>
      <c r="Y1012" s="27">
        <v>77</v>
      </c>
      <c r="Z1012" s="27">
        <v>42</v>
      </c>
      <c r="AA1012" s="27">
        <f>COUNTIF(E810:E1013,"VIB")</f>
        <v>0</v>
      </c>
      <c r="AB1012" s="5">
        <v>76</v>
      </c>
      <c r="AC1012" s="8">
        <f>AVERAGE(C1001:C1013,C986:C996,C912:C961,C835:C884)</f>
        <v>70.072580645161295</v>
      </c>
      <c r="AD1012" s="8">
        <f>AVERAGE(D1001:D1013,D986:D996,D912:D961,D835:D884)</f>
        <v>282.28225806451616</v>
      </c>
    </row>
    <row r="1013" spans="1:31" s="4" customFormat="1" x14ac:dyDescent="0.35">
      <c r="A1013" s="3">
        <v>42475</v>
      </c>
      <c r="B1013" s="44" t="s">
        <v>41</v>
      </c>
      <c r="C1013" s="11">
        <v>70</v>
      </c>
      <c r="D1013" s="11">
        <v>288</v>
      </c>
      <c r="E1013" s="11" t="s">
        <v>33</v>
      </c>
      <c r="G1013" s="6">
        <f>G1012/13*100</f>
        <v>0</v>
      </c>
      <c r="H1013" s="6">
        <f t="shared" ref="H1013:N1013" si="51">H1012/13*100</f>
        <v>0</v>
      </c>
      <c r="I1013" s="6">
        <f t="shared" si="51"/>
        <v>0</v>
      </c>
      <c r="J1013" s="6">
        <f t="shared" si="51"/>
        <v>0</v>
      </c>
      <c r="K1013" s="6">
        <f t="shared" si="51"/>
        <v>15.384615384615385</v>
      </c>
      <c r="L1013" s="6">
        <f t="shared" si="51"/>
        <v>84.615384615384613</v>
      </c>
      <c r="M1013" s="6">
        <f t="shared" si="51"/>
        <v>0</v>
      </c>
      <c r="N1013" s="6">
        <f t="shared" si="51"/>
        <v>0</v>
      </c>
      <c r="T1013" s="28">
        <f>T1012/124*100</f>
        <v>0</v>
      </c>
      <c r="U1013" s="28">
        <f t="shared" ref="U1013:AA1013" si="52">U1012/124*100</f>
        <v>0</v>
      </c>
      <c r="V1013" s="28">
        <f t="shared" si="52"/>
        <v>0</v>
      </c>
      <c r="W1013" s="28">
        <f t="shared" si="52"/>
        <v>0</v>
      </c>
      <c r="X1013" s="28">
        <f t="shared" si="52"/>
        <v>4.032258064516129</v>
      </c>
      <c r="Y1013" s="28">
        <f t="shared" si="52"/>
        <v>62.096774193548384</v>
      </c>
      <c r="Z1013" s="28">
        <f t="shared" si="52"/>
        <v>33.87096774193548</v>
      </c>
      <c r="AA1013" s="28">
        <f t="shared" si="52"/>
        <v>0</v>
      </c>
    </row>
    <row r="1014" spans="1:31" x14ac:dyDescent="0.35">
      <c r="A1014" s="2">
        <v>42482</v>
      </c>
      <c r="B1014" s="70" t="s">
        <v>41</v>
      </c>
      <c r="C1014">
        <v>67</v>
      </c>
      <c r="D1014">
        <v>235</v>
      </c>
      <c r="E1014" t="s">
        <v>32</v>
      </c>
    </row>
    <row r="1015" spans="1:31" s="4" customFormat="1" x14ac:dyDescent="0.35">
      <c r="A1015" s="3">
        <v>42482</v>
      </c>
      <c r="B1015" s="44" t="s">
        <v>41</v>
      </c>
      <c r="C1015" s="4">
        <v>72</v>
      </c>
      <c r="D1015" s="4">
        <v>343</v>
      </c>
      <c r="E1015" s="4" t="s">
        <v>32</v>
      </c>
    </row>
    <row r="1016" spans="1:31" x14ac:dyDescent="0.35">
      <c r="A1016" s="2">
        <v>42482</v>
      </c>
      <c r="B1016" s="70" t="s">
        <v>29</v>
      </c>
      <c r="C1016">
        <v>107</v>
      </c>
      <c r="D1016">
        <v>1521</v>
      </c>
      <c r="E1016" s="10" t="s">
        <v>98</v>
      </c>
      <c r="G1016" t="s">
        <v>174</v>
      </c>
    </row>
    <row r="1017" spans="1:31" x14ac:dyDescent="0.35">
      <c r="A1017" s="2">
        <v>42482</v>
      </c>
      <c r="B1017" s="70" t="s">
        <v>29</v>
      </c>
      <c r="C1017">
        <v>88</v>
      </c>
      <c r="D1017">
        <v>517</v>
      </c>
      <c r="E1017" s="10" t="s">
        <v>98</v>
      </c>
    </row>
    <row r="1018" spans="1:31" x14ac:dyDescent="0.35">
      <c r="A1018" s="2">
        <v>42482</v>
      </c>
      <c r="B1018" s="70" t="s">
        <v>29</v>
      </c>
      <c r="C1018">
        <v>97</v>
      </c>
      <c r="D1018">
        <v>1051</v>
      </c>
      <c r="E1018" s="10" t="s">
        <v>98</v>
      </c>
    </row>
    <row r="1019" spans="1:31" x14ac:dyDescent="0.35">
      <c r="A1019" s="2">
        <v>42482</v>
      </c>
      <c r="B1019" s="70" t="s">
        <v>29</v>
      </c>
      <c r="C1019">
        <v>105</v>
      </c>
      <c r="D1019">
        <v>1251</v>
      </c>
      <c r="E1019" s="10" t="s">
        <v>98</v>
      </c>
    </row>
    <row r="1020" spans="1:31" x14ac:dyDescent="0.35">
      <c r="A1020" s="2">
        <v>42482</v>
      </c>
      <c r="B1020" s="70" t="s">
        <v>29</v>
      </c>
      <c r="C1020">
        <v>100</v>
      </c>
      <c r="D1020">
        <v>877</v>
      </c>
      <c r="E1020" s="10" t="s">
        <v>98</v>
      </c>
    </row>
    <row r="1021" spans="1:31" x14ac:dyDescent="0.35">
      <c r="A1021" s="2">
        <v>42482</v>
      </c>
      <c r="B1021" s="70" t="s">
        <v>29</v>
      </c>
      <c r="C1021">
        <v>97</v>
      </c>
      <c r="D1021">
        <v>1009</v>
      </c>
      <c r="E1021" s="10" t="s">
        <v>98</v>
      </c>
    </row>
    <row r="1022" spans="1:31" x14ac:dyDescent="0.35">
      <c r="A1022" s="2">
        <v>42482</v>
      </c>
      <c r="B1022" s="70" t="s">
        <v>29</v>
      </c>
      <c r="C1022">
        <v>95</v>
      </c>
      <c r="D1022">
        <v>884</v>
      </c>
      <c r="E1022" s="10" t="s">
        <v>98</v>
      </c>
    </row>
    <row r="1023" spans="1:31" x14ac:dyDescent="0.35">
      <c r="A1023" s="2">
        <v>42482</v>
      </c>
      <c r="B1023" s="70" t="s">
        <v>29</v>
      </c>
      <c r="C1023">
        <v>88</v>
      </c>
      <c r="D1023">
        <v>658</v>
      </c>
      <c r="E1023" s="10" t="s">
        <v>98</v>
      </c>
    </row>
    <row r="1024" spans="1:31" x14ac:dyDescent="0.35">
      <c r="A1024" s="2">
        <v>42482</v>
      </c>
      <c r="B1024" s="70" t="s">
        <v>29</v>
      </c>
      <c r="C1024">
        <v>111</v>
      </c>
      <c r="D1024">
        <v>1419</v>
      </c>
      <c r="E1024" s="10" t="s">
        <v>98</v>
      </c>
    </row>
    <row r="1025" spans="1:5" x14ac:dyDescent="0.35">
      <c r="A1025" s="2">
        <v>42482</v>
      </c>
      <c r="B1025" s="70" t="s">
        <v>29</v>
      </c>
      <c r="C1025">
        <v>94</v>
      </c>
      <c r="D1025">
        <v>994</v>
      </c>
      <c r="E1025" s="10" t="s">
        <v>98</v>
      </c>
    </row>
    <row r="1026" spans="1:5" x14ac:dyDescent="0.35">
      <c r="A1026" s="2">
        <v>42482</v>
      </c>
      <c r="B1026" s="70" t="s">
        <v>29</v>
      </c>
      <c r="C1026">
        <v>102</v>
      </c>
      <c r="D1026">
        <v>1061</v>
      </c>
      <c r="E1026" s="10" t="s">
        <v>98</v>
      </c>
    </row>
    <row r="1027" spans="1:5" x14ac:dyDescent="0.35">
      <c r="A1027" s="2">
        <v>42482</v>
      </c>
      <c r="B1027" s="70" t="s">
        <v>29</v>
      </c>
      <c r="C1027">
        <v>98</v>
      </c>
      <c r="D1027">
        <v>1032</v>
      </c>
      <c r="E1027" s="10" t="s">
        <v>98</v>
      </c>
    </row>
    <row r="1028" spans="1:5" x14ac:dyDescent="0.35">
      <c r="A1028" s="2">
        <v>42482</v>
      </c>
      <c r="B1028" s="70" t="s">
        <v>29</v>
      </c>
      <c r="C1028">
        <v>112</v>
      </c>
      <c r="D1028">
        <v>1724</v>
      </c>
      <c r="E1028" s="10" t="s">
        <v>98</v>
      </c>
    </row>
    <row r="1029" spans="1:5" x14ac:dyDescent="0.35">
      <c r="A1029" s="2">
        <v>42482</v>
      </c>
      <c r="B1029" s="70" t="s">
        <v>29</v>
      </c>
      <c r="C1029">
        <v>110</v>
      </c>
      <c r="D1029">
        <v>1718</v>
      </c>
      <c r="E1029" s="10" t="s">
        <v>98</v>
      </c>
    </row>
    <row r="1030" spans="1:5" x14ac:dyDescent="0.35">
      <c r="A1030" s="2">
        <v>42482</v>
      </c>
      <c r="B1030" s="70" t="s">
        <v>29</v>
      </c>
      <c r="C1030">
        <v>109</v>
      </c>
      <c r="D1030">
        <v>1327</v>
      </c>
      <c r="E1030" s="10" t="s">
        <v>98</v>
      </c>
    </row>
    <row r="1031" spans="1:5" x14ac:dyDescent="0.35">
      <c r="A1031" s="2">
        <v>42482</v>
      </c>
      <c r="B1031" s="70" t="s">
        <v>29</v>
      </c>
      <c r="C1031">
        <v>95</v>
      </c>
      <c r="D1031">
        <v>953</v>
      </c>
      <c r="E1031" s="10" t="s">
        <v>98</v>
      </c>
    </row>
    <row r="1032" spans="1:5" x14ac:dyDescent="0.35">
      <c r="A1032" s="2">
        <v>42482</v>
      </c>
      <c r="B1032" s="70" t="s">
        <v>29</v>
      </c>
      <c r="C1032">
        <v>99</v>
      </c>
      <c r="D1032">
        <v>1114</v>
      </c>
      <c r="E1032" s="10" t="s">
        <v>98</v>
      </c>
    </row>
    <row r="1033" spans="1:5" x14ac:dyDescent="0.35">
      <c r="A1033" s="2">
        <v>42482</v>
      </c>
      <c r="B1033" s="70" t="s">
        <v>29</v>
      </c>
      <c r="C1033">
        <v>126</v>
      </c>
      <c r="D1033">
        <v>3184</v>
      </c>
      <c r="E1033" s="10" t="s">
        <v>98</v>
      </c>
    </row>
    <row r="1034" spans="1:5" x14ac:dyDescent="0.35">
      <c r="A1034" s="2">
        <v>42482</v>
      </c>
      <c r="B1034" s="70" t="s">
        <v>29</v>
      </c>
      <c r="C1034">
        <v>123</v>
      </c>
      <c r="D1034">
        <v>2205</v>
      </c>
      <c r="E1034" s="10" t="s">
        <v>98</v>
      </c>
    </row>
    <row r="1035" spans="1:5" x14ac:dyDescent="0.35">
      <c r="A1035" s="2">
        <v>42482</v>
      </c>
      <c r="B1035" s="70" t="s">
        <v>29</v>
      </c>
      <c r="C1035">
        <v>100</v>
      </c>
      <c r="D1035">
        <v>1249</v>
      </c>
      <c r="E1035" s="10" t="s">
        <v>98</v>
      </c>
    </row>
    <row r="1036" spans="1:5" x14ac:dyDescent="0.35">
      <c r="A1036" s="2">
        <v>42482</v>
      </c>
      <c r="B1036" s="70" t="s">
        <v>29</v>
      </c>
      <c r="C1036">
        <v>110</v>
      </c>
      <c r="D1036">
        <v>1579</v>
      </c>
      <c r="E1036" s="10" t="s">
        <v>98</v>
      </c>
    </row>
    <row r="1037" spans="1:5" x14ac:dyDescent="0.35">
      <c r="A1037" s="2">
        <v>42482</v>
      </c>
      <c r="B1037" s="70" t="s">
        <v>29</v>
      </c>
      <c r="C1037">
        <v>98</v>
      </c>
      <c r="D1037">
        <v>1282</v>
      </c>
      <c r="E1037" s="10" t="s">
        <v>98</v>
      </c>
    </row>
    <row r="1038" spans="1:5" x14ac:dyDescent="0.35">
      <c r="A1038" s="2">
        <v>42482</v>
      </c>
      <c r="B1038" s="70" t="s">
        <v>29</v>
      </c>
      <c r="C1038">
        <v>111</v>
      </c>
      <c r="D1038">
        <v>1860</v>
      </c>
      <c r="E1038" s="10" t="s">
        <v>98</v>
      </c>
    </row>
    <row r="1039" spans="1:5" x14ac:dyDescent="0.35">
      <c r="A1039" s="2">
        <v>42482</v>
      </c>
      <c r="B1039" s="70" t="s">
        <v>29</v>
      </c>
      <c r="C1039">
        <v>123</v>
      </c>
      <c r="D1039">
        <v>2700</v>
      </c>
      <c r="E1039" s="10" t="s">
        <v>98</v>
      </c>
    </row>
    <row r="1040" spans="1:5" x14ac:dyDescent="0.35">
      <c r="A1040" s="2">
        <v>42482</v>
      </c>
      <c r="B1040" s="70" t="s">
        <v>29</v>
      </c>
      <c r="C1040">
        <v>103</v>
      </c>
      <c r="D1040">
        <v>1427</v>
      </c>
      <c r="E1040" s="10" t="s">
        <v>98</v>
      </c>
    </row>
    <row r="1041" spans="1:5" x14ac:dyDescent="0.35">
      <c r="A1041" s="2">
        <v>42482</v>
      </c>
      <c r="B1041" s="70" t="s">
        <v>29</v>
      </c>
      <c r="C1041">
        <v>93</v>
      </c>
      <c r="D1041">
        <v>1092</v>
      </c>
      <c r="E1041" s="10" t="s">
        <v>98</v>
      </c>
    </row>
    <row r="1042" spans="1:5" x14ac:dyDescent="0.35">
      <c r="A1042" s="2">
        <v>42482</v>
      </c>
      <c r="B1042" s="70" t="s">
        <v>29</v>
      </c>
      <c r="C1042">
        <v>116</v>
      </c>
      <c r="D1042">
        <v>1686</v>
      </c>
      <c r="E1042" s="10" t="s">
        <v>98</v>
      </c>
    </row>
    <row r="1043" spans="1:5" x14ac:dyDescent="0.35">
      <c r="A1043" s="2">
        <v>42482</v>
      </c>
      <c r="B1043" s="70" t="s">
        <v>29</v>
      </c>
      <c r="C1043">
        <v>106</v>
      </c>
      <c r="D1043">
        <v>1469</v>
      </c>
      <c r="E1043" s="10" t="s">
        <v>98</v>
      </c>
    </row>
    <row r="1044" spans="1:5" x14ac:dyDescent="0.35">
      <c r="A1044" s="2">
        <v>42482</v>
      </c>
      <c r="B1044" s="70" t="s">
        <v>29</v>
      </c>
      <c r="C1044">
        <v>88</v>
      </c>
      <c r="D1044">
        <v>774</v>
      </c>
      <c r="E1044" s="10" t="s">
        <v>98</v>
      </c>
    </row>
    <row r="1045" spans="1:5" x14ac:dyDescent="0.35">
      <c r="A1045" s="2">
        <v>42482</v>
      </c>
      <c r="B1045" s="70" t="s">
        <v>29</v>
      </c>
      <c r="C1045">
        <v>95</v>
      </c>
      <c r="D1045">
        <v>822</v>
      </c>
      <c r="E1045" s="10" t="s">
        <v>98</v>
      </c>
    </row>
    <row r="1046" spans="1:5" x14ac:dyDescent="0.35">
      <c r="A1046" s="2">
        <v>42482</v>
      </c>
      <c r="B1046" s="70" t="s">
        <v>29</v>
      </c>
      <c r="C1046">
        <v>87</v>
      </c>
      <c r="D1046">
        <v>701</v>
      </c>
      <c r="E1046" s="10" t="s">
        <v>98</v>
      </c>
    </row>
    <row r="1047" spans="1:5" x14ac:dyDescent="0.35">
      <c r="A1047" s="2">
        <v>42482</v>
      </c>
      <c r="B1047" s="70" t="s">
        <v>29</v>
      </c>
      <c r="C1047">
        <v>93</v>
      </c>
      <c r="D1047">
        <v>925</v>
      </c>
      <c r="E1047" s="10" t="s">
        <v>98</v>
      </c>
    </row>
    <row r="1048" spans="1:5" x14ac:dyDescent="0.35">
      <c r="A1048" s="2">
        <v>42482</v>
      </c>
      <c r="B1048" s="70" t="s">
        <v>29</v>
      </c>
      <c r="C1048">
        <v>104</v>
      </c>
      <c r="D1048">
        <v>1406</v>
      </c>
      <c r="E1048" s="10" t="s">
        <v>98</v>
      </c>
    </row>
    <row r="1049" spans="1:5" x14ac:dyDescent="0.35">
      <c r="A1049" s="2">
        <v>42482</v>
      </c>
      <c r="B1049" s="70" t="s">
        <v>29</v>
      </c>
      <c r="C1049">
        <v>96</v>
      </c>
      <c r="D1049">
        <v>941</v>
      </c>
      <c r="E1049" s="10" t="s">
        <v>98</v>
      </c>
    </row>
    <row r="1050" spans="1:5" x14ac:dyDescent="0.35">
      <c r="A1050" s="2">
        <v>42482</v>
      </c>
      <c r="B1050" s="70" t="s">
        <v>29</v>
      </c>
      <c r="C1050">
        <v>138</v>
      </c>
      <c r="D1050">
        <v>2545</v>
      </c>
      <c r="E1050" s="10" t="s">
        <v>98</v>
      </c>
    </row>
    <row r="1051" spans="1:5" x14ac:dyDescent="0.35">
      <c r="A1051" s="2">
        <v>42482</v>
      </c>
      <c r="B1051" s="70" t="s">
        <v>29</v>
      </c>
      <c r="C1051">
        <v>96</v>
      </c>
      <c r="D1051">
        <v>911</v>
      </c>
      <c r="E1051" s="10" t="s">
        <v>98</v>
      </c>
    </row>
    <row r="1052" spans="1:5" x14ac:dyDescent="0.35">
      <c r="A1052" s="2">
        <v>42482</v>
      </c>
      <c r="B1052" s="70" t="s">
        <v>29</v>
      </c>
      <c r="C1052">
        <v>108</v>
      </c>
      <c r="D1052">
        <v>1274</v>
      </c>
      <c r="E1052" s="10" t="s">
        <v>98</v>
      </c>
    </row>
    <row r="1053" spans="1:5" x14ac:dyDescent="0.35">
      <c r="A1053" s="2">
        <v>42482</v>
      </c>
      <c r="B1053" s="70" t="s">
        <v>29</v>
      </c>
      <c r="C1053">
        <v>90</v>
      </c>
      <c r="D1053">
        <v>844</v>
      </c>
      <c r="E1053" s="10" t="s">
        <v>98</v>
      </c>
    </row>
    <row r="1054" spans="1:5" x14ac:dyDescent="0.35">
      <c r="A1054" s="2">
        <v>42482</v>
      </c>
      <c r="B1054" s="70" t="s">
        <v>29</v>
      </c>
      <c r="C1054">
        <v>103</v>
      </c>
      <c r="D1054">
        <v>1246</v>
      </c>
      <c r="E1054" s="10" t="s">
        <v>98</v>
      </c>
    </row>
    <row r="1055" spans="1:5" x14ac:dyDescent="0.35">
      <c r="A1055" s="2">
        <v>42482</v>
      </c>
      <c r="B1055" s="70" t="s">
        <v>29</v>
      </c>
      <c r="C1055">
        <v>93</v>
      </c>
      <c r="D1055">
        <v>977</v>
      </c>
      <c r="E1055" s="10" t="s">
        <v>98</v>
      </c>
    </row>
    <row r="1056" spans="1:5" x14ac:dyDescent="0.35">
      <c r="A1056" s="2">
        <v>42482</v>
      </c>
      <c r="B1056" s="70" t="s">
        <v>29</v>
      </c>
      <c r="C1056">
        <v>102</v>
      </c>
      <c r="D1056">
        <v>1372</v>
      </c>
      <c r="E1056" s="10" t="s">
        <v>98</v>
      </c>
    </row>
    <row r="1057" spans="1:7" x14ac:dyDescent="0.35">
      <c r="A1057" s="2">
        <v>42482</v>
      </c>
      <c r="B1057" s="70" t="s">
        <v>29</v>
      </c>
      <c r="C1057">
        <v>98</v>
      </c>
      <c r="D1057">
        <v>961</v>
      </c>
      <c r="E1057" s="10" t="s">
        <v>98</v>
      </c>
    </row>
    <row r="1058" spans="1:7" x14ac:dyDescent="0.35">
      <c r="A1058" s="2">
        <v>42482</v>
      </c>
      <c r="B1058" s="70" t="s">
        <v>29</v>
      </c>
      <c r="C1058">
        <v>101</v>
      </c>
      <c r="D1058">
        <v>1155</v>
      </c>
      <c r="E1058" s="10" t="s">
        <v>98</v>
      </c>
    </row>
    <row r="1059" spans="1:7" x14ac:dyDescent="0.35">
      <c r="A1059" s="2">
        <v>42482</v>
      </c>
      <c r="B1059" s="70" t="s">
        <v>29</v>
      </c>
      <c r="C1059">
        <v>98</v>
      </c>
      <c r="D1059">
        <v>1315</v>
      </c>
      <c r="E1059" s="10" t="s">
        <v>98</v>
      </c>
    </row>
    <row r="1060" spans="1:7" x14ac:dyDescent="0.35">
      <c r="A1060" s="2">
        <v>42482</v>
      </c>
      <c r="B1060" s="70" t="s">
        <v>29</v>
      </c>
      <c r="C1060">
        <v>102</v>
      </c>
      <c r="D1060">
        <v>1119</v>
      </c>
      <c r="E1060" s="10" t="s">
        <v>98</v>
      </c>
    </row>
    <row r="1061" spans="1:7" x14ac:dyDescent="0.35">
      <c r="A1061" s="2">
        <v>42482</v>
      </c>
      <c r="B1061" s="70" t="s">
        <v>29</v>
      </c>
      <c r="C1061">
        <v>101</v>
      </c>
      <c r="D1061">
        <v>1336</v>
      </c>
      <c r="E1061" s="10" t="s">
        <v>98</v>
      </c>
    </row>
    <row r="1062" spans="1:7" x14ac:dyDescent="0.35">
      <c r="A1062" s="2">
        <v>42482</v>
      </c>
      <c r="B1062" s="70" t="s">
        <v>29</v>
      </c>
      <c r="C1062">
        <v>131</v>
      </c>
      <c r="D1062">
        <v>3374</v>
      </c>
      <c r="E1062" s="10" t="s">
        <v>98</v>
      </c>
    </row>
    <row r="1063" spans="1:7" x14ac:dyDescent="0.35">
      <c r="A1063" s="2">
        <v>42482</v>
      </c>
      <c r="B1063" s="70" t="s">
        <v>29</v>
      </c>
      <c r="C1063">
        <v>96</v>
      </c>
      <c r="D1063">
        <v>1196</v>
      </c>
      <c r="E1063" s="10" t="s">
        <v>98</v>
      </c>
    </row>
    <row r="1064" spans="1:7" x14ac:dyDescent="0.35">
      <c r="A1064" s="2">
        <v>42482</v>
      </c>
      <c r="B1064" s="70" t="s">
        <v>29</v>
      </c>
      <c r="C1064">
        <v>98</v>
      </c>
      <c r="D1064">
        <v>969</v>
      </c>
      <c r="E1064" s="10" t="s">
        <v>98</v>
      </c>
    </row>
    <row r="1065" spans="1:7" x14ac:dyDescent="0.35">
      <c r="A1065" s="2">
        <v>42482</v>
      </c>
      <c r="B1065" s="70" t="s">
        <v>29</v>
      </c>
      <c r="C1065">
        <v>106</v>
      </c>
      <c r="D1065">
        <v>1248</v>
      </c>
      <c r="E1065" s="10" t="s">
        <v>98</v>
      </c>
    </row>
    <row r="1066" spans="1:7" x14ac:dyDescent="0.35">
      <c r="A1066" s="2">
        <v>42482</v>
      </c>
      <c r="B1066" s="70" t="s">
        <v>29</v>
      </c>
      <c r="C1066">
        <v>156</v>
      </c>
      <c r="D1066">
        <v>4862</v>
      </c>
      <c r="E1066" s="10" t="s">
        <v>98</v>
      </c>
      <c r="G1066" s="42" t="e">
        <f>AVERAGE(#REF!)</f>
        <v>#REF!</v>
      </c>
    </row>
    <row r="1067" spans="1:7" x14ac:dyDescent="0.35">
      <c r="A1067" s="2">
        <v>42482</v>
      </c>
      <c r="B1067" s="70" t="s">
        <v>29</v>
      </c>
      <c r="C1067">
        <v>78</v>
      </c>
      <c r="D1067">
        <v>388</v>
      </c>
      <c r="E1067" s="10" t="s">
        <v>34</v>
      </c>
    </row>
    <row r="1068" spans="1:7" x14ac:dyDescent="0.35">
      <c r="A1068" s="2">
        <v>42482</v>
      </c>
      <c r="B1068" s="70" t="s">
        <v>29</v>
      </c>
      <c r="C1068">
        <v>74</v>
      </c>
      <c r="D1068">
        <v>313</v>
      </c>
      <c r="E1068" s="10" t="s">
        <v>34</v>
      </c>
    </row>
    <row r="1069" spans="1:7" x14ac:dyDescent="0.35">
      <c r="A1069" s="2">
        <v>42482</v>
      </c>
      <c r="B1069" s="70" t="s">
        <v>29</v>
      </c>
      <c r="C1069">
        <v>62</v>
      </c>
      <c r="D1069">
        <v>187</v>
      </c>
      <c r="E1069" s="10" t="s">
        <v>34</v>
      </c>
    </row>
    <row r="1070" spans="1:7" x14ac:dyDescent="0.35">
      <c r="A1070" s="2">
        <v>42482</v>
      </c>
      <c r="B1070" s="70" t="s">
        <v>29</v>
      </c>
      <c r="C1070">
        <v>73</v>
      </c>
      <c r="D1070">
        <v>369</v>
      </c>
      <c r="E1070" s="10" t="s">
        <v>34</v>
      </c>
    </row>
    <row r="1071" spans="1:7" x14ac:dyDescent="0.35">
      <c r="A1071" s="2">
        <v>42482</v>
      </c>
      <c r="B1071" s="70" t="s">
        <v>29</v>
      </c>
      <c r="C1071">
        <v>65</v>
      </c>
      <c r="D1071">
        <v>188</v>
      </c>
      <c r="E1071" s="10" t="s">
        <v>34</v>
      </c>
    </row>
    <row r="1072" spans="1:7" x14ac:dyDescent="0.35">
      <c r="A1072" s="2">
        <v>42482</v>
      </c>
      <c r="B1072" s="70" t="s">
        <v>29</v>
      </c>
      <c r="C1072">
        <v>70</v>
      </c>
      <c r="D1072">
        <v>285</v>
      </c>
      <c r="E1072" s="10" t="s">
        <v>32</v>
      </c>
    </row>
    <row r="1073" spans="1:5" x14ac:dyDescent="0.35">
      <c r="A1073" s="2">
        <v>42482</v>
      </c>
      <c r="B1073" s="70" t="s">
        <v>29</v>
      </c>
      <c r="C1073">
        <v>79</v>
      </c>
      <c r="D1073">
        <v>371</v>
      </c>
      <c r="E1073" s="10" t="s">
        <v>34</v>
      </c>
    </row>
    <row r="1074" spans="1:5" x14ac:dyDescent="0.35">
      <c r="A1074" s="2">
        <v>42482</v>
      </c>
      <c r="B1074" s="70" t="s">
        <v>29</v>
      </c>
      <c r="C1074">
        <v>72</v>
      </c>
      <c r="D1074">
        <v>335</v>
      </c>
      <c r="E1074" s="10" t="s">
        <v>32</v>
      </c>
    </row>
    <row r="1075" spans="1:5" x14ac:dyDescent="0.35">
      <c r="A1075" s="2">
        <v>42482</v>
      </c>
      <c r="B1075" s="70" t="s">
        <v>29</v>
      </c>
      <c r="C1075">
        <v>65</v>
      </c>
      <c r="D1075">
        <v>235</v>
      </c>
      <c r="E1075" s="10" t="s">
        <v>32</v>
      </c>
    </row>
    <row r="1076" spans="1:5" x14ac:dyDescent="0.35">
      <c r="A1076" s="2">
        <v>42482</v>
      </c>
      <c r="B1076" s="70" t="s">
        <v>29</v>
      </c>
      <c r="C1076">
        <v>74</v>
      </c>
      <c r="D1076">
        <v>331</v>
      </c>
      <c r="E1076" s="10" t="s">
        <v>32</v>
      </c>
    </row>
    <row r="1077" spans="1:5" x14ac:dyDescent="0.35">
      <c r="A1077" s="2">
        <v>42482</v>
      </c>
      <c r="B1077" s="70" t="s">
        <v>29</v>
      </c>
      <c r="C1077">
        <v>68</v>
      </c>
      <c r="D1077">
        <v>212</v>
      </c>
      <c r="E1077" s="10" t="s">
        <v>32</v>
      </c>
    </row>
    <row r="1078" spans="1:5" x14ac:dyDescent="0.35">
      <c r="A1078" s="2">
        <v>42482</v>
      </c>
      <c r="B1078" s="70" t="s">
        <v>29</v>
      </c>
      <c r="C1078">
        <v>69</v>
      </c>
      <c r="D1078">
        <v>209</v>
      </c>
      <c r="E1078" s="10" t="s">
        <v>32</v>
      </c>
    </row>
    <row r="1079" spans="1:5" x14ac:dyDescent="0.35">
      <c r="A1079" s="2">
        <v>42482</v>
      </c>
      <c r="B1079" s="70" t="s">
        <v>29</v>
      </c>
      <c r="C1079">
        <v>69</v>
      </c>
      <c r="D1079">
        <v>239</v>
      </c>
      <c r="E1079" s="10" t="s">
        <v>34</v>
      </c>
    </row>
    <row r="1080" spans="1:5" x14ac:dyDescent="0.35">
      <c r="A1080" s="2">
        <v>42482</v>
      </c>
      <c r="B1080" s="70" t="s">
        <v>29</v>
      </c>
      <c r="C1080">
        <v>75</v>
      </c>
      <c r="D1080">
        <v>336</v>
      </c>
      <c r="E1080" s="10" t="s">
        <v>34</v>
      </c>
    </row>
    <row r="1081" spans="1:5" x14ac:dyDescent="0.35">
      <c r="A1081" s="2">
        <v>42482</v>
      </c>
      <c r="B1081" s="70" t="s">
        <v>29</v>
      </c>
      <c r="C1081">
        <v>61</v>
      </c>
      <c r="D1081">
        <v>158</v>
      </c>
      <c r="E1081" s="10" t="s">
        <v>32</v>
      </c>
    </row>
    <row r="1082" spans="1:5" x14ac:dyDescent="0.35">
      <c r="A1082" s="2">
        <v>42482</v>
      </c>
      <c r="B1082" s="70" t="s">
        <v>29</v>
      </c>
      <c r="C1082">
        <v>68</v>
      </c>
      <c r="D1082">
        <v>254</v>
      </c>
      <c r="E1082" s="10" t="s">
        <v>32</v>
      </c>
    </row>
    <row r="1083" spans="1:5" x14ac:dyDescent="0.35">
      <c r="A1083" s="2">
        <v>42482</v>
      </c>
      <c r="B1083" s="70" t="s">
        <v>29</v>
      </c>
      <c r="C1083">
        <v>72</v>
      </c>
      <c r="D1083">
        <v>360</v>
      </c>
      <c r="E1083" s="10" t="s">
        <v>34</v>
      </c>
    </row>
    <row r="1084" spans="1:5" x14ac:dyDescent="0.35">
      <c r="A1084" s="2">
        <v>42482</v>
      </c>
      <c r="B1084" s="70" t="s">
        <v>29</v>
      </c>
      <c r="C1084">
        <v>70</v>
      </c>
      <c r="D1084">
        <v>283</v>
      </c>
      <c r="E1084" s="10" t="s">
        <v>32</v>
      </c>
    </row>
    <row r="1085" spans="1:5" x14ac:dyDescent="0.35">
      <c r="A1085" s="2">
        <v>42482</v>
      </c>
      <c r="B1085" s="70" t="s">
        <v>29</v>
      </c>
      <c r="C1085">
        <v>71</v>
      </c>
      <c r="D1085">
        <v>257</v>
      </c>
      <c r="E1085" s="10" t="s">
        <v>32</v>
      </c>
    </row>
    <row r="1086" spans="1:5" x14ac:dyDescent="0.35">
      <c r="A1086" s="2">
        <v>42482</v>
      </c>
      <c r="B1086" s="70" t="s">
        <v>29</v>
      </c>
      <c r="C1086">
        <v>72</v>
      </c>
      <c r="D1086">
        <v>316</v>
      </c>
      <c r="E1086" s="10" t="s">
        <v>32</v>
      </c>
    </row>
    <row r="1087" spans="1:5" x14ac:dyDescent="0.35">
      <c r="A1087" s="2">
        <v>42482</v>
      </c>
      <c r="B1087" s="70" t="s">
        <v>29</v>
      </c>
      <c r="C1087">
        <v>68</v>
      </c>
      <c r="D1087">
        <v>302</v>
      </c>
      <c r="E1087" s="10" t="s">
        <v>34</v>
      </c>
    </row>
    <row r="1088" spans="1:5" x14ac:dyDescent="0.35">
      <c r="A1088" s="2">
        <v>42482</v>
      </c>
      <c r="B1088" s="70" t="s">
        <v>29</v>
      </c>
      <c r="C1088">
        <v>74</v>
      </c>
      <c r="D1088">
        <v>367</v>
      </c>
      <c r="E1088" s="10" t="s">
        <v>32</v>
      </c>
    </row>
    <row r="1089" spans="1:5" x14ac:dyDescent="0.35">
      <c r="A1089" s="2">
        <v>42482</v>
      </c>
      <c r="B1089" s="70" t="s">
        <v>29</v>
      </c>
      <c r="C1089">
        <v>70</v>
      </c>
      <c r="D1089">
        <v>321</v>
      </c>
      <c r="E1089" s="10" t="s">
        <v>34</v>
      </c>
    </row>
    <row r="1090" spans="1:5" x14ac:dyDescent="0.35">
      <c r="A1090" s="2">
        <v>42482</v>
      </c>
      <c r="B1090" s="70" t="s">
        <v>29</v>
      </c>
      <c r="C1090">
        <v>65</v>
      </c>
      <c r="D1090">
        <v>252</v>
      </c>
      <c r="E1090" s="10" t="s">
        <v>34</v>
      </c>
    </row>
    <row r="1091" spans="1:5" x14ac:dyDescent="0.35">
      <c r="A1091" s="2">
        <v>42482</v>
      </c>
      <c r="B1091" s="70" t="s">
        <v>29</v>
      </c>
      <c r="C1091">
        <v>76</v>
      </c>
      <c r="D1091">
        <v>396</v>
      </c>
      <c r="E1091" s="10" t="s">
        <v>34</v>
      </c>
    </row>
    <row r="1092" spans="1:5" x14ac:dyDescent="0.35">
      <c r="A1092" s="2">
        <v>42482</v>
      </c>
      <c r="B1092" s="70" t="s">
        <v>29</v>
      </c>
      <c r="C1092">
        <v>69</v>
      </c>
      <c r="D1092">
        <v>252</v>
      </c>
      <c r="E1092" s="10" t="s">
        <v>34</v>
      </c>
    </row>
    <row r="1093" spans="1:5" x14ac:dyDescent="0.35">
      <c r="A1093" s="2">
        <v>42482</v>
      </c>
      <c r="B1093" s="70" t="s">
        <v>29</v>
      </c>
      <c r="C1093">
        <v>68</v>
      </c>
      <c r="D1093">
        <v>238</v>
      </c>
      <c r="E1093" s="10" t="s">
        <v>32</v>
      </c>
    </row>
    <row r="1094" spans="1:5" x14ac:dyDescent="0.35">
      <c r="A1094" s="2">
        <v>42482</v>
      </c>
      <c r="B1094" s="70" t="s">
        <v>29</v>
      </c>
      <c r="C1094">
        <v>68</v>
      </c>
      <c r="D1094">
        <v>257</v>
      </c>
      <c r="E1094" s="10" t="s">
        <v>32</v>
      </c>
    </row>
    <row r="1095" spans="1:5" x14ac:dyDescent="0.35">
      <c r="A1095" s="2">
        <v>42482</v>
      </c>
      <c r="B1095" s="70" t="s">
        <v>29</v>
      </c>
      <c r="C1095">
        <v>74</v>
      </c>
      <c r="D1095">
        <v>355</v>
      </c>
      <c r="E1095" s="10" t="s">
        <v>32</v>
      </c>
    </row>
    <row r="1096" spans="1:5" x14ac:dyDescent="0.35">
      <c r="A1096" s="2">
        <v>42482</v>
      </c>
      <c r="B1096" s="70" t="s">
        <v>29</v>
      </c>
      <c r="C1096">
        <v>73</v>
      </c>
      <c r="D1096">
        <v>319</v>
      </c>
      <c r="E1096" s="10" t="s">
        <v>34</v>
      </c>
    </row>
    <row r="1097" spans="1:5" x14ac:dyDescent="0.35">
      <c r="A1097" s="2">
        <v>42482</v>
      </c>
      <c r="B1097" s="70" t="s">
        <v>29</v>
      </c>
      <c r="C1097">
        <v>76</v>
      </c>
      <c r="D1097">
        <v>335</v>
      </c>
      <c r="E1097" s="10" t="s">
        <v>32</v>
      </c>
    </row>
    <row r="1098" spans="1:5" x14ac:dyDescent="0.35">
      <c r="A1098" s="2">
        <v>42482</v>
      </c>
      <c r="B1098" s="70" t="s">
        <v>29</v>
      </c>
      <c r="C1098">
        <v>68</v>
      </c>
      <c r="D1098">
        <v>282</v>
      </c>
      <c r="E1098" s="10" t="s">
        <v>34</v>
      </c>
    </row>
    <row r="1099" spans="1:5" x14ac:dyDescent="0.35">
      <c r="A1099" s="2">
        <v>42482</v>
      </c>
      <c r="B1099" s="70" t="s">
        <v>29</v>
      </c>
      <c r="C1099">
        <v>65</v>
      </c>
      <c r="D1099">
        <v>197</v>
      </c>
      <c r="E1099" s="10" t="s">
        <v>34</v>
      </c>
    </row>
    <row r="1100" spans="1:5" x14ac:dyDescent="0.35">
      <c r="A1100" s="2">
        <v>42482</v>
      </c>
      <c r="B1100" s="70" t="s">
        <v>29</v>
      </c>
      <c r="C1100">
        <v>76</v>
      </c>
      <c r="D1100">
        <v>364</v>
      </c>
      <c r="E1100" s="10" t="s">
        <v>32</v>
      </c>
    </row>
    <row r="1101" spans="1:5" x14ac:dyDescent="0.35">
      <c r="A1101" s="2">
        <v>42482</v>
      </c>
      <c r="B1101" s="70" t="s">
        <v>29</v>
      </c>
      <c r="C1101">
        <v>72</v>
      </c>
      <c r="D1101">
        <v>324</v>
      </c>
      <c r="E1101" s="10" t="s">
        <v>34</v>
      </c>
    </row>
    <row r="1102" spans="1:5" x14ac:dyDescent="0.35">
      <c r="A1102" s="2">
        <v>42482</v>
      </c>
      <c r="B1102" s="70" t="s">
        <v>29</v>
      </c>
      <c r="C1102">
        <v>63</v>
      </c>
      <c r="D1102">
        <v>234</v>
      </c>
      <c r="E1102" s="10" t="s">
        <v>34</v>
      </c>
    </row>
    <row r="1103" spans="1:5" x14ac:dyDescent="0.35">
      <c r="A1103" s="2">
        <v>42482</v>
      </c>
      <c r="B1103" s="70" t="s">
        <v>29</v>
      </c>
      <c r="C1103">
        <v>74</v>
      </c>
      <c r="D1103">
        <v>335</v>
      </c>
      <c r="E1103" s="10" t="s">
        <v>32</v>
      </c>
    </row>
    <row r="1104" spans="1:5" x14ac:dyDescent="0.35">
      <c r="A1104" s="2">
        <v>42482</v>
      </c>
      <c r="B1104" s="70" t="s">
        <v>29</v>
      </c>
      <c r="C1104">
        <v>68</v>
      </c>
      <c r="D1104">
        <v>308</v>
      </c>
      <c r="E1104" s="10" t="s">
        <v>32</v>
      </c>
    </row>
    <row r="1105" spans="1:21" x14ac:dyDescent="0.35">
      <c r="A1105" s="2">
        <v>42482</v>
      </c>
      <c r="B1105" s="70" t="s">
        <v>29</v>
      </c>
      <c r="C1105">
        <v>75</v>
      </c>
      <c r="D1105">
        <v>341</v>
      </c>
      <c r="E1105" s="10" t="s">
        <v>32</v>
      </c>
    </row>
    <row r="1106" spans="1:21" x14ac:dyDescent="0.35">
      <c r="A1106" s="2">
        <v>42482</v>
      </c>
      <c r="B1106" s="70" t="s">
        <v>29</v>
      </c>
      <c r="C1106">
        <v>64</v>
      </c>
      <c r="D1106">
        <v>192</v>
      </c>
      <c r="E1106" s="10" t="s">
        <v>34</v>
      </c>
    </row>
    <row r="1107" spans="1:21" x14ac:dyDescent="0.35">
      <c r="A1107" s="2">
        <v>42482</v>
      </c>
      <c r="B1107" s="70" t="s">
        <v>29</v>
      </c>
      <c r="C1107">
        <v>70</v>
      </c>
      <c r="D1107">
        <v>284</v>
      </c>
      <c r="E1107" s="10" t="s">
        <v>32</v>
      </c>
    </row>
    <row r="1108" spans="1:21" x14ac:dyDescent="0.35">
      <c r="A1108" s="2">
        <v>42482</v>
      </c>
      <c r="B1108" s="70" t="s">
        <v>29</v>
      </c>
      <c r="C1108">
        <v>68</v>
      </c>
      <c r="D1108">
        <v>257</v>
      </c>
      <c r="E1108" s="10" t="s">
        <v>32</v>
      </c>
    </row>
    <row r="1109" spans="1:21" x14ac:dyDescent="0.35">
      <c r="A1109" s="2">
        <v>42482</v>
      </c>
      <c r="B1109" s="70" t="s">
        <v>29</v>
      </c>
      <c r="C1109">
        <v>67</v>
      </c>
      <c r="D1109">
        <v>267</v>
      </c>
      <c r="E1109" s="10" t="s">
        <v>32</v>
      </c>
    </row>
    <row r="1110" spans="1:21" x14ac:dyDescent="0.35">
      <c r="A1110" s="2">
        <v>42482</v>
      </c>
      <c r="B1110" s="70" t="s">
        <v>29</v>
      </c>
      <c r="C1110">
        <v>74</v>
      </c>
      <c r="D1110">
        <v>291</v>
      </c>
      <c r="E1110" s="10" t="s">
        <v>34</v>
      </c>
    </row>
    <row r="1111" spans="1:21" x14ac:dyDescent="0.35">
      <c r="A1111" s="2">
        <v>42482</v>
      </c>
      <c r="B1111" s="70" t="s">
        <v>29</v>
      </c>
      <c r="C1111">
        <v>72</v>
      </c>
      <c r="D1111">
        <v>269</v>
      </c>
      <c r="E1111" s="10" t="s">
        <v>32</v>
      </c>
    </row>
    <row r="1112" spans="1:21" x14ac:dyDescent="0.35">
      <c r="A1112" s="2">
        <v>42482</v>
      </c>
      <c r="B1112" s="70" t="s">
        <v>29</v>
      </c>
      <c r="C1112">
        <v>75</v>
      </c>
      <c r="D1112">
        <v>347</v>
      </c>
      <c r="E1112" s="10" t="s">
        <v>32</v>
      </c>
    </row>
    <row r="1113" spans="1:21" x14ac:dyDescent="0.35">
      <c r="A1113" s="2">
        <v>42482</v>
      </c>
      <c r="B1113" s="70" t="s">
        <v>29</v>
      </c>
      <c r="C1113">
        <v>70</v>
      </c>
      <c r="D1113">
        <v>326</v>
      </c>
      <c r="E1113" s="10" t="s">
        <v>34</v>
      </c>
    </row>
    <row r="1114" spans="1:21" x14ac:dyDescent="0.35">
      <c r="A1114" s="2">
        <v>42482</v>
      </c>
      <c r="B1114" s="70" t="s">
        <v>29</v>
      </c>
      <c r="C1114">
        <v>66</v>
      </c>
      <c r="D1114">
        <v>200</v>
      </c>
      <c r="E1114" s="10" t="s">
        <v>32</v>
      </c>
      <c r="G1114" t="s">
        <v>42</v>
      </c>
      <c r="H1114" t="s">
        <v>39</v>
      </c>
      <c r="I1114" t="s">
        <v>40</v>
      </c>
      <c r="J1114" t="s">
        <v>36</v>
      </c>
      <c r="K1114" t="s">
        <v>33</v>
      </c>
      <c r="L1114" t="s">
        <v>34</v>
      </c>
      <c r="M1114" t="s">
        <v>32</v>
      </c>
      <c r="N1114" t="s">
        <v>37</v>
      </c>
      <c r="P1114" t="s">
        <v>43</v>
      </c>
      <c r="Q1114" t="s">
        <v>44</v>
      </c>
    </row>
    <row r="1115" spans="1:21" x14ac:dyDescent="0.35">
      <c r="A1115" s="2">
        <v>42482</v>
      </c>
      <c r="B1115" s="70" t="s">
        <v>29</v>
      </c>
      <c r="C1115">
        <v>68</v>
      </c>
      <c r="D1115">
        <v>241</v>
      </c>
      <c r="E1115" s="10" t="s">
        <v>33</v>
      </c>
      <c r="G1115" s="5">
        <f>COUNTIF(E1067:E1116,"VA")</f>
        <v>0</v>
      </c>
      <c r="H1115" s="5">
        <f>COUNTIF(E1067:E1116,"VB")</f>
        <v>0</v>
      </c>
      <c r="I1115" s="5">
        <f>COUNTIF(E1067:E1116,"VIA0")</f>
        <v>0</v>
      </c>
      <c r="J1115" s="5">
        <f>COUNTIF(E1067:E1116,"VIA1")</f>
        <v>0</v>
      </c>
      <c r="K1115" s="5">
        <f>COUNTIF(E1067:E1116,"VIA2")</f>
        <v>1</v>
      </c>
      <c r="L1115" s="5">
        <f>COUNTIF(E1067:E1116,"VIA3")</f>
        <v>22</v>
      </c>
      <c r="M1115" s="5">
        <f>COUNTIF(E1067:E1116,"VIA4")</f>
        <v>27</v>
      </c>
      <c r="N1115" s="5">
        <f>COUNTIF(E1067:E1116,"VIB")</f>
        <v>0</v>
      </c>
      <c r="P1115" s="7">
        <f>AVERAGE(C1067:C1116)</f>
        <v>70.22</v>
      </c>
      <c r="Q1115" s="8">
        <f>AVERAGE(D1067:D1116)</f>
        <v>286.44</v>
      </c>
      <c r="R1115" s="8"/>
      <c r="S1115" s="8" t="e">
        <f>AVERAGE(#REF!)</f>
        <v>#REF!</v>
      </c>
      <c r="T1115">
        <f>206.8/0.286</f>
        <v>723.07692307692321</v>
      </c>
      <c r="U1115" s="8">
        <f>T1115+90</f>
        <v>813.07692307692321</v>
      </c>
    </row>
    <row r="1116" spans="1:21" s="4" customFormat="1" x14ac:dyDescent="0.35">
      <c r="A1116" s="3">
        <v>42482</v>
      </c>
      <c r="B1116" s="44" t="s">
        <v>29</v>
      </c>
      <c r="C1116" s="4">
        <v>68</v>
      </c>
      <c r="D1116" s="4">
        <v>243</v>
      </c>
      <c r="E1116" s="11" t="s">
        <v>32</v>
      </c>
      <c r="G1116" s="6">
        <f>G1115/50*100</f>
        <v>0</v>
      </c>
      <c r="H1116" s="6">
        <f t="shared" ref="H1116:N1116" si="53">H1115/50*100</f>
        <v>0</v>
      </c>
      <c r="I1116" s="6">
        <f t="shared" si="53"/>
        <v>0</v>
      </c>
      <c r="J1116" s="6">
        <f t="shared" si="53"/>
        <v>0</v>
      </c>
      <c r="K1116" s="6">
        <f t="shared" si="53"/>
        <v>2</v>
      </c>
      <c r="L1116" s="6">
        <f t="shared" si="53"/>
        <v>44</v>
      </c>
      <c r="M1116" s="6">
        <f t="shared" si="53"/>
        <v>54</v>
      </c>
      <c r="N1116" s="6">
        <f t="shared" si="53"/>
        <v>0</v>
      </c>
    </row>
    <row r="1117" spans="1:21" x14ac:dyDescent="0.35">
      <c r="A1117" s="2">
        <v>42482</v>
      </c>
      <c r="B1117" s="70" t="s">
        <v>38</v>
      </c>
      <c r="C1117" s="10">
        <v>114</v>
      </c>
      <c r="D1117" s="10">
        <v>1775</v>
      </c>
      <c r="E1117" s="10" t="s">
        <v>98</v>
      </c>
    </row>
    <row r="1118" spans="1:21" x14ac:dyDescent="0.35">
      <c r="A1118" s="2">
        <v>42482</v>
      </c>
      <c r="B1118" s="70" t="s">
        <v>38</v>
      </c>
      <c r="C1118" s="10">
        <v>93</v>
      </c>
      <c r="D1118" s="10">
        <v>836</v>
      </c>
      <c r="E1118" s="10" t="s">
        <v>98</v>
      </c>
    </row>
    <row r="1119" spans="1:21" x14ac:dyDescent="0.35">
      <c r="A1119" s="2">
        <v>42482</v>
      </c>
      <c r="B1119" s="70" t="s">
        <v>38</v>
      </c>
      <c r="C1119" s="10">
        <v>119</v>
      </c>
      <c r="D1119" s="10">
        <v>2041</v>
      </c>
      <c r="E1119" s="10" t="s">
        <v>98</v>
      </c>
    </row>
    <row r="1120" spans="1:21" x14ac:dyDescent="0.35">
      <c r="A1120" s="2">
        <v>42482</v>
      </c>
      <c r="B1120" s="70" t="s">
        <v>38</v>
      </c>
      <c r="C1120" s="10">
        <v>112</v>
      </c>
      <c r="D1120" s="10">
        <v>1535</v>
      </c>
      <c r="E1120" s="10" t="s">
        <v>98</v>
      </c>
    </row>
    <row r="1121" spans="1:5" x14ac:dyDescent="0.35">
      <c r="A1121" s="2">
        <v>42482</v>
      </c>
      <c r="B1121" s="70" t="s">
        <v>38</v>
      </c>
      <c r="C1121" s="10">
        <v>110</v>
      </c>
      <c r="D1121" s="10">
        <v>1385</v>
      </c>
      <c r="E1121" s="10" t="s">
        <v>98</v>
      </c>
    </row>
    <row r="1122" spans="1:5" x14ac:dyDescent="0.35">
      <c r="A1122" s="2">
        <v>42482</v>
      </c>
      <c r="B1122" s="70" t="s">
        <v>38</v>
      </c>
      <c r="C1122" s="10">
        <v>106</v>
      </c>
      <c r="D1122" s="10">
        <v>1644</v>
      </c>
      <c r="E1122" s="10" t="s">
        <v>98</v>
      </c>
    </row>
    <row r="1123" spans="1:5" x14ac:dyDescent="0.35">
      <c r="A1123" s="2">
        <v>42482</v>
      </c>
      <c r="B1123" s="70" t="s">
        <v>38</v>
      </c>
      <c r="C1123" s="10">
        <v>112</v>
      </c>
      <c r="D1123" s="10">
        <v>1401</v>
      </c>
      <c r="E1123" s="10" t="s">
        <v>98</v>
      </c>
    </row>
    <row r="1124" spans="1:5" x14ac:dyDescent="0.35">
      <c r="A1124" s="2">
        <v>42482</v>
      </c>
      <c r="B1124" s="70" t="s">
        <v>38</v>
      </c>
      <c r="C1124" s="10">
        <v>100</v>
      </c>
      <c r="D1124" s="10">
        <v>1235</v>
      </c>
      <c r="E1124" s="10" t="s">
        <v>98</v>
      </c>
    </row>
    <row r="1125" spans="1:5" x14ac:dyDescent="0.35">
      <c r="A1125" s="2">
        <v>42482</v>
      </c>
      <c r="B1125" s="70" t="s">
        <v>38</v>
      </c>
      <c r="C1125" s="10">
        <v>105</v>
      </c>
      <c r="D1125" s="10">
        <v>1362</v>
      </c>
      <c r="E1125" s="10" t="s">
        <v>98</v>
      </c>
    </row>
    <row r="1126" spans="1:5" x14ac:dyDescent="0.35">
      <c r="A1126" s="2">
        <v>42482</v>
      </c>
      <c r="B1126" s="70" t="s">
        <v>38</v>
      </c>
      <c r="C1126" s="10">
        <v>102</v>
      </c>
      <c r="D1126" s="10">
        <v>1228</v>
      </c>
      <c r="E1126" s="10" t="s">
        <v>98</v>
      </c>
    </row>
    <row r="1127" spans="1:5" x14ac:dyDescent="0.35">
      <c r="A1127" s="2">
        <v>42482</v>
      </c>
      <c r="B1127" s="70" t="s">
        <v>38</v>
      </c>
      <c r="C1127" s="10">
        <v>93</v>
      </c>
      <c r="D1127" s="10">
        <v>991</v>
      </c>
      <c r="E1127" s="10" t="s">
        <v>98</v>
      </c>
    </row>
    <row r="1128" spans="1:5" x14ac:dyDescent="0.35">
      <c r="A1128" s="2">
        <v>42482</v>
      </c>
      <c r="B1128" s="70" t="s">
        <v>38</v>
      </c>
      <c r="C1128" s="10">
        <v>116</v>
      </c>
      <c r="D1128" s="10">
        <v>1773</v>
      </c>
      <c r="E1128" s="10" t="s">
        <v>98</v>
      </c>
    </row>
    <row r="1129" spans="1:5" x14ac:dyDescent="0.35">
      <c r="A1129" s="2">
        <v>42482</v>
      </c>
      <c r="B1129" s="70" t="s">
        <v>38</v>
      </c>
      <c r="C1129" s="10">
        <v>97</v>
      </c>
      <c r="D1129" s="10">
        <v>1218</v>
      </c>
      <c r="E1129" s="10" t="s">
        <v>98</v>
      </c>
    </row>
    <row r="1130" spans="1:5" x14ac:dyDescent="0.35">
      <c r="A1130" s="2">
        <v>42482</v>
      </c>
      <c r="B1130" s="70" t="s">
        <v>38</v>
      </c>
      <c r="C1130" s="10">
        <v>93</v>
      </c>
      <c r="D1130" s="10">
        <v>885</v>
      </c>
      <c r="E1130" s="10" t="s">
        <v>98</v>
      </c>
    </row>
    <row r="1131" spans="1:5" x14ac:dyDescent="0.35">
      <c r="A1131" s="2">
        <v>42482</v>
      </c>
      <c r="B1131" s="70" t="s">
        <v>38</v>
      </c>
      <c r="C1131" s="10">
        <v>102</v>
      </c>
      <c r="D1131" s="10">
        <v>1179</v>
      </c>
      <c r="E1131" s="10" t="s">
        <v>98</v>
      </c>
    </row>
    <row r="1132" spans="1:5" x14ac:dyDescent="0.35">
      <c r="A1132" s="2">
        <v>42482</v>
      </c>
      <c r="B1132" s="70" t="s">
        <v>38</v>
      </c>
      <c r="C1132" s="10">
        <v>107</v>
      </c>
      <c r="D1132" s="10">
        <v>1443</v>
      </c>
      <c r="E1132" s="10" t="s">
        <v>98</v>
      </c>
    </row>
    <row r="1133" spans="1:5" x14ac:dyDescent="0.35">
      <c r="A1133" s="2">
        <v>42482</v>
      </c>
      <c r="B1133" s="70" t="s">
        <v>38</v>
      </c>
      <c r="C1133" s="10">
        <v>111</v>
      </c>
      <c r="D1133" s="10">
        <v>1654</v>
      </c>
      <c r="E1133" s="10" t="s">
        <v>98</v>
      </c>
    </row>
    <row r="1134" spans="1:5" x14ac:dyDescent="0.35">
      <c r="A1134" s="2">
        <v>42482</v>
      </c>
      <c r="B1134" s="70" t="s">
        <v>38</v>
      </c>
      <c r="C1134" s="10">
        <v>98</v>
      </c>
      <c r="D1134" s="10">
        <v>1074</v>
      </c>
      <c r="E1134" s="10" t="s">
        <v>98</v>
      </c>
    </row>
    <row r="1135" spans="1:5" x14ac:dyDescent="0.35">
      <c r="A1135" s="2">
        <v>42482</v>
      </c>
      <c r="B1135" s="70" t="s">
        <v>38</v>
      </c>
      <c r="C1135" s="10">
        <v>103</v>
      </c>
      <c r="D1135" s="10">
        <v>1196</v>
      </c>
      <c r="E1135" s="10" t="s">
        <v>98</v>
      </c>
    </row>
    <row r="1136" spans="1:5" x14ac:dyDescent="0.35">
      <c r="A1136" s="2">
        <v>42482</v>
      </c>
      <c r="B1136" s="70" t="s">
        <v>38</v>
      </c>
      <c r="C1136" s="10">
        <v>86</v>
      </c>
      <c r="D1136" s="10">
        <v>874</v>
      </c>
      <c r="E1136" s="10" t="s">
        <v>98</v>
      </c>
    </row>
    <row r="1137" spans="1:9" x14ac:dyDescent="0.35">
      <c r="A1137" s="2">
        <v>42482</v>
      </c>
      <c r="B1137" s="70" t="s">
        <v>38</v>
      </c>
      <c r="C1137" s="10">
        <v>107</v>
      </c>
      <c r="D1137" s="10">
        <v>1302</v>
      </c>
      <c r="E1137" s="10" t="s">
        <v>98</v>
      </c>
    </row>
    <row r="1138" spans="1:9" x14ac:dyDescent="0.35">
      <c r="A1138" s="2">
        <v>42482</v>
      </c>
      <c r="B1138" s="70" t="s">
        <v>38</v>
      </c>
      <c r="C1138" s="10">
        <v>114</v>
      </c>
      <c r="D1138" s="10">
        <v>1826</v>
      </c>
      <c r="E1138" s="10" t="s">
        <v>98</v>
      </c>
    </row>
    <row r="1139" spans="1:9" x14ac:dyDescent="0.35">
      <c r="A1139" s="2">
        <v>42482</v>
      </c>
      <c r="B1139" s="70" t="s">
        <v>38</v>
      </c>
      <c r="C1139" s="10">
        <v>89</v>
      </c>
      <c r="D1139" s="10">
        <v>732</v>
      </c>
      <c r="E1139" s="10" t="s">
        <v>98</v>
      </c>
    </row>
    <row r="1140" spans="1:9" x14ac:dyDescent="0.35">
      <c r="A1140" s="2">
        <v>42482</v>
      </c>
      <c r="B1140" s="70" t="s">
        <v>38</v>
      </c>
      <c r="C1140" s="10">
        <v>116</v>
      </c>
      <c r="D1140" s="10">
        <v>1767</v>
      </c>
      <c r="E1140" s="10" t="s">
        <v>98</v>
      </c>
    </row>
    <row r="1141" spans="1:9" x14ac:dyDescent="0.35">
      <c r="A1141" s="2">
        <v>42482</v>
      </c>
      <c r="B1141" s="70" t="s">
        <v>38</v>
      </c>
      <c r="C1141" s="10">
        <v>114</v>
      </c>
      <c r="D1141" s="10">
        <v>1958</v>
      </c>
      <c r="E1141" s="10" t="s">
        <v>98</v>
      </c>
    </row>
    <row r="1142" spans="1:9" x14ac:dyDescent="0.35">
      <c r="A1142" s="2">
        <v>42482</v>
      </c>
      <c r="B1142" s="70" t="s">
        <v>38</v>
      </c>
      <c r="C1142" s="10">
        <v>117</v>
      </c>
      <c r="D1142" s="10">
        <v>1908</v>
      </c>
      <c r="E1142" s="10" t="s">
        <v>98</v>
      </c>
    </row>
    <row r="1143" spans="1:9" x14ac:dyDescent="0.35">
      <c r="A1143" s="2">
        <v>42482</v>
      </c>
      <c r="B1143" s="70" t="s">
        <v>38</v>
      </c>
      <c r="C1143" s="10">
        <v>98</v>
      </c>
      <c r="D1143" s="10">
        <v>1180</v>
      </c>
      <c r="E1143" s="10" t="s">
        <v>98</v>
      </c>
    </row>
    <row r="1144" spans="1:9" x14ac:dyDescent="0.35">
      <c r="A1144" s="2">
        <v>42482</v>
      </c>
      <c r="B1144" s="70" t="s">
        <v>38</v>
      </c>
      <c r="C1144" s="10">
        <v>84</v>
      </c>
      <c r="D1144" s="10">
        <v>717</v>
      </c>
      <c r="E1144" s="10" t="s">
        <v>98</v>
      </c>
    </row>
    <row r="1145" spans="1:9" x14ac:dyDescent="0.35">
      <c r="A1145" s="2">
        <v>42482</v>
      </c>
      <c r="B1145" s="70" t="s">
        <v>38</v>
      </c>
      <c r="C1145" s="10">
        <v>120</v>
      </c>
      <c r="D1145" s="10">
        <v>2323</v>
      </c>
      <c r="E1145" s="10" t="s">
        <v>98</v>
      </c>
      <c r="I1145" s="42" t="e">
        <f>AVERAGE(#REF!)</f>
        <v>#REF!</v>
      </c>
    </row>
    <row r="1146" spans="1:9" x14ac:dyDescent="0.35">
      <c r="A1146" s="2">
        <v>42482</v>
      </c>
      <c r="B1146" s="70" t="s">
        <v>38</v>
      </c>
      <c r="C1146" s="10">
        <v>76</v>
      </c>
      <c r="D1146" s="10">
        <v>424</v>
      </c>
      <c r="E1146" s="10" t="s">
        <v>32</v>
      </c>
      <c r="I1146" s="42" t="e">
        <f>AVERAGE(#REF!,#REF!)</f>
        <v>#REF!</v>
      </c>
    </row>
    <row r="1147" spans="1:9" x14ac:dyDescent="0.35">
      <c r="A1147" s="2">
        <v>42482</v>
      </c>
      <c r="B1147" s="70" t="s">
        <v>38</v>
      </c>
      <c r="C1147" s="10">
        <v>70</v>
      </c>
      <c r="D1147" s="10">
        <v>330</v>
      </c>
      <c r="E1147" s="10" t="s">
        <v>32</v>
      </c>
      <c r="G1147" t="s">
        <v>142</v>
      </c>
    </row>
    <row r="1148" spans="1:9" x14ac:dyDescent="0.35">
      <c r="A1148" s="2">
        <v>42482</v>
      </c>
      <c r="B1148" s="70" t="s">
        <v>38</v>
      </c>
      <c r="C1148" s="10">
        <v>66</v>
      </c>
      <c r="D1148" s="10">
        <v>230</v>
      </c>
      <c r="E1148" s="10" t="s">
        <v>34</v>
      </c>
    </row>
    <row r="1149" spans="1:9" x14ac:dyDescent="0.35">
      <c r="A1149" s="2">
        <v>42482</v>
      </c>
      <c r="B1149" s="70" t="s">
        <v>38</v>
      </c>
      <c r="C1149" s="10">
        <v>68</v>
      </c>
      <c r="D1149" s="10">
        <v>213</v>
      </c>
      <c r="E1149" s="10" t="s">
        <v>32</v>
      </c>
    </row>
    <row r="1150" spans="1:9" x14ac:dyDescent="0.35">
      <c r="A1150" s="2">
        <v>42482</v>
      </c>
      <c r="B1150" s="70" t="s">
        <v>38</v>
      </c>
      <c r="C1150" s="10">
        <v>72</v>
      </c>
      <c r="D1150" s="10">
        <v>377</v>
      </c>
      <c r="E1150" s="10" t="s">
        <v>32</v>
      </c>
    </row>
    <row r="1151" spans="1:9" x14ac:dyDescent="0.35">
      <c r="A1151" s="2">
        <v>42482</v>
      </c>
      <c r="B1151" s="70" t="s">
        <v>38</v>
      </c>
      <c r="C1151" s="10">
        <v>68</v>
      </c>
      <c r="D1151" s="10">
        <v>236</v>
      </c>
      <c r="E1151" s="10" t="s">
        <v>32</v>
      </c>
    </row>
    <row r="1152" spans="1:9" x14ac:dyDescent="0.35">
      <c r="A1152" s="2">
        <v>42482</v>
      </c>
      <c r="B1152" s="70" t="s">
        <v>38</v>
      </c>
      <c r="C1152" s="10">
        <v>75</v>
      </c>
      <c r="D1152" s="10">
        <v>373</v>
      </c>
      <c r="E1152" s="10" t="s">
        <v>34</v>
      </c>
    </row>
    <row r="1153" spans="1:5" x14ac:dyDescent="0.35">
      <c r="A1153" s="2">
        <v>42482</v>
      </c>
      <c r="B1153" s="70" t="s">
        <v>38</v>
      </c>
      <c r="C1153" s="10">
        <v>70</v>
      </c>
      <c r="D1153" s="10">
        <v>246</v>
      </c>
      <c r="E1153" s="10" t="s">
        <v>32</v>
      </c>
    </row>
    <row r="1154" spans="1:5" x14ac:dyDescent="0.35">
      <c r="A1154" s="2">
        <v>42482</v>
      </c>
      <c r="B1154" s="70" t="s">
        <v>38</v>
      </c>
      <c r="C1154" s="10">
        <v>70</v>
      </c>
      <c r="D1154" s="10">
        <v>271</v>
      </c>
      <c r="E1154" s="10" t="s">
        <v>32</v>
      </c>
    </row>
    <row r="1155" spans="1:5" x14ac:dyDescent="0.35">
      <c r="A1155" s="2">
        <v>42482</v>
      </c>
      <c r="B1155" s="70" t="s">
        <v>38</v>
      </c>
      <c r="C1155" s="10">
        <v>74</v>
      </c>
      <c r="D1155" s="10">
        <v>321</v>
      </c>
      <c r="E1155" s="10" t="s">
        <v>32</v>
      </c>
    </row>
    <row r="1156" spans="1:5" x14ac:dyDescent="0.35">
      <c r="A1156" s="2">
        <v>42482</v>
      </c>
      <c r="B1156" s="70" t="s">
        <v>38</v>
      </c>
      <c r="C1156" s="10">
        <v>72</v>
      </c>
      <c r="D1156" s="10">
        <v>349</v>
      </c>
      <c r="E1156" s="10" t="s">
        <v>34</v>
      </c>
    </row>
    <row r="1157" spans="1:5" x14ac:dyDescent="0.35">
      <c r="A1157" s="2">
        <v>42482</v>
      </c>
      <c r="B1157" s="70" t="s">
        <v>38</v>
      </c>
      <c r="C1157" s="10">
        <v>71</v>
      </c>
      <c r="D1157" s="10">
        <v>282</v>
      </c>
      <c r="E1157" s="10" t="s">
        <v>34</v>
      </c>
    </row>
    <row r="1158" spans="1:5" x14ac:dyDescent="0.35">
      <c r="A1158" s="2">
        <v>42482</v>
      </c>
      <c r="B1158" s="70" t="s">
        <v>38</v>
      </c>
      <c r="C1158" s="10">
        <v>71</v>
      </c>
      <c r="D1158" s="10">
        <v>311</v>
      </c>
      <c r="E1158" s="10" t="s">
        <v>32</v>
      </c>
    </row>
    <row r="1159" spans="1:5" x14ac:dyDescent="0.35">
      <c r="A1159" s="2">
        <v>42482</v>
      </c>
      <c r="B1159" s="70" t="s">
        <v>38</v>
      </c>
      <c r="C1159" s="10">
        <v>71</v>
      </c>
      <c r="D1159" s="10">
        <v>333</v>
      </c>
      <c r="E1159" s="10" t="s">
        <v>32</v>
      </c>
    </row>
    <row r="1160" spans="1:5" x14ac:dyDescent="0.35">
      <c r="A1160" s="2">
        <v>42482</v>
      </c>
      <c r="B1160" s="70" t="s">
        <v>38</v>
      </c>
      <c r="C1160" s="10">
        <v>70</v>
      </c>
      <c r="D1160" s="10">
        <v>286</v>
      </c>
      <c r="E1160" s="10" t="s">
        <v>32</v>
      </c>
    </row>
    <row r="1161" spans="1:5" x14ac:dyDescent="0.35">
      <c r="A1161" s="2">
        <v>42482</v>
      </c>
      <c r="B1161" s="70" t="s">
        <v>38</v>
      </c>
      <c r="C1161" s="10">
        <v>66</v>
      </c>
      <c r="D1161" s="10">
        <v>254</v>
      </c>
      <c r="E1161" s="10" t="s">
        <v>32</v>
      </c>
    </row>
    <row r="1162" spans="1:5" x14ac:dyDescent="0.35">
      <c r="A1162" s="2">
        <v>42482</v>
      </c>
      <c r="B1162" s="70" t="s">
        <v>38</v>
      </c>
      <c r="C1162" s="10">
        <v>60</v>
      </c>
      <c r="D1162" s="10">
        <v>199</v>
      </c>
      <c r="E1162" s="10" t="s">
        <v>34</v>
      </c>
    </row>
    <row r="1163" spans="1:5" x14ac:dyDescent="0.35">
      <c r="A1163" s="2">
        <v>42482</v>
      </c>
      <c r="B1163" s="70" t="s">
        <v>38</v>
      </c>
      <c r="C1163" s="10">
        <v>74</v>
      </c>
      <c r="D1163" s="10">
        <v>362</v>
      </c>
      <c r="E1163" s="10" t="s">
        <v>32</v>
      </c>
    </row>
    <row r="1164" spans="1:5" x14ac:dyDescent="0.35">
      <c r="A1164" s="2">
        <v>42482</v>
      </c>
      <c r="B1164" s="70" t="s">
        <v>38</v>
      </c>
      <c r="C1164" s="10">
        <v>78</v>
      </c>
      <c r="D1164" s="10">
        <v>342</v>
      </c>
      <c r="E1164" s="10" t="s">
        <v>32</v>
      </c>
    </row>
    <row r="1165" spans="1:5" x14ac:dyDescent="0.35">
      <c r="A1165" s="2">
        <v>42482</v>
      </c>
      <c r="B1165" s="70" t="s">
        <v>38</v>
      </c>
      <c r="C1165" s="10">
        <v>62</v>
      </c>
      <c r="D1165" s="10">
        <v>234</v>
      </c>
      <c r="E1165" s="10" t="s">
        <v>32</v>
      </c>
    </row>
    <row r="1166" spans="1:5" x14ac:dyDescent="0.35">
      <c r="A1166" s="2">
        <v>42482</v>
      </c>
      <c r="B1166" s="70" t="s">
        <v>38</v>
      </c>
      <c r="C1166" s="10">
        <v>70</v>
      </c>
      <c r="D1166" s="10">
        <v>283</v>
      </c>
      <c r="E1166" s="10" t="s">
        <v>32</v>
      </c>
    </row>
    <row r="1167" spans="1:5" x14ac:dyDescent="0.35">
      <c r="A1167" s="2">
        <v>42482</v>
      </c>
      <c r="B1167" s="70" t="s">
        <v>38</v>
      </c>
      <c r="C1167" s="10">
        <v>71</v>
      </c>
      <c r="D1167" s="10">
        <v>296</v>
      </c>
      <c r="E1167" s="10" t="s">
        <v>32</v>
      </c>
    </row>
    <row r="1168" spans="1:5" x14ac:dyDescent="0.35">
      <c r="A1168" s="2">
        <v>42482</v>
      </c>
      <c r="B1168" s="70" t="s">
        <v>38</v>
      </c>
      <c r="C1168" s="10">
        <v>74</v>
      </c>
      <c r="D1168" s="10">
        <v>310</v>
      </c>
      <c r="E1168" s="10" t="s">
        <v>34</v>
      </c>
    </row>
    <row r="1169" spans="1:5" x14ac:dyDescent="0.35">
      <c r="A1169" s="2">
        <v>42482</v>
      </c>
      <c r="B1169" s="70" t="s">
        <v>38</v>
      </c>
      <c r="C1169" s="10">
        <v>73</v>
      </c>
      <c r="D1169" s="10">
        <v>341</v>
      </c>
      <c r="E1169" s="10" t="s">
        <v>32</v>
      </c>
    </row>
    <row r="1170" spans="1:5" x14ac:dyDescent="0.35">
      <c r="A1170" s="2">
        <v>42482</v>
      </c>
      <c r="B1170" s="70" t="s">
        <v>38</v>
      </c>
      <c r="C1170" s="10">
        <v>73</v>
      </c>
      <c r="D1170" s="10">
        <v>331</v>
      </c>
      <c r="E1170" s="10" t="s">
        <v>32</v>
      </c>
    </row>
    <row r="1171" spans="1:5" x14ac:dyDescent="0.35">
      <c r="A1171" s="2">
        <v>42482</v>
      </c>
      <c r="B1171" s="70" t="s">
        <v>38</v>
      </c>
      <c r="C1171" s="10">
        <v>69</v>
      </c>
      <c r="D1171" s="10">
        <v>280</v>
      </c>
      <c r="E1171" s="10" t="s">
        <v>32</v>
      </c>
    </row>
    <row r="1172" spans="1:5" x14ac:dyDescent="0.35">
      <c r="A1172" s="2">
        <v>42482</v>
      </c>
      <c r="B1172" s="70" t="s">
        <v>38</v>
      </c>
      <c r="C1172" s="10">
        <v>72</v>
      </c>
      <c r="D1172" s="10">
        <v>279</v>
      </c>
      <c r="E1172" s="10" t="s">
        <v>34</v>
      </c>
    </row>
    <row r="1173" spans="1:5" x14ac:dyDescent="0.35">
      <c r="A1173" s="2">
        <v>42482</v>
      </c>
      <c r="B1173" s="70" t="s">
        <v>38</v>
      </c>
      <c r="C1173" s="10">
        <v>75</v>
      </c>
      <c r="D1173" s="10">
        <v>370</v>
      </c>
      <c r="E1173" s="10" t="s">
        <v>32</v>
      </c>
    </row>
    <row r="1174" spans="1:5" x14ac:dyDescent="0.35">
      <c r="A1174" s="2">
        <v>42482</v>
      </c>
      <c r="B1174" s="70" t="s">
        <v>38</v>
      </c>
      <c r="C1174" s="10">
        <v>63</v>
      </c>
      <c r="D1174" s="10">
        <v>212</v>
      </c>
      <c r="E1174" s="10" t="s">
        <v>32</v>
      </c>
    </row>
    <row r="1175" spans="1:5" x14ac:dyDescent="0.35">
      <c r="A1175" s="2">
        <v>42482</v>
      </c>
      <c r="B1175" s="70" t="s">
        <v>38</v>
      </c>
      <c r="C1175" s="10">
        <v>73</v>
      </c>
      <c r="D1175" s="10">
        <v>260</v>
      </c>
      <c r="E1175" s="10" t="s">
        <v>32</v>
      </c>
    </row>
    <row r="1176" spans="1:5" x14ac:dyDescent="0.35">
      <c r="A1176" s="2">
        <v>42482</v>
      </c>
      <c r="B1176" s="70" t="s">
        <v>38</v>
      </c>
      <c r="C1176" s="10">
        <v>68</v>
      </c>
      <c r="D1176" s="10">
        <v>286</v>
      </c>
      <c r="E1176" s="10" t="s">
        <v>32</v>
      </c>
    </row>
    <row r="1177" spans="1:5" x14ac:dyDescent="0.35">
      <c r="A1177" s="2">
        <v>42482</v>
      </c>
      <c r="B1177" s="70" t="s">
        <v>38</v>
      </c>
      <c r="C1177" s="10">
        <v>66</v>
      </c>
      <c r="D1177" s="10">
        <v>261</v>
      </c>
      <c r="E1177" s="10" t="s">
        <v>32</v>
      </c>
    </row>
    <row r="1178" spans="1:5" x14ac:dyDescent="0.35">
      <c r="A1178" s="2">
        <v>42482</v>
      </c>
      <c r="B1178" s="70" t="s">
        <v>38</v>
      </c>
      <c r="C1178" s="10">
        <v>72</v>
      </c>
      <c r="D1178" s="10">
        <v>336</v>
      </c>
      <c r="E1178" s="10" t="s">
        <v>34</v>
      </c>
    </row>
    <row r="1179" spans="1:5" x14ac:dyDescent="0.35">
      <c r="A1179" s="2">
        <v>42482</v>
      </c>
      <c r="B1179" s="70" t="s">
        <v>38</v>
      </c>
      <c r="C1179" s="10">
        <v>69</v>
      </c>
      <c r="D1179" s="10">
        <v>266</v>
      </c>
      <c r="E1179" s="10" t="s">
        <v>32</v>
      </c>
    </row>
    <row r="1180" spans="1:5" x14ac:dyDescent="0.35">
      <c r="A1180" s="2">
        <v>42482</v>
      </c>
      <c r="B1180" s="70" t="s">
        <v>38</v>
      </c>
      <c r="C1180" s="10">
        <v>63</v>
      </c>
      <c r="D1180" s="10">
        <v>162</v>
      </c>
      <c r="E1180" s="10" t="s">
        <v>32</v>
      </c>
    </row>
    <row r="1181" spans="1:5" x14ac:dyDescent="0.35">
      <c r="A1181" s="2">
        <v>42482</v>
      </c>
      <c r="B1181" s="70" t="s">
        <v>38</v>
      </c>
      <c r="C1181" s="10">
        <v>68</v>
      </c>
      <c r="D1181" s="10">
        <v>306</v>
      </c>
      <c r="E1181" s="10" t="s">
        <v>34</v>
      </c>
    </row>
    <row r="1182" spans="1:5" x14ac:dyDescent="0.35">
      <c r="A1182" s="2">
        <v>42482</v>
      </c>
      <c r="B1182" s="70" t="s">
        <v>38</v>
      </c>
      <c r="C1182" s="10">
        <v>63</v>
      </c>
      <c r="D1182" s="10">
        <v>182</v>
      </c>
      <c r="E1182" s="10" t="s">
        <v>32</v>
      </c>
    </row>
    <row r="1183" spans="1:5" x14ac:dyDescent="0.35">
      <c r="A1183" s="2">
        <v>42482</v>
      </c>
      <c r="B1183" s="70" t="s">
        <v>38</v>
      </c>
      <c r="C1183" s="10">
        <v>67</v>
      </c>
      <c r="D1183" s="10">
        <v>243</v>
      </c>
      <c r="E1183" s="10" t="s">
        <v>34</v>
      </c>
    </row>
    <row r="1184" spans="1:5" x14ac:dyDescent="0.35">
      <c r="A1184" s="2">
        <v>42482</v>
      </c>
      <c r="B1184" s="70" t="s">
        <v>38</v>
      </c>
      <c r="C1184" s="10">
        <v>80</v>
      </c>
      <c r="D1184" s="10">
        <v>420</v>
      </c>
      <c r="E1184" s="10" t="s">
        <v>32</v>
      </c>
    </row>
    <row r="1185" spans="1:23" x14ac:dyDescent="0.35">
      <c r="A1185" s="2">
        <v>42482</v>
      </c>
      <c r="B1185" s="70" t="s">
        <v>38</v>
      </c>
      <c r="C1185" s="10">
        <v>70</v>
      </c>
      <c r="D1185" s="10">
        <v>303</v>
      </c>
      <c r="E1185" s="10" t="s">
        <v>32</v>
      </c>
    </row>
    <row r="1186" spans="1:23" x14ac:dyDescent="0.35">
      <c r="A1186" s="2">
        <v>42482</v>
      </c>
      <c r="B1186" s="70" t="s">
        <v>38</v>
      </c>
      <c r="C1186" s="10">
        <v>70</v>
      </c>
      <c r="D1186" s="10">
        <v>356</v>
      </c>
      <c r="E1186" s="10" t="s">
        <v>34</v>
      </c>
      <c r="H1186" s="42" t="e">
        <f>AVERAGE(#REF!)</f>
        <v>#REF!</v>
      </c>
    </row>
    <row r="1187" spans="1:23" x14ac:dyDescent="0.35">
      <c r="A1187" s="2">
        <v>42482</v>
      </c>
      <c r="B1187" s="70" t="s">
        <v>38</v>
      </c>
      <c r="C1187" s="10">
        <v>74</v>
      </c>
      <c r="D1187" s="10">
        <v>328</v>
      </c>
      <c r="E1187" s="10" t="s">
        <v>32</v>
      </c>
    </row>
    <row r="1188" spans="1:23" x14ac:dyDescent="0.35">
      <c r="A1188" s="2">
        <v>42482</v>
      </c>
      <c r="B1188" s="70" t="s">
        <v>38</v>
      </c>
      <c r="C1188" s="10">
        <v>66</v>
      </c>
      <c r="D1188" s="10">
        <v>266</v>
      </c>
      <c r="E1188" s="10" t="s">
        <v>34</v>
      </c>
    </row>
    <row r="1189" spans="1:23" x14ac:dyDescent="0.35">
      <c r="A1189" s="2">
        <v>42482</v>
      </c>
      <c r="B1189" s="70" t="s">
        <v>38</v>
      </c>
      <c r="C1189" s="10">
        <v>70</v>
      </c>
      <c r="D1189" s="10">
        <v>353</v>
      </c>
      <c r="E1189" s="10" t="s">
        <v>34</v>
      </c>
    </row>
    <row r="1190" spans="1:23" x14ac:dyDescent="0.35">
      <c r="A1190" s="2">
        <v>42482</v>
      </c>
      <c r="B1190" s="70" t="s">
        <v>38</v>
      </c>
      <c r="C1190" s="10">
        <v>73</v>
      </c>
      <c r="D1190" s="10">
        <v>378</v>
      </c>
      <c r="E1190" s="10" t="s">
        <v>32</v>
      </c>
      <c r="G1190">
        <f>G1195+G1115</f>
        <v>0</v>
      </c>
      <c r="H1190">
        <f t="shared" ref="H1190:N1190" si="54">H1195+H1115</f>
        <v>0</v>
      </c>
      <c r="I1190">
        <f t="shared" si="54"/>
        <v>0</v>
      </c>
      <c r="J1190">
        <f t="shared" si="54"/>
        <v>0</v>
      </c>
      <c r="K1190">
        <f t="shared" si="54"/>
        <v>1</v>
      </c>
      <c r="L1190">
        <f t="shared" si="54"/>
        <v>36</v>
      </c>
      <c r="M1190">
        <f t="shared" si="54"/>
        <v>64</v>
      </c>
      <c r="N1190">
        <f t="shared" si="54"/>
        <v>0</v>
      </c>
      <c r="P1190">
        <f>AVERAGE(C1146:C1196,C1067:C1116)</f>
        <v>70.297029702970292</v>
      </c>
      <c r="Q1190">
        <f>AVERAGE(D1146:D1196,D1067:D1116)</f>
        <v>292.74257425742576</v>
      </c>
    </row>
    <row r="1191" spans="1:23" x14ac:dyDescent="0.35">
      <c r="A1191" s="2">
        <v>42482</v>
      </c>
      <c r="B1191" s="70" t="s">
        <v>38</v>
      </c>
      <c r="C1191" s="10">
        <v>73</v>
      </c>
      <c r="D1191" s="10">
        <v>315</v>
      </c>
      <c r="E1191" s="10" t="s">
        <v>32</v>
      </c>
      <c r="G1191" s="8">
        <f>G1190/101*100</f>
        <v>0</v>
      </c>
      <c r="H1191" s="8">
        <f t="shared" ref="H1191:N1191" si="55">H1190/101*100</f>
        <v>0</v>
      </c>
      <c r="I1191" s="8">
        <f t="shared" si="55"/>
        <v>0</v>
      </c>
      <c r="J1191" s="8">
        <f t="shared" si="55"/>
        <v>0</v>
      </c>
      <c r="K1191" s="8">
        <f t="shared" si="55"/>
        <v>0.99009900990099009</v>
      </c>
      <c r="L1191" s="8">
        <f t="shared" si="55"/>
        <v>35.64356435643564</v>
      </c>
      <c r="M1191" s="8">
        <f t="shared" si="55"/>
        <v>63.366336633663366</v>
      </c>
      <c r="N1191" s="8">
        <f t="shared" si="55"/>
        <v>0</v>
      </c>
    </row>
    <row r="1192" spans="1:23" x14ac:dyDescent="0.35">
      <c r="A1192" s="2">
        <v>42482</v>
      </c>
      <c r="B1192" s="70" t="s">
        <v>38</v>
      </c>
      <c r="C1192" s="10">
        <v>70</v>
      </c>
      <c r="D1192" s="10">
        <v>275</v>
      </c>
      <c r="E1192" s="10" t="s">
        <v>32</v>
      </c>
    </row>
    <row r="1193" spans="1:23" x14ac:dyDescent="0.35">
      <c r="A1193" s="2">
        <v>42482</v>
      </c>
      <c r="B1193" s="70" t="s">
        <v>38</v>
      </c>
      <c r="C1193" s="10">
        <v>72</v>
      </c>
      <c r="D1193" s="10">
        <v>290</v>
      </c>
      <c r="E1193" s="10" t="s">
        <v>32</v>
      </c>
    </row>
    <row r="1194" spans="1:23" x14ac:dyDescent="0.35">
      <c r="A1194" s="2">
        <v>42482</v>
      </c>
      <c r="B1194" s="70" t="s">
        <v>38</v>
      </c>
      <c r="C1194" s="10">
        <v>78</v>
      </c>
      <c r="D1194" s="10">
        <v>456</v>
      </c>
      <c r="E1194" s="10" t="s">
        <v>32</v>
      </c>
      <c r="G1194" t="s">
        <v>42</v>
      </c>
      <c r="H1194" t="s">
        <v>39</v>
      </c>
      <c r="I1194" t="s">
        <v>40</v>
      </c>
      <c r="J1194" t="s">
        <v>36</v>
      </c>
      <c r="K1194" t="s">
        <v>33</v>
      </c>
      <c r="L1194" t="s">
        <v>34</v>
      </c>
      <c r="M1194" t="s">
        <v>32</v>
      </c>
      <c r="N1194" t="s">
        <v>37</v>
      </c>
      <c r="P1194" t="s">
        <v>43</v>
      </c>
      <c r="Q1194" t="s">
        <v>44</v>
      </c>
      <c r="V1194">
        <f>AVERAGE(C1146:C1196,C1067:C1116)</f>
        <v>70.297029702970292</v>
      </c>
      <c r="W1194">
        <f>AVERAGE(D1146:D1196,D1067:D1116)</f>
        <v>292.74257425742576</v>
      </c>
    </row>
    <row r="1195" spans="1:23" x14ac:dyDescent="0.35">
      <c r="A1195" s="2">
        <v>42482</v>
      </c>
      <c r="B1195" s="70" t="s">
        <v>38</v>
      </c>
      <c r="C1195" s="10">
        <v>68</v>
      </c>
      <c r="D1195" s="10">
        <v>222</v>
      </c>
      <c r="E1195" s="10" t="s">
        <v>34</v>
      </c>
      <c r="G1195" s="5">
        <f>COUNTIF(E1146:E1196,"VA")</f>
        <v>0</v>
      </c>
      <c r="H1195" s="5">
        <f>COUNTIF(E1146:E1196,"VB")</f>
        <v>0</v>
      </c>
      <c r="I1195" s="5">
        <f>COUNTIF(E1146:E1196,"VIA0")</f>
        <v>0</v>
      </c>
      <c r="J1195" s="5">
        <f>COUNTIF(E1146:E1196,"VIA1")</f>
        <v>0</v>
      </c>
      <c r="K1195" s="5">
        <f>COUNTIF(E1146:E1196,"VIA2")</f>
        <v>0</v>
      </c>
      <c r="L1195" s="5">
        <f>COUNTIF(E1146:E1196,"VIA3")</f>
        <v>14</v>
      </c>
      <c r="M1195" s="5">
        <f>COUNTIF(E1146:E1196,"VIA4")</f>
        <v>37</v>
      </c>
      <c r="N1195" s="5">
        <f>COUNTIF(E1146:E1196,"VIB")</f>
        <v>0</v>
      </c>
      <c r="P1195" s="7">
        <f>AVERAGE(C1146:C1196)</f>
        <v>70.372549019607845</v>
      </c>
      <c r="Q1195" s="8">
        <f>AVERAGE(D1146:D1196)</f>
        <v>298.92156862745099</v>
      </c>
      <c r="S1195">
        <f>73.58/0.299</f>
        <v>246.08695652173913</v>
      </c>
      <c r="T1195">
        <f>S1195+75</f>
        <v>321.08695652173913</v>
      </c>
    </row>
    <row r="1196" spans="1:23" s="4" customFormat="1" x14ac:dyDescent="0.35">
      <c r="A1196" s="3">
        <v>42482</v>
      </c>
      <c r="B1196" s="44" t="s">
        <v>38</v>
      </c>
      <c r="C1196" s="11">
        <v>72</v>
      </c>
      <c r="D1196" s="11">
        <v>306</v>
      </c>
      <c r="E1196" s="11" t="s">
        <v>32</v>
      </c>
      <c r="G1196" s="6">
        <f>G1195/51*100</f>
        <v>0</v>
      </c>
      <c r="H1196" s="6">
        <f t="shared" ref="H1196:N1196" si="56">H1195/51*100</f>
        <v>0</v>
      </c>
      <c r="I1196" s="6">
        <f t="shared" si="56"/>
        <v>0</v>
      </c>
      <c r="J1196" s="6">
        <f t="shared" si="56"/>
        <v>0</v>
      </c>
      <c r="K1196" s="6">
        <f t="shared" si="56"/>
        <v>0</v>
      </c>
      <c r="L1196" s="6">
        <f t="shared" si="56"/>
        <v>27.450980392156865</v>
      </c>
      <c r="M1196" s="6">
        <f t="shared" si="56"/>
        <v>72.549019607843135</v>
      </c>
      <c r="N1196" s="6">
        <f t="shared" si="56"/>
        <v>0</v>
      </c>
    </row>
    <row r="1197" spans="1:23" s="5" customFormat="1" x14ac:dyDescent="0.35">
      <c r="A1197" s="13">
        <v>42482</v>
      </c>
      <c r="B1197" s="40" t="s">
        <v>63</v>
      </c>
      <c r="C1197" s="5">
        <v>79</v>
      </c>
      <c r="D1197" s="5">
        <v>392</v>
      </c>
      <c r="E1197" s="10" t="s">
        <v>32</v>
      </c>
    </row>
    <row r="1198" spans="1:23" x14ac:dyDescent="0.35">
      <c r="A1198" s="2">
        <v>42482</v>
      </c>
      <c r="B1198" s="40" t="s">
        <v>63</v>
      </c>
      <c r="C1198">
        <v>68</v>
      </c>
      <c r="D1198">
        <v>290</v>
      </c>
      <c r="E1198" s="10" t="s">
        <v>32</v>
      </c>
    </row>
    <row r="1199" spans="1:23" x14ac:dyDescent="0.35">
      <c r="A1199" s="2">
        <v>42482</v>
      </c>
      <c r="B1199" s="40" t="s">
        <v>63</v>
      </c>
      <c r="C1199">
        <v>72</v>
      </c>
      <c r="D1199">
        <v>312</v>
      </c>
      <c r="E1199" s="10" t="s">
        <v>32</v>
      </c>
    </row>
    <row r="1200" spans="1:23" x14ac:dyDescent="0.35">
      <c r="A1200" s="2">
        <v>42482</v>
      </c>
      <c r="B1200" s="40" t="s">
        <v>63</v>
      </c>
      <c r="C1200">
        <v>72</v>
      </c>
      <c r="D1200">
        <v>330</v>
      </c>
      <c r="E1200" s="10" t="s">
        <v>34</v>
      </c>
    </row>
    <row r="1201" spans="1:17" x14ac:dyDescent="0.35">
      <c r="A1201" s="2">
        <v>42482</v>
      </c>
      <c r="B1201" s="40" t="s">
        <v>63</v>
      </c>
      <c r="C1201">
        <v>68</v>
      </c>
      <c r="D1201">
        <v>257</v>
      </c>
      <c r="E1201" s="10" t="s">
        <v>32</v>
      </c>
    </row>
    <row r="1202" spans="1:17" x14ac:dyDescent="0.35">
      <c r="A1202" s="2">
        <v>42482</v>
      </c>
      <c r="B1202" s="40" t="s">
        <v>63</v>
      </c>
      <c r="C1202">
        <v>75</v>
      </c>
      <c r="D1202">
        <v>372</v>
      </c>
      <c r="E1202" s="10" t="s">
        <v>34</v>
      </c>
    </row>
    <row r="1203" spans="1:17" x14ac:dyDescent="0.35">
      <c r="A1203" s="2">
        <v>42482</v>
      </c>
      <c r="B1203" s="40" t="s">
        <v>63</v>
      </c>
      <c r="C1203">
        <v>78</v>
      </c>
      <c r="D1203">
        <v>379</v>
      </c>
      <c r="E1203" s="10" t="s">
        <v>32</v>
      </c>
    </row>
    <row r="1204" spans="1:17" x14ac:dyDescent="0.35">
      <c r="A1204" s="2">
        <v>42482</v>
      </c>
      <c r="B1204" s="40" t="s">
        <v>63</v>
      </c>
      <c r="C1204">
        <v>70</v>
      </c>
      <c r="D1204">
        <v>278</v>
      </c>
      <c r="E1204" s="10" t="s">
        <v>32</v>
      </c>
      <c r="G1204" t="s">
        <v>42</v>
      </c>
      <c r="H1204" t="s">
        <v>39</v>
      </c>
      <c r="I1204" t="s">
        <v>40</v>
      </c>
      <c r="J1204" t="s">
        <v>36</v>
      </c>
      <c r="K1204" t="s">
        <v>33</v>
      </c>
      <c r="L1204" t="s">
        <v>34</v>
      </c>
      <c r="M1204" t="s">
        <v>32</v>
      </c>
      <c r="N1204" t="s">
        <v>37</v>
      </c>
    </row>
    <row r="1205" spans="1:17" x14ac:dyDescent="0.35">
      <c r="A1205" s="2">
        <v>42482</v>
      </c>
      <c r="B1205" s="40" t="s">
        <v>63</v>
      </c>
      <c r="C1205">
        <v>143</v>
      </c>
      <c r="D1205">
        <v>3612</v>
      </c>
      <c r="E1205" s="10" t="s">
        <v>98</v>
      </c>
      <c r="G1205" s="5">
        <f>COUNTIF(E1197:E1231,"VA")</f>
        <v>0</v>
      </c>
      <c r="H1205" s="5">
        <f>COUNTIF(E1197:E1231,"VB")</f>
        <v>0</v>
      </c>
      <c r="I1205" s="5">
        <f>COUNTIF(E1197:E1231,"VIA0")</f>
        <v>0</v>
      </c>
      <c r="J1205" s="5">
        <f>COUNTIF(E1197:E1231,"VIA1")</f>
        <v>0</v>
      </c>
      <c r="K1205" s="5">
        <f>COUNTIF(E1197:E1231,"VIA2")</f>
        <v>0</v>
      </c>
      <c r="L1205" s="5">
        <f>COUNTIF(E1197:E1231,"VIA3")</f>
        <v>3</v>
      </c>
      <c r="M1205" s="5">
        <f>COUNTIF(E1197:E1231,"VIA4")</f>
        <v>10</v>
      </c>
      <c r="N1205" s="5">
        <f>COUNTIF(E1197:E1231,"VIB")</f>
        <v>0</v>
      </c>
      <c r="P1205">
        <f>AVERAGE(C1197:C1204,C1213:C1216,C1228)</f>
        <v>71.461538461538467</v>
      </c>
      <c r="Q1205">
        <f>AVERAGE(D1197:D1204,D1213:D1216,D1228)</f>
        <v>306.53846153846155</v>
      </c>
    </row>
    <row r="1206" spans="1:17" x14ac:dyDescent="0.35">
      <c r="A1206" s="2">
        <v>42482</v>
      </c>
      <c r="B1206" s="40" t="s">
        <v>63</v>
      </c>
      <c r="C1206">
        <v>98</v>
      </c>
      <c r="D1206">
        <v>1459</v>
      </c>
      <c r="E1206" s="10" t="s">
        <v>98</v>
      </c>
      <c r="G1206" s="6">
        <f>G1205/13*100</f>
        <v>0</v>
      </c>
      <c r="H1206" s="6">
        <f t="shared" ref="H1206:N1206" si="57">H1205/13*100</f>
        <v>0</v>
      </c>
      <c r="I1206" s="6">
        <f t="shared" si="57"/>
        <v>0</v>
      </c>
      <c r="J1206" s="6">
        <f t="shared" si="57"/>
        <v>0</v>
      </c>
      <c r="K1206" s="6">
        <f t="shared" si="57"/>
        <v>0</v>
      </c>
      <c r="L1206" s="6">
        <f t="shared" si="57"/>
        <v>23.076923076923077</v>
      </c>
      <c r="M1206" s="6">
        <f t="shared" si="57"/>
        <v>76.923076923076934</v>
      </c>
      <c r="N1206" s="6">
        <f t="shared" si="57"/>
        <v>0</v>
      </c>
    </row>
    <row r="1207" spans="1:17" x14ac:dyDescent="0.35">
      <c r="A1207" s="2">
        <v>42482</v>
      </c>
      <c r="B1207" s="40" t="s">
        <v>63</v>
      </c>
      <c r="C1207">
        <v>97</v>
      </c>
      <c r="D1207">
        <v>1111</v>
      </c>
      <c r="E1207" s="10" t="s">
        <v>98</v>
      </c>
    </row>
    <row r="1208" spans="1:17" x14ac:dyDescent="0.35">
      <c r="A1208" s="2">
        <v>42482</v>
      </c>
      <c r="B1208" s="40" t="s">
        <v>63</v>
      </c>
      <c r="C1208">
        <v>102</v>
      </c>
      <c r="D1208">
        <v>1198</v>
      </c>
      <c r="E1208" s="10" t="s">
        <v>98</v>
      </c>
    </row>
    <row r="1209" spans="1:17" x14ac:dyDescent="0.35">
      <c r="A1209" s="2">
        <v>42482</v>
      </c>
      <c r="B1209" s="40" t="s">
        <v>63</v>
      </c>
      <c r="C1209">
        <v>126</v>
      </c>
      <c r="D1209">
        <v>2561</v>
      </c>
      <c r="E1209" s="10" t="s">
        <v>98</v>
      </c>
    </row>
    <row r="1210" spans="1:17" x14ac:dyDescent="0.35">
      <c r="A1210" s="2">
        <v>42482</v>
      </c>
      <c r="B1210" s="40" t="s">
        <v>63</v>
      </c>
      <c r="C1210">
        <v>104</v>
      </c>
      <c r="D1210">
        <v>1156</v>
      </c>
      <c r="E1210" s="10" t="s">
        <v>98</v>
      </c>
    </row>
    <row r="1211" spans="1:17" x14ac:dyDescent="0.35">
      <c r="A1211" s="2">
        <v>42482</v>
      </c>
      <c r="B1211" s="40" t="s">
        <v>63</v>
      </c>
      <c r="C1211">
        <v>115</v>
      </c>
      <c r="D1211">
        <v>2264</v>
      </c>
      <c r="E1211" s="10" t="s">
        <v>98</v>
      </c>
    </row>
    <row r="1212" spans="1:17" s="4" customFormat="1" x14ac:dyDescent="0.35">
      <c r="A1212" s="3">
        <v>42482</v>
      </c>
      <c r="B1212" s="44" t="s">
        <v>63</v>
      </c>
      <c r="C1212" s="4">
        <v>115</v>
      </c>
      <c r="D1212" s="4">
        <v>1864</v>
      </c>
      <c r="E1212" s="11" t="s">
        <v>98</v>
      </c>
    </row>
    <row r="1213" spans="1:17" s="5" customFormat="1" x14ac:dyDescent="0.35">
      <c r="A1213" s="13">
        <v>42482</v>
      </c>
      <c r="B1213" s="40" t="s">
        <v>66</v>
      </c>
      <c r="C1213" s="5">
        <v>71</v>
      </c>
      <c r="D1213" s="5">
        <v>267</v>
      </c>
      <c r="E1213" s="10" t="s">
        <v>32</v>
      </c>
    </row>
    <row r="1214" spans="1:17" x14ac:dyDescent="0.35">
      <c r="A1214" s="2">
        <v>42482</v>
      </c>
      <c r="B1214" s="40" t="s">
        <v>66</v>
      </c>
      <c r="C1214">
        <v>70</v>
      </c>
      <c r="D1214">
        <v>288</v>
      </c>
      <c r="E1214" s="10" t="s">
        <v>32</v>
      </c>
    </row>
    <row r="1215" spans="1:17" x14ac:dyDescent="0.35">
      <c r="A1215" s="2">
        <v>42482</v>
      </c>
      <c r="B1215" s="40" t="s">
        <v>66</v>
      </c>
      <c r="C1215">
        <v>72</v>
      </c>
      <c r="D1215">
        <v>265</v>
      </c>
      <c r="E1215" s="10" t="s">
        <v>32</v>
      </c>
    </row>
    <row r="1216" spans="1:17" x14ac:dyDescent="0.35">
      <c r="A1216" s="2">
        <v>42482</v>
      </c>
      <c r="B1216" s="40" t="s">
        <v>66</v>
      </c>
      <c r="C1216">
        <v>62</v>
      </c>
      <c r="D1216">
        <v>269</v>
      </c>
      <c r="E1216" s="10" t="s">
        <v>32</v>
      </c>
    </row>
    <row r="1217" spans="1:30" x14ac:dyDescent="0.35">
      <c r="A1217" s="2">
        <v>42482</v>
      </c>
      <c r="B1217" s="40" t="s">
        <v>66</v>
      </c>
      <c r="C1217">
        <v>100</v>
      </c>
      <c r="D1217">
        <v>1373</v>
      </c>
      <c r="E1217" s="10" t="s">
        <v>98</v>
      </c>
    </row>
    <row r="1218" spans="1:30" x14ac:dyDescent="0.35">
      <c r="A1218" s="2">
        <v>42482</v>
      </c>
      <c r="B1218" s="40" t="s">
        <v>66</v>
      </c>
      <c r="C1218">
        <v>102</v>
      </c>
      <c r="D1218">
        <v>1594</v>
      </c>
      <c r="E1218" s="10" t="s">
        <v>98</v>
      </c>
      <c r="T1218" s="5" t="s">
        <v>145</v>
      </c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</row>
    <row r="1219" spans="1:30" x14ac:dyDescent="0.35">
      <c r="A1219" s="2">
        <v>42482</v>
      </c>
      <c r="B1219" s="40" t="s">
        <v>66</v>
      </c>
      <c r="C1219">
        <v>115</v>
      </c>
      <c r="D1219">
        <v>2098</v>
      </c>
      <c r="E1219" s="10" t="s">
        <v>98</v>
      </c>
      <c r="T1219" s="5" t="s">
        <v>42</v>
      </c>
      <c r="U1219" s="5" t="s">
        <v>39</v>
      </c>
      <c r="V1219" s="5" t="s">
        <v>40</v>
      </c>
      <c r="W1219" s="5" t="s">
        <v>36</v>
      </c>
      <c r="X1219" s="5" t="s">
        <v>33</v>
      </c>
      <c r="Y1219" s="5" t="s">
        <v>34</v>
      </c>
      <c r="Z1219" s="5" t="s">
        <v>32</v>
      </c>
      <c r="AA1219" s="5" t="s">
        <v>37</v>
      </c>
      <c r="AB1219" s="5" t="s">
        <v>59</v>
      </c>
      <c r="AC1219" s="5" t="s">
        <v>43</v>
      </c>
      <c r="AD1219" s="5" t="s">
        <v>44</v>
      </c>
    </row>
    <row r="1220" spans="1:30" x14ac:dyDescent="0.35">
      <c r="A1220" s="2">
        <v>42482</v>
      </c>
      <c r="B1220" s="40" t="s">
        <v>66</v>
      </c>
      <c r="C1220">
        <v>102</v>
      </c>
      <c r="D1220">
        <v>1495</v>
      </c>
      <c r="E1220" s="10" t="s">
        <v>98</v>
      </c>
      <c r="T1220" s="27">
        <v>0</v>
      </c>
      <c r="U1220" s="27">
        <v>0</v>
      </c>
      <c r="V1220" s="27">
        <v>0</v>
      </c>
      <c r="W1220" s="27">
        <v>0</v>
      </c>
      <c r="X1220" s="27">
        <f>COUNTIF(E1014:E1221,"VIA2")</f>
        <v>1</v>
      </c>
      <c r="Y1220" s="27">
        <f>COUNTIF(E1014:E1221,"VIA3")</f>
        <v>38</v>
      </c>
      <c r="Z1220" s="27">
        <f>COUNTIF(E1014:E1221,"VIA4")</f>
        <v>76</v>
      </c>
      <c r="AA1220" s="27">
        <f>COUNTIF(E1014:E1221,"VIB")</f>
        <v>0</v>
      </c>
      <c r="AB1220" s="5">
        <v>93</v>
      </c>
      <c r="AC1220" s="8">
        <f>AVERAGE(C1213:C1216,C1146:C1204,C1067:C1116,C1014:C1015)</f>
        <v>70.400000000000006</v>
      </c>
      <c r="AD1220" s="8">
        <f>AVERAGE(D1213:D1216,D1146:D1204,D1067:D1116,D1014:D1015)</f>
        <v>294.29565217391303</v>
      </c>
    </row>
    <row r="1221" spans="1:30" s="4" customFormat="1" x14ac:dyDescent="0.35">
      <c r="A1221" s="3">
        <v>42482</v>
      </c>
      <c r="B1221" s="44" t="s">
        <v>66</v>
      </c>
      <c r="C1221" s="4">
        <v>113</v>
      </c>
      <c r="D1221" s="4">
        <v>2039</v>
      </c>
      <c r="E1221" s="11" t="s">
        <v>98</v>
      </c>
      <c r="T1221" s="28">
        <f>T1220/115*100</f>
        <v>0</v>
      </c>
      <c r="U1221" s="28">
        <f t="shared" ref="U1221:AA1221" si="58">U1220/115*100</f>
        <v>0</v>
      </c>
      <c r="V1221" s="28">
        <f t="shared" si="58"/>
        <v>0</v>
      </c>
      <c r="W1221" s="28">
        <f t="shared" si="58"/>
        <v>0</v>
      </c>
      <c r="X1221" s="28">
        <f t="shared" si="58"/>
        <v>0.86956521739130432</v>
      </c>
      <c r="Y1221" s="28">
        <f t="shared" si="58"/>
        <v>33.043478260869563</v>
      </c>
      <c r="Z1221" s="28">
        <f t="shared" si="58"/>
        <v>66.086956521739125</v>
      </c>
      <c r="AA1221" s="28">
        <f t="shared" si="58"/>
        <v>0</v>
      </c>
    </row>
    <row r="1222" spans="1:30" s="22" customFormat="1" x14ac:dyDescent="0.35">
      <c r="A1222" s="19">
        <v>42482</v>
      </c>
      <c r="B1222" s="71" t="s">
        <v>103</v>
      </c>
      <c r="C1222" s="20">
        <v>138</v>
      </c>
      <c r="D1222" s="20">
        <v>3449</v>
      </c>
      <c r="E1222" s="20" t="s">
        <v>98</v>
      </c>
    </row>
    <row r="1223" spans="1:30" x14ac:dyDescent="0.35">
      <c r="A1223" s="13">
        <v>42482</v>
      </c>
      <c r="B1223" s="40" t="s">
        <v>104</v>
      </c>
      <c r="C1223" s="10">
        <v>93</v>
      </c>
      <c r="D1223" s="10">
        <v>1143</v>
      </c>
      <c r="E1223" s="10" t="s">
        <v>98</v>
      </c>
    </row>
    <row r="1224" spans="1:30" x14ac:dyDescent="0.35">
      <c r="A1224" s="13">
        <v>42482</v>
      </c>
      <c r="B1224" s="40" t="s">
        <v>104</v>
      </c>
      <c r="C1224" s="10">
        <v>102</v>
      </c>
      <c r="D1224" s="10">
        <v>1849</v>
      </c>
      <c r="E1224" s="10" t="s">
        <v>98</v>
      </c>
    </row>
    <row r="1225" spans="1:30" x14ac:dyDescent="0.35">
      <c r="A1225" s="13">
        <v>42482</v>
      </c>
      <c r="B1225" s="40" t="s">
        <v>104</v>
      </c>
      <c r="C1225" s="10">
        <v>112</v>
      </c>
      <c r="D1225" s="10">
        <v>2293</v>
      </c>
      <c r="E1225" s="10" t="s">
        <v>98</v>
      </c>
    </row>
    <row r="1226" spans="1:30" s="4" customFormat="1" x14ac:dyDescent="0.35">
      <c r="A1226" s="3">
        <v>42482</v>
      </c>
      <c r="B1226" s="44" t="s">
        <v>104</v>
      </c>
      <c r="C1226" s="11">
        <v>112</v>
      </c>
      <c r="D1226" s="11">
        <v>1890</v>
      </c>
      <c r="E1226" s="11" t="s">
        <v>98</v>
      </c>
    </row>
    <row r="1227" spans="1:30" s="22" customFormat="1" x14ac:dyDescent="0.35">
      <c r="A1227" s="19">
        <v>42482</v>
      </c>
      <c r="B1227" s="71" t="s">
        <v>113</v>
      </c>
      <c r="C1227" s="22">
        <v>107</v>
      </c>
      <c r="D1227" s="22">
        <v>1507</v>
      </c>
      <c r="E1227" s="22" t="s">
        <v>98</v>
      </c>
    </row>
    <row r="1228" spans="1:30" s="5" customFormat="1" x14ac:dyDescent="0.35">
      <c r="A1228" s="13">
        <v>42482</v>
      </c>
      <c r="B1228" s="40" t="s">
        <v>102</v>
      </c>
      <c r="C1228" s="10">
        <v>72</v>
      </c>
      <c r="D1228" s="10">
        <v>286</v>
      </c>
      <c r="E1228" s="10" t="s">
        <v>34</v>
      </c>
    </row>
    <row r="1229" spans="1:30" s="5" customFormat="1" x14ac:dyDescent="0.35">
      <c r="A1229" s="13">
        <v>42482</v>
      </c>
      <c r="B1229" s="40" t="s">
        <v>102</v>
      </c>
      <c r="C1229" s="10">
        <v>89</v>
      </c>
      <c r="D1229" s="10">
        <v>914</v>
      </c>
      <c r="E1229" s="10" t="s">
        <v>98</v>
      </c>
    </row>
    <row r="1230" spans="1:30" s="5" customFormat="1" x14ac:dyDescent="0.35">
      <c r="A1230" s="13">
        <v>42482</v>
      </c>
      <c r="B1230" s="40" t="s">
        <v>102</v>
      </c>
      <c r="C1230" s="10">
        <v>113</v>
      </c>
      <c r="D1230" s="10">
        <v>2030</v>
      </c>
      <c r="E1230" s="10" t="s">
        <v>98</v>
      </c>
      <c r="T1230" s="5">
        <f>AVERAGE(C1228,C1213:C1216,C1197:C1204)</f>
        <v>71.461538461538467</v>
      </c>
      <c r="U1230" s="5">
        <f>AVERAGE(D1228,D1213:D1216,D1197:D1204)</f>
        <v>306.53846153846155</v>
      </c>
    </row>
    <row r="1231" spans="1:30" s="4" customFormat="1" x14ac:dyDescent="0.35">
      <c r="A1231" s="3">
        <v>42482</v>
      </c>
      <c r="B1231" s="44" t="s">
        <v>102</v>
      </c>
      <c r="C1231" s="4">
        <v>101</v>
      </c>
      <c r="D1231" s="4">
        <v>1089</v>
      </c>
      <c r="E1231" s="11" t="s">
        <v>98</v>
      </c>
      <c r="H1231" s="51" t="e">
        <f>AVERAGE(#REF!,#REF!,#REF!)</f>
        <v>#REF!</v>
      </c>
      <c r="I1231" s="51" t="e">
        <f>AVERAGE(#REF!,#REF!,#REF!)</f>
        <v>#REF!</v>
      </c>
    </row>
    <row r="1232" spans="1:30" x14ac:dyDescent="0.35">
      <c r="A1232" s="2">
        <v>42482</v>
      </c>
      <c r="B1232" s="36" t="s">
        <v>143</v>
      </c>
      <c r="C1232" s="10">
        <v>65</v>
      </c>
      <c r="D1232" s="10">
        <v>231</v>
      </c>
      <c r="E1232" s="10" t="s">
        <v>34</v>
      </c>
    </row>
    <row r="1233" spans="1:6" x14ac:dyDescent="0.35">
      <c r="A1233" s="2">
        <v>42482</v>
      </c>
      <c r="B1233" s="36" t="s">
        <v>143</v>
      </c>
      <c r="C1233" s="10">
        <v>64</v>
      </c>
      <c r="D1233" s="10">
        <v>257</v>
      </c>
      <c r="E1233" s="10" t="s">
        <v>32</v>
      </c>
    </row>
    <row r="1234" spans="1:6" x14ac:dyDescent="0.35">
      <c r="A1234" s="2">
        <v>42482</v>
      </c>
      <c r="B1234" s="36" t="s">
        <v>143</v>
      </c>
      <c r="C1234" s="10">
        <v>72</v>
      </c>
      <c r="D1234" s="10">
        <v>272</v>
      </c>
      <c r="E1234" s="10" t="s">
        <v>32</v>
      </c>
    </row>
    <row r="1235" spans="1:6" x14ac:dyDescent="0.35">
      <c r="A1235" s="2">
        <v>42482</v>
      </c>
      <c r="B1235" s="36" t="s">
        <v>143</v>
      </c>
      <c r="C1235" s="10">
        <v>68</v>
      </c>
      <c r="D1235" s="10">
        <v>290</v>
      </c>
      <c r="E1235" s="10" t="s">
        <v>34</v>
      </c>
    </row>
    <row r="1236" spans="1:6" x14ac:dyDescent="0.35">
      <c r="A1236" s="2">
        <v>42482</v>
      </c>
      <c r="B1236" s="36" t="s">
        <v>143</v>
      </c>
      <c r="C1236" s="10">
        <v>77</v>
      </c>
      <c r="D1236" s="10">
        <v>264</v>
      </c>
      <c r="E1236" s="10" t="s">
        <v>39</v>
      </c>
    </row>
    <row r="1237" spans="1:6" x14ac:dyDescent="0.35">
      <c r="A1237" s="2">
        <v>42482</v>
      </c>
      <c r="B1237" s="36" t="s">
        <v>143</v>
      </c>
      <c r="C1237" s="10">
        <v>68</v>
      </c>
      <c r="D1237" s="10">
        <v>226</v>
      </c>
      <c r="E1237" s="10" t="s">
        <v>40</v>
      </c>
    </row>
    <row r="1238" spans="1:6" s="4" customFormat="1" x14ac:dyDescent="0.35">
      <c r="A1238" s="3">
        <v>42482</v>
      </c>
      <c r="B1238" s="26" t="s">
        <v>143</v>
      </c>
      <c r="C1238" s="11">
        <v>108</v>
      </c>
      <c r="D1238" s="11">
        <v>1794</v>
      </c>
      <c r="E1238" s="11" t="s">
        <v>98</v>
      </c>
    </row>
    <row r="1239" spans="1:6" x14ac:dyDescent="0.35">
      <c r="A1239" s="2">
        <v>42489</v>
      </c>
      <c r="B1239" s="70" t="s">
        <v>38</v>
      </c>
      <c r="C1239" s="10">
        <v>68</v>
      </c>
      <c r="D1239" s="10">
        <v>223</v>
      </c>
      <c r="E1239" s="10" t="s">
        <v>32</v>
      </c>
      <c r="F1239" t="s">
        <v>157</v>
      </c>
    </row>
    <row r="1240" spans="1:6" x14ac:dyDescent="0.35">
      <c r="A1240" s="2">
        <v>42489</v>
      </c>
      <c r="B1240" s="70" t="s">
        <v>38</v>
      </c>
      <c r="C1240" s="10">
        <v>70</v>
      </c>
      <c r="D1240" s="10">
        <v>290</v>
      </c>
      <c r="E1240" s="10" t="s">
        <v>34</v>
      </c>
      <c r="F1240" t="s">
        <v>157</v>
      </c>
    </row>
    <row r="1241" spans="1:6" x14ac:dyDescent="0.35">
      <c r="A1241" s="2">
        <v>42489</v>
      </c>
      <c r="B1241" s="70" t="s">
        <v>38</v>
      </c>
      <c r="C1241" s="10">
        <v>66</v>
      </c>
      <c r="D1241" s="10">
        <v>291</v>
      </c>
      <c r="E1241" s="10" t="s">
        <v>34</v>
      </c>
      <c r="F1241" t="s">
        <v>157</v>
      </c>
    </row>
    <row r="1242" spans="1:6" x14ac:dyDescent="0.35">
      <c r="A1242" s="2">
        <v>42489</v>
      </c>
      <c r="B1242" s="70" t="s">
        <v>38</v>
      </c>
      <c r="C1242" s="10">
        <v>68</v>
      </c>
      <c r="D1242" s="10">
        <v>271</v>
      </c>
      <c r="E1242" s="10" t="s">
        <v>34</v>
      </c>
      <c r="F1242" t="s">
        <v>157</v>
      </c>
    </row>
    <row r="1243" spans="1:6" x14ac:dyDescent="0.35">
      <c r="A1243" s="2">
        <v>42489</v>
      </c>
      <c r="B1243" s="70" t="s">
        <v>38</v>
      </c>
      <c r="C1243" s="10">
        <v>77</v>
      </c>
      <c r="D1243" s="10">
        <v>419</v>
      </c>
      <c r="E1243" s="10" t="s">
        <v>34</v>
      </c>
      <c r="F1243" t="s">
        <v>157</v>
      </c>
    </row>
    <row r="1244" spans="1:6" x14ac:dyDescent="0.35">
      <c r="A1244" s="2">
        <v>42489</v>
      </c>
      <c r="B1244" s="70" t="s">
        <v>38</v>
      </c>
      <c r="C1244" s="10">
        <v>72</v>
      </c>
      <c r="D1244" s="10">
        <v>308</v>
      </c>
      <c r="E1244" s="10" t="s">
        <v>34</v>
      </c>
      <c r="F1244" t="s">
        <v>157</v>
      </c>
    </row>
    <row r="1245" spans="1:6" x14ac:dyDescent="0.35">
      <c r="A1245" s="2">
        <v>42489</v>
      </c>
      <c r="B1245" s="70" t="s">
        <v>38</v>
      </c>
      <c r="C1245" s="10">
        <v>72</v>
      </c>
      <c r="D1245" s="10">
        <v>326</v>
      </c>
      <c r="E1245" s="10" t="s">
        <v>34</v>
      </c>
      <c r="F1245" t="s">
        <v>157</v>
      </c>
    </row>
    <row r="1246" spans="1:6" x14ac:dyDescent="0.35">
      <c r="A1246" s="2">
        <v>42489</v>
      </c>
      <c r="B1246" s="70" t="s">
        <v>38</v>
      </c>
      <c r="C1246" s="10">
        <v>73</v>
      </c>
      <c r="D1246" s="10">
        <v>285</v>
      </c>
      <c r="E1246" s="10" t="s">
        <v>34</v>
      </c>
    </row>
    <row r="1247" spans="1:6" x14ac:dyDescent="0.35">
      <c r="A1247" s="2">
        <v>42489</v>
      </c>
      <c r="B1247" s="70" t="s">
        <v>38</v>
      </c>
      <c r="C1247" s="10">
        <v>69</v>
      </c>
      <c r="D1247" s="10">
        <v>304</v>
      </c>
      <c r="E1247" s="10" t="s">
        <v>32</v>
      </c>
      <c r="F1247" t="s">
        <v>157</v>
      </c>
    </row>
    <row r="1248" spans="1:6" x14ac:dyDescent="0.35">
      <c r="A1248" s="2">
        <v>42489</v>
      </c>
      <c r="B1248" s="70" t="s">
        <v>38</v>
      </c>
      <c r="C1248" s="10">
        <v>77</v>
      </c>
      <c r="D1248" s="10">
        <v>390</v>
      </c>
      <c r="E1248" s="10" t="s">
        <v>32</v>
      </c>
      <c r="F1248" t="s">
        <v>157</v>
      </c>
    </row>
    <row r="1249" spans="1:6" x14ac:dyDescent="0.35">
      <c r="A1249" s="2">
        <v>42489</v>
      </c>
      <c r="B1249" s="70" t="s">
        <v>38</v>
      </c>
      <c r="C1249" s="10">
        <v>69</v>
      </c>
      <c r="D1249" s="10">
        <v>323</v>
      </c>
      <c r="E1249" s="10" t="s">
        <v>33</v>
      </c>
      <c r="F1249" t="s">
        <v>157</v>
      </c>
    </row>
    <row r="1250" spans="1:6" x14ac:dyDescent="0.35">
      <c r="A1250" s="2">
        <v>42489</v>
      </c>
      <c r="B1250" s="70" t="s">
        <v>38</v>
      </c>
      <c r="C1250" s="10">
        <v>71</v>
      </c>
      <c r="D1250" s="10">
        <v>313</v>
      </c>
      <c r="E1250" s="10" t="s">
        <v>32</v>
      </c>
      <c r="F1250" t="s">
        <v>157</v>
      </c>
    </row>
    <row r="1251" spans="1:6" x14ac:dyDescent="0.35">
      <c r="A1251" s="2">
        <v>42489</v>
      </c>
      <c r="B1251" s="70" t="s">
        <v>38</v>
      </c>
      <c r="C1251" s="10">
        <v>72</v>
      </c>
      <c r="D1251" s="10">
        <v>312</v>
      </c>
      <c r="E1251" s="10" t="s">
        <v>32</v>
      </c>
      <c r="F1251" t="s">
        <v>157</v>
      </c>
    </row>
    <row r="1252" spans="1:6" x14ac:dyDescent="0.35">
      <c r="A1252" s="2">
        <v>42489</v>
      </c>
      <c r="B1252" s="70" t="s">
        <v>38</v>
      </c>
      <c r="C1252" s="10">
        <v>71</v>
      </c>
      <c r="D1252" s="10">
        <v>312</v>
      </c>
      <c r="E1252" s="10" t="s">
        <v>32</v>
      </c>
      <c r="F1252" t="s">
        <v>157</v>
      </c>
    </row>
    <row r="1253" spans="1:6" x14ac:dyDescent="0.35">
      <c r="A1253" s="2">
        <v>42489</v>
      </c>
      <c r="B1253" s="70" t="s">
        <v>38</v>
      </c>
      <c r="C1253" s="10">
        <v>70</v>
      </c>
      <c r="D1253" s="10">
        <v>301</v>
      </c>
      <c r="E1253" s="10" t="s">
        <v>34</v>
      </c>
      <c r="F1253" t="s">
        <v>157</v>
      </c>
    </row>
    <row r="1254" spans="1:6" x14ac:dyDescent="0.35">
      <c r="A1254" s="2">
        <v>42489</v>
      </c>
      <c r="B1254" s="70" t="s">
        <v>38</v>
      </c>
      <c r="C1254" s="10">
        <v>67</v>
      </c>
      <c r="D1254" s="10">
        <v>260</v>
      </c>
      <c r="E1254" s="10" t="s">
        <v>32</v>
      </c>
      <c r="F1254" t="s">
        <v>157</v>
      </c>
    </row>
    <row r="1255" spans="1:6" x14ac:dyDescent="0.35">
      <c r="A1255" s="2">
        <v>42489</v>
      </c>
      <c r="B1255" s="70" t="s">
        <v>38</v>
      </c>
      <c r="C1255" s="10">
        <v>76</v>
      </c>
      <c r="D1255" s="10">
        <v>354</v>
      </c>
      <c r="E1255" s="10" t="s">
        <v>34</v>
      </c>
      <c r="F1255" t="s">
        <v>157</v>
      </c>
    </row>
    <row r="1256" spans="1:6" x14ac:dyDescent="0.35">
      <c r="A1256" s="2">
        <v>42489</v>
      </c>
      <c r="B1256" s="70" t="s">
        <v>38</v>
      </c>
      <c r="C1256" s="10">
        <v>71</v>
      </c>
      <c r="D1256" s="10">
        <v>332</v>
      </c>
      <c r="E1256" s="10" t="s">
        <v>34</v>
      </c>
      <c r="F1256" t="s">
        <v>157</v>
      </c>
    </row>
    <row r="1257" spans="1:6" x14ac:dyDescent="0.35">
      <c r="A1257" s="2">
        <v>42489</v>
      </c>
      <c r="B1257" s="70" t="s">
        <v>38</v>
      </c>
      <c r="C1257" s="10">
        <v>64</v>
      </c>
      <c r="D1257" s="10">
        <v>258</v>
      </c>
      <c r="E1257" s="10" t="s">
        <v>34</v>
      </c>
      <c r="F1257" t="s">
        <v>157</v>
      </c>
    </row>
    <row r="1258" spans="1:6" x14ac:dyDescent="0.35">
      <c r="A1258" s="2">
        <v>42489</v>
      </c>
      <c r="B1258" s="70" t="s">
        <v>38</v>
      </c>
      <c r="C1258" s="10">
        <v>72</v>
      </c>
      <c r="D1258" s="10">
        <v>378</v>
      </c>
      <c r="E1258" s="10" t="s">
        <v>32</v>
      </c>
      <c r="F1258" t="s">
        <v>157</v>
      </c>
    </row>
    <row r="1259" spans="1:6" x14ac:dyDescent="0.35">
      <c r="A1259" s="2">
        <v>42489</v>
      </c>
      <c r="B1259" s="70" t="s">
        <v>38</v>
      </c>
      <c r="C1259" s="10">
        <v>73</v>
      </c>
      <c r="D1259" s="10">
        <v>352</v>
      </c>
      <c r="E1259" s="10" t="s">
        <v>32</v>
      </c>
      <c r="F1259" t="s">
        <v>157</v>
      </c>
    </row>
    <row r="1260" spans="1:6" x14ac:dyDescent="0.35">
      <c r="A1260" s="2">
        <v>42489</v>
      </c>
      <c r="B1260" s="70" t="s">
        <v>38</v>
      </c>
      <c r="C1260" s="10">
        <v>67</v>
      </c>
      <c r="D1260" s="10">
        <v>269</v>
      </c>
      <c r="E1260" s="10" t="s">
        <v>32</v>
      </c>
      <c r="F1260" t="s">
        <v>157</v>
      </c>
    </row>
    <row r="1261" spans="1:6" x14ac:dyDescent="0.35">
      <c r="A1261" s="2">
        <v>42489</v>
      </c>
      <c r="B1261" s="70" t="s">
        <v>38</v>
      </c>
      <c r="C1261" s="10">
        <v>71</v>
      </c>
      <c r="D1261" s="10">
        <v>249</v>
      </c>
      <c r="E1261" s="10" t="s">
        <v>32</v>
      </c>
      <c r="F1261" t="s">
        <v>157</v>
      </c>
    </row>
    <row r="1262" spans="1:6" x14ac:dyDescent="0.35">
      <c r="A1262" s="2">
        <v>42489</v>
      </c>
      <c r="B1262" s="70" t="s">
        <v>38</v>
      </c>
      <c r="C1262" s="10">
        <v>65</v>
      </c>
      <c r="D1262" s="10">
        <v>271</v>
      </c>
      <c r="E1262" s="10" t="s">
        <v>34</v>
      </c>
      <c r="F1262" t="s">
        <v>157</v>
      </c>
    </row>
    <row r="1263" spans="1:6" x14ac:dyDescent="0.35">
      <c r="A1263" s="2">
        <v>42489</v>
      </c>
      <c r="B1263" s="70" t="s">
        <v>38</v>
      </c>
      <c r="C1263" s="10">
        <v>81</v>
      </c>
      <c r="D1263" s="10">
        <v>319</v>
      </c>
      <c r="E1263" s="10" t="s">
        <v>32</v>
      </c>
      <c r="F1263" t="s">
        <v>157</v>
      </c>
    </row>
    <row r="1264" spans="1:6" x14ac:dyDescent="0.35">
      <c r="A1264" s="2">
        <v>42489</v>
      </c>
      <c r="B1264" s="70" t="s">
        <v>38</v>
      </c>
      <c r="C1264" s="10">
        <v>74</v>
      </c>
      <c r="D1264" s="10">
        <v>365</v>
      </c>
      <c r="E1264" s="10" t="s">
        <v>32</v>
      </c>
      <c r="F1264" t="s">
        <v>157</v>
      </c>
    </row>
    <row r="1265" spans="1:6" x14ac:dyDescent="0.35">
      <c r="A1265" s="2">
        <v>42489</v>
      </c>
      <c r="B1265" s="70" t="s">
        <v>38</v>
      </c>
      <c r="C1265" s="10">
        <v>69</v>
      </c>
      <c r="D1265" s="10">
        <v>325</v>
      </c>
      <c r="E1265" s="10" t="s">
        <v>34</v>
      </c>
    </row>
    <row r="1266" spans="1:6" x14ac:dyDescent="0.35">
      <c r="A1266" s="2">
        <v>42489</v>
      </c>
      <c r="B1266" s="70" t="s">
        <v>38</v>
      </c>
      <c r="C1266" s="10">
        <v>68</v>
      </c>
      <c r="D1266" s="10">
        <v>280</v>
      </c>
      <c r="E1266" s="10" t="s">
        <v>32</v>
      </c>
      <c r="F1266" t="s">
        <v>157</v>
      </c>
    </row>
    <row r="1267" spans="1:6" x14ac:dyDescent="0.35">
      <c r="A1267" s="2">
        <v>42489</v>
      </c>
      <c r="B1267" s="70" t="s">
        <v>38</v>
      </c>
      <c r="C1267" s="10">
        <v>69</v>
      </c>
      <c r="D1267" s="10">
        <v>224</v>
      </c>
      <c r="E1267" s="10" t="s">
        <v>34</v>
      </c>
      <c r="F1267" t="s">
        <v>157</v>
      </c>
    </row>
    <row r="1268" spans="1:6" x14ac:dyDescent="0.35">
      <c r="A1268" s="2">
        <v>42489</v>
      </c>
      <c r="B1268" s="70" t="s">
        <v>38</v>
      </c>
      <c r="C1268" s="10">
        <v>66</v>
      </c>
      <c r="D1268" s="10">
        <v>199</v>
      </c>
      <c r="E1268" s="10" t="s">
        <v>32</v>
      </c>
    </row>
    <row r="1269" spans="1:6" x14ac:dyDescent="0.35">
      <c r="A1269" s="2">
        <v>42489</v>
      </c>
      <c r="B1269" s="70" t="s">
        <v>38</v>
      </c>
      <c r="C1269" s="10">
        <v>68</v>
      </c>
      <c r="D1269" s="10">
        <v>280</v>
      </c>
      <c r="E1269" s="10" t="s">
        <v>32</v>
      </c>
      <c r="F1269" t="s">
        <v>157</v>
      </c>
    </row>
    <row r="1270" spans="1:6" x14ac:dyDescent="0.35">
      <c r="A1270" s="2">
        <v>42489</v>
      </c>
      <c r="B1270" s="70" t="s">
        <v>38</v>
      </c>
      <c r="C1270" s="10">
        <v>68</v>
      </c>
      <c r="D1270" s="10">
        <v>252</v>
      </c>
      <c r="E1270" s="10" t="s">
        <v>34</v>
      </c>
    </row>
    <row r="1271" spans="1:6" x14ac:dyDescent="0.35">
      <c r="A1271" s="2">
        <v>42489</v>
      </c>
      <c r="B1271" s="70" t="s">
        <v>38</v>
      </c>
      <c r="C1271" s="10">
        <v>80</v>
      </c>
      <c r="D1271" s="10">
        <v>457</v>
      </c>
      <c r="E1271" s="10" t="s">
        <v>32</v>
      </c>
      <c r="F1271" t="s">
        <v>157</v>
      </c>
    </row>
    <row r="1272" spans="1:6" x14ac:dyDescent="0.35">
      <c r="A1272" s="2">
        <v>42489</v>
      </c>
      <c r="B1272" s="70" t="s">
        <v>38</v>
      </c>
      <c r="C1272" s="10">
        <v>64</v>
      </c>
      <c r="D1272" s="10">
        <v>249</v>
      </c>
      <c r="E1272" s="10" t="s">
        <v>34</v>
      </c>
      <c r="F1272" t="s">
        <v>157</v>
      </c>
    </row>
    <row r="1273" spans="1:6" x14ac:dyDescent="0.35">
      <c r="A1273" s="2">
        <v>42489</v>
      </c>
      <c r="B1273" s="70" t="s">
        <v>38</v>
      </c>
      <c r="C1273" s="10">
        <v>73</v>
      </c>
      <c r="D1273" s="10">
        <v>384</v>
      </c>
      <c r="E1273" s="10" t="s">
        <v>32</v>
      </c>
      <c r="F1273" t="s">
        <v>157</v>
      </c>
    </row>
    <row r="1274" spans="1:6" x14ac:dyDescent="0.35">
      <c r="A1274" s="2">
        <v>42489</v>
      </c>
      <c r="B1274" s="70" t="s">
        <v>38</v>
      </c>
      <c r="C1274" s="10">
        <v>65</v>
      </c>
      <c r="D1274" s="10">
        <v>243</v>
      </c>
      <c r="E1274" s="10" t="s">
        <v>32</v>
      </c>
      <c r="F1274" t="s">
        <v>157</v>
      </c>
    </row>
    <row r="1275" spans="1:6" x14ac:dyDescent="0.35">
      <c r="A1275" s="2">
        <v>42489</v>
      </c>
      <c r="B1275" s="70" t="s">
        <v>38</v>
      </c>
      <c r="C1275" s="10">
        <v>79</v>
      </c>
      <c r="D1275" s="10">
        <v>443</v>
      </c>
      <c r="E1275" s="10" t="s">
        <v>34</v>
      </c>
    </row>
    <row r="1276" spans="1:6" x14ac:dyDescent="0.35">
      <c r="A1276" s="2">
        <v>42489</v>
      </c>
      <c r="B1276" s="70" t="s">
        <v>38</v>
      </c>
      <c r="C1276" s="10">
        <v>73</v>
      </c>
      <c r="D1276" s="10">
        <v>346</v>
      </c>
      <c r="E1276" s="10" t="s">
        <v>32</v>
      </c>
      <c r="F1276" t="s">
        <v>157</v>
      </c>
    </row>
    <row r="1277" spans="1:6" x14ac:dyDescent="0.35">
      <c r="A1277" s="2">
        <v>42489</v>
      </c>
      <c r="B1277" s="70" t="s">
        <v>38</v>
      </c>
      <c r="C1277" s="10">
        <v>71</v>
      </c>
      <c r="D1277" s="10">
        <v>290</v>
      </c>
      <c r="E1277" s="10" t="s">
        <v>34</v>
      </c>
      <c r="F1277" t="s">
        <v>157</v>
      </c>
    </row>
    <row r="1278" spans="1:6" x14ac:dyDescent="0.35">
      <c r="A1278" s="2">
        <v>42489</v>
      </c>
      <c r="B1278" s="70" t="s">
        <v>38</v>
      </c>
      <c r="C1278" s="10">
        <v>76</v>
      </c>
      <c r="D1278" s="10">
        <v>399</v>
      </c>
      <c r="E1278" s="10" t="s">
        <v>32</v>
      </c>
      <c r="F1278" t="s">
        <v>157</v>
      </c>
    </row>
    <row r="1279" spans="1:6" x14ac:dyDescent="0.35">
      <c r="A1279" s="2">
        <v>42489</v>
      </c>
      <c r="B1279" s="70" t="s">
        <v>38</v>
      </c>
      <c r="C1279" s="10">
        <v>69</v>
      </c>
      <c r="D1279" s="10">
        <v>322</v>
      </c>
      <c r="E1279" s="10" t="s">
        <v>34</v>
      </c>
      <c r="F1279" t="s">
        <v>157</v>
      </c>
    </row>
    <row r="1280" spans="1:6" x14ac:dyDescent="0.35">
      <c r="A1280" s="2">
        <v>42489</v>
      </c>
      <c r="B1280" s="70" t="s">
        <v>38</v>
      </c>
      <c r="C1280" s="10">
        <v>74</v>
      </c>
      <c r="D1280" s="10">
        <v>363</v>
      </c>
      <c r="E1280" s="10" t="s">
        <v>34</v>
      </c>
      <c r="F1280" t="s">
        <v>157</v>
      </c>
    </row>
    <row r="1281" spans="1:21" x14ac:dyDescent="0.35">
      <c r="A1281" s="2">
        <v>42489</v>
      </c>
      <c r="B1281" s="70" t="s">
        <v>38</v>
      </c>
      <c r="C1281" s="10">
        <v>68</v>
      </c>
      <c r="D1281" s="10">
        <v>277</v>
      </c>
      <c r="E1281" s="10" t="s">
        <v>32</v>
      </c>
      <c r="F1281" t="s">
        <v>157</v>
      </c>
    </row>
    <row r="1282" spans="1:21" x14ac:dyDescent="0.35">
      <c r="A1282" s="2">
        <v>42489</v>
      </c>
      <c r="B1282" s="70" t="s">
        <v>38</v>
      </c>
      <c r="C1282" s="10">
        <v>72</v>
      </c>
      <c r="D1282" s="10">
        <v>348</v>
      </c>
      <c r="E1282" s="10" t="s">
        <v>34</v>
      </c>
      <c r="F1282" t="s">
        <v>157</v>
      </c>
    </row>
    <row r="1283" spans="1:21" x14ac:dyDescent="0.35">
      <c r="A1283" s="2">
        <v>42489</v>
      </c>
      <c r="B1283" s="70" t="s">
        <v>38</v>
      </c>
      <c r="C1283" s="10">
        <v>66</v>
      </c>
      <c r="D1283" s="10">
        <v>198</v>
      </c>
      <c r="E1283" s="10" t="s">
        <v>32</v>
      </c>
    </row>
    <row r="1284" spans="1:21" x14ac:dyDescent="0.35">
      <c r="A1284" s="2">
        <v>42489</v>
      </c>
      <c r="B1284" s="70" t="s">
        <v>38</v>
      </c>
      <c r="C1284" s="10">
        <v>74</v>
      </c>
      <c r="D1284" s="10">
        <v>332</v>
      </c>
      <c r="E1284" s="10" t="s">
        <v>32</v>
      </c>
      <c r="F1284" t="s">
        <v>157</v>
      </c>
    </row>
    <row r="1285" spans="1:21" x14ac:dyDescent="0.35">
      <c r="A1285" s="2">
        <v>42489</v>
      </c>
      <c r="B1285" s="70" t="s">
        <v>38</v>
      </c>
      <c r="C1285" s="10">
        <v>69</v>
      </c>
      <c r="D1285" s="10">
        <v>266</v>
      </c>
      <c r="E1285" s="10" t="s">
        <v>32</v>
      </c>
      <c r="F1285" t="s">
        <v>157</v>
      </c>
    </row>
    <row r="1286" spans="1:21" x14ac:dyDescent="0.35">
      <c r="A1286" s="2">
        <v>42489</v>
      </c>
      <c r="B1286" s="70" t="s">
        <v>38</v>
      </c>
      <c r="C1286" s="10">
        <v>72</v>
      </c>
      <c r="D1286" s="10">
        <v>280</v>
      </c>
      <c r="E1286" s="10" t="s">
        <v>32</v>
      </c>
      <c r="F1286" t="s">
        <v>157</v>
      </c>
    </row>
    <row r="1287" spans="1:21" x14ac:dyDescent="0.35">
      <c r="A1287" s="2">
        <v>42489</v>
      </c>
      <c r="B1287" s="70" t="s">
        <v>38</v>
      </c>
      <c r="C1287" s="10">
        <v>68</v>
      </c>
      <c r="D1287" s="10">
        <v>254</v>
      </c>
      <c r="E1287" s="10" t="s">
        <v>33</v>
      </c>
    </row>
    <row r="1288" spans="1:21" x14ac:dyDescent="0.35">
      <c r="A1288" s="2">
        <v>42489</v>
      </c>
      <c r="B1288" s="70" t="s">
        <v>38</v>
      </c>
      <c r="C1288" s="10">
        <v>73</v>
      </c>
      <c r="D1288" s="10">
        <v>326</v>
      </c>
      <c r="E1288" s="10" t="s">
        <v>34</v>
      </c>
    </row>
    <row r="1289" spans="1:21" x14ac:dyDescent="0.35">
      <c r="A1289" s="2">
        <v>42489</v>
      </c>
      <c r="B1289" s="70" t="s">
        <v>38</v>
      </c>
      <c r="C1289" s="10">
        <v>96</v>
      </c>
      <c r="D1289" s="10">
        <v>1040</v>
      </c>
      <c r="E1289" s="10" t="s">
        <v>98</v>
      </c>
    </row>
    <row r="1290" spans="1:21" x14ac:dyDescent="0.35">
      <c r="A1290" s="2">
        <v>42489</v>
      </c>
      <c r="B1290" s="70" t="s">
        <v>38</v>
      </c>
      <c r="C1290" s="10">
        <v>104</v>
      </c>
      <c r="D1290" s="10">
        <v>1288</v>
      </c>
      <c r="E1290" s="10" t="s">
        <v>98</v>
      </c>
    </row>
    <row r="1291" spans="1:21" x14ac:dyDescent="0.35">
      <c r="A1291" s="2">
        <v>42489</v>
      </c>
      <c r="B1291" s="70" t="s">
        <v>38</v>
      </c>
      <c r="C1291" s="10">
        <v>97</v>
      </c>
      <c r="D1291" s="10">
        <v>1144</v>
      </c>
      <c r="E1291" s="10" t="s">
        <v>98</v>
      </c>
    </row>
    <row r="1292" spans="1:21" x14ac:dyDescent="0.35">
      <c r="A1292" s="2">
        <v>42489</v>
      </c>
      <c r="B1292" s="70" t="s">
        <v>38</v>
      </c>
      <c r="C1292" s="10">
        <v>89</v>
      </c>
      <c r="D1292" s="10">
        <v>749</v>
      </c>
      <c r="E1292" s="10" t="s">
        <v>98</v>
      </c>
    </row>
    <row r="1293" spans="1:21" x14ac:dyDescent="0.35">
      <c r="A1293" s="2">
        <v>42489</v>
      </c>
      <c r="B1293" s="70" t="s">
        <v>38</v>
      </c>
      <c r="C1293" s="10">
        <v>98</v>
      </c>
      <c r="D1293" s="10">
        <v>1064</v>
      </c>
      <c r="E1293" s="10" t="s">
        <v>98</v>
      </c>
      <c r="G1293" t="s">
        <v>42</v>
      </c>
      <c r="H1293" t="s">
        <v>39</v>
      </c>
      <c r="I1293" t="s">
        <v>40</v>
      </c>
      <c r="J1293" t="s">
        <v>36</v>
      </c>
      <c r="K1293" t="s">
        <v>33</v>
      </c>
      <c r="L1293" t="s">
        <v>34</v>
      </c>
      <c r="M1293" t="s">
        <v>32</v>
      </c>
      <c r="N1293" t="s">
        <v>37</v>
      </c>
      <c r="P1293" t="s">
        <v>43</v>
      </c>
      <c r="Q1293" t="s">
        <v>44</v>
      </c>
    </row>
    <row r="1294" spans="1:21" x14ac:dyDescent="0.35">
      <c r="A1294" s="2">
        <v>42489</v>
      </c>
      <c r="B1294" s="70" t="s">
        <v>38</v>
      </c>
      <c r="C1294" s="10">
        <v>101</v>
      </c>
      <c r="D1294" s="10">
        <v>1222</v>
      </c>
      <c r="E1294" s="10" t="s">
        <v>98</v>
      </c>
      <c r="G1294" s="5">
        <f>COUNTIF(E1239:E1288,"VA")</f>
        <v>0</v>
      </c>
      <c r="H1294" s="5">
        <f>COUNTIF(E1239:E1288,"VB")</f>
        <v>0</v>
      </c>
      <c r="I1294" s="5">
        <f>COUNTIF(E1239:E1288,"VIA0")</f>
        <v>0</v>
      </c>
      <c r="J1294" s="5">
        <f>COUNTIF(E1239:E1288,"VIA1")</f>
        <v>0</v>
      </c>
      <c r="K1294" s="5">
        <f>COUNTIF(E1239:E1288,"VIA2")</f>
        <v>2</v>
      </c>
      <c r="L1294" s="5">
        <f>COUNTIF(E1239:E1288,"VIA3")</f>
        <v>22</v>
      </c>
      <c r="M1294" s="5">
        <f>COUNTIF(E1239:E1288,"VIA4")</f>
        <v>26</v>
      </c>
      <c r="N1294" s="5">
        <f>COUNTIF(E1239:E1288,"VIB")</f>
        <v>0</v>
      </c>
      <c r="P1294" s="7">
        <f>AVERAGE(C1239:C1288)</f>
        <v>70.8</v>
      </c>
      <c r="Q1294" s="8">
        <f>AVERAGE(D1239:D1288)</f>
        <v>308.24</v>
      </c>
      <c r="R1294" s="8"/>
      <c r="S1294" s="8" t="e">
        <f>AVERAGE(#REF!)</f>
        <v>#REF!</v>
      </c>
      <c r="U1294" s="42" t="e">
        <f>AVERAGE(#REF!)</f>
        <v>#REF!</v>
      </c>
    </row>
    <row r="1295" spans="1:21" s="4" customFormat="1" x14ac:dyDescent="0.35">
      <c r="A1295" s="3">
        <v>42489</v>
      </c>
      <c r="B1295" s="44" t="s">
        <v>38</v>
      </c>
      <c r="C1295" s="11">
        <v>102</v>
      </c>
      <c r="D1295" s="11">
        <v>1271</v>
      </c>
      <c r="E1295" s="11" t="s">
        <v>98</v>
      </c>
      <c r="G1295" s="6">
        <f>G1294/50*100</f>
        <v>0</v>
      </c>
      <c r="H1295" s="6">
        <f t="shared" ref="H1295:N1295" si="59">H1294/50*100</f>
        <v>0</v>
      </c>
      <c r="I1295" s="6">
        <f t="shared" si="59"/>
        <v>0</v>
      </c>
      <c r="J1295" s="6">
        <f t="shared" si="59"/>
        <v>0</v>
      </c>
      <c r="K1295" s="6">
        <f t="shared" si="59"/>
        <v>4</v>
      </c>
      <c r="L1295" s="6">
        <f t="shared" si="59"/>
        <v>44</v>
      </c>
      <c r="M1295" s="6">
        <f t="shared" si="59"/>
        <v>52</v>
      </c>
      <c r="N1295" s="6">
        <f t="shared" si="59"/>
        <v>0</v>
      </c>
    </row>
    <row r="1296" spans="1:21" x14ac:dyDescent="0.35">
      <c r="A1296" s="2">
        <v>42489</v>
      </c>
      <c r="B1296" s="70" t="s">
        <v>29</v>
      </c>
      <c r="C1296" s="10">
        <v>64</v>
      </c>
      <c r="D1296" s="10">
        <v>238</v>
      </c>
      <c r="E1296" s="10" t="s">
        <v>34</v>
      </c>
      <c r="F1296" t="s">
        <v>157</v>
      </c>
    </row>
    <row r="1297" spans="1:6" x14ac:dyDescent="0.35">
      <c r="A1297" s="2">
        <v>42489</v>
      </c>
      <c r="B1297" s="70" t="s">
        <v>29</v>
      </c>
      <c r="C1297" s="10">
        <v>82</v>
      </c>
      <c r="D1297" s="10">
        <v>439</v>
      </c>
      <c r="E1297" s="10" t="s">
        <v>32</v>
      </c>
      <c r="F1297" t="s">
        <v>157</v>
      </c>
    </row>
    <row r="1298" spans="1:6" x14ac:dyDescent="0.35">
      <c r="A1298" s="2">
        <v>42489</v>
      </c>
      <c r="B1298" s="70" t="s">
        <v>29</v>
      </c>
      <c r="C1298" s="10">
        <v>63</v>
      </c>
      <c r="D1298" s="10">
        <v>228</v>
      </c>
      <c r="E1298" s="10" t="s">
        <v>34</v>
      </c>
      <c r="F1298" t="s">
        <v>157</v>
      </c>
    </row>
    <row r="1299" spans="1:6" x14ac:dyDescent="0.35">
      <c r="A1299" s="2">
        <v>42489</v>
      </c>
      <c r="B1299" s="70" t="s">
        <v>29</v>
      </c>
      <c r="C1299" s="10">
        <v>71</v>
      </c>
      <c r="D1299" s="10">
        <v>342</v>
      </c>
      <c r="E1299" s="10" t="s">
        <v>34</v>
      </c>
      <c r="F1299" t="s">
        <v>157</v>
      </c>
    </row>
    <row r="1300" spans="1:6" x14ac:dyDescent="0.35">
      <c r="A1300" s="2">
        <v>42489</v>
      </c>
      <c r="B1300" s="70" t="s">
        <v>29</v>
      </c>
      <c r="C1300" s="10">
        <v>68</v>
      </c>
      <c r="D1300" s="10">
        <v>301</v>
      </c>
      <c r="E1300" s="10" t="s">
        <v>34</v>
      </c>
      <c r="F1300" t="s">
        <v>157</v>
      </c>
    </row>
    <row r="1301" spans="1:6" x14ac:dyDescent="0.35">
      <c r="A1301" s="2">
        <v>42489</v>
      </c>
      <c r="B1301" s="70" t="s">
        <v>29</v>
      </c>
      <c r="C1301" s="10">
        <v>67</v>
      </c>
      <c r="D1301" s="10">
        <v>288</v>
      </c>
      <c r="E1301" s="10" t="s">
        <v>34</v>
      </c>
      <c r="F1301" t="s">
        <v>157</v>
      </c>
    </row>
    <row r="1302" spans="1:6" x14ac:dyDescent="0.35">
      <c r="A1302" s="2">
        <v>42489</v>
      </c>
      <c r="B1302" s="70" t="s">
        <v>29</v>
      </c>
      <c r="C1302" s="10">
        <v>64</v>
      </c>
      <c r="D1302" s="10">
        <v>207</v>
      </c>
      <c r="E1302" s="10" t="s">
        <v>32</v>
      </c>
      <c r="F1302" t="s">
        <v>157</v>
      </c>
    </row>
    <row r="1303" spans="1:6" x14ac:dyDescent="0.35">
      <c r="A1303" s="2">
        <v>42489</v>
      </c>
      <c r="B1303" s="70" t="s">
        <v>29</v>
      </c>
      <c r="C1303" s="10">
        <v>69</v>
      </c>
      <c r="D1303" s="10">
        <v>270</v>
      </c>
      <c r="E1303" s="10" t="s">
        <v>32</v>
      </c>
      <c r="F1303" t="s">
        <v>157</v>
      </c>
    </row>
    <row r="1304" spans="1:6" x14ac:dyDescent="0.35">
      <c r="A1304" s="2">
        <v>42489</v>
      </c>
      <c r="B1304" s="70" t="s">
        <v>29</v>
      </c>
      <c r="C1304" s="10">
        <v>67</v>
      </c>
      <c r="D1304" s="10">
        <v>278</v>
      </c>
      <c r="E1304" s="10" t="s">
        <v>32</v>
      </c>
    </row>
    <row r="1305" spans="1:6" x14ac:dyDescent="0.35">
      <c r="A1305" s="2">
        <v>42489</v>
      </c>
      <c r="B1305" s="70" t="s">
        <v>29</v>
      </c>
      <c r="C1305" s="10">
        <v>73</v>
      </c>
      <c r="D1305" s="10">
        <v>323</v>
      </c>
      <c r="E1305" s="10" t="s">
        <v>32</v>
      </c>
      <c r="F1305" t="s">
        <v>157</v>
      </c>
    </row>
    <row r="1306" spans="1:6" x14ac:dyDescent="0.35">
      <c r="A1306" s="2">
        <v>42489</v>
      </c>
      <c r="B1306" s="70" t="s">
        <v>29</v>
      </c>
      <c r="C1306" s="10">
        <v>69</v>
      </c>
      <c r="D1306" s="10">
        <v>310</v>
      </c>
      <c r="E1306" s="10" t="s">
        <v>32</v>
      </c>
      <c r="F1306" t="s">
        <v>157</v>
      </c>
    </row>
    <row r="1307" spans="1:6" x14ac:dyDescent="0.35">
      <c r="A1307" s="2">
        <v>42489</v>
      </c>
      <c r="B1307" s="70" t="s">
        <v>29</v>
      </c>
      <c r="C1307" s="10">
        <v>79</v>
      </c>
      <c r="D1307" s="10">
        <v>335</v>
      </c>
      <c r="E1307" s="10" t="s">
        <v>34</v>
      </c>
      <c r="F1307" t="s">
        <v>157</v>
      </c>
    </row>
    <row r="1308" spans="1:6" x14ac:dyDescent="0.35">
      <c r="A1308" s="2">
        <v>42489</v>
      </c>
      <c r="B1308" s="70" t="s">
        <v>29</v>
      </c>
      <c r="C1308" s="10">
        <v>74</v>
      </c>
      <c r="D1308" s="10">
        <v>296</v>
      </c>
      <c r="E1308" s="10" t="s">
        <v>34</v>
      </c>
      <c r="F1308" t="s">
        <v>157</v>
      </c>
    </row>
    <row r="1309" spans="1:6" x14ac:dyDescent="0.35">
      <c r="A1309" s="2">
        <v>42489</v>
      </c>
      <c r="B1309" s="70" t="s">
        <v>29</v>
      </c>
      <c r="C1309" s="10">
        <v>71</v>
      </c>
      <c r="D1309" s="10">
        <v>285</v>
      </c>
      <c r="E1309" s="10" t="s">
        <v>34</v>
      </c>
      <c r="F1309" t="s">
        <v>157</v>
      </c>
    </row>
    <row r="1310" spans="1:6" x14ac:dyDescent="0.35">
      <c r="A1310" s="2">
        <v>42489</v>
      </c>
      <c r="B1310" s="70" t="s">
        <v>29</v>
      </c>
      <c r="C1310" s="10">
        <v>65</v>
      </c>
      <c r="D1310" s="10">
        <v>220</v>
      </c>
      <c r="E1310" s="10" t="s">
        <v>32</v>
      </c>
      <c r="F1310" t="s">
        <v>157</v>
      </c>
    </row>
    <row r="1311" spans="1:6" x14ac:dyDescent="0.35">
      <c r="A1311" s="2">
        <v>42489</v>
      </c>
      <c r="B1311" s="70" t="s">
        <v>29</v>
      </c>
      <c r="C1311" s="10">
        <v>67</v>
      </c>
      <c r="D1311" s="10">
        <v>261</v>
      </c>
      <c r="E1311" s="10" t="s">
        <v>32</v>
      </c>
      <c r="F1311" t="s">
        <v>157</v>
      </c>
    </row>
    <row r="1312" spans="1:6" x14ac:dyDescent="0.35">
      <c r="A1312" s="2">
        <v>42489</v>
      </c>
      <c r="B1312" s="70" t="s">
        <v>29</v>
      </c>
      <c r="C1312" s="10">
        <v>67</v>
      </c>
      <c r="D1312" s="10">
        <v>291</v>
      </c>
      <c r="E1312" s="10" t="s">
        <v>34</v>
      </c>
      <c r="F1312" t="s">
        <v>157</v>
      </c>
    </row>
    <row r="1313" spans="1:6" x14ac:dyDescent="0.35">
      <c r="A1313" s="2">
        <v>42489</v>
      </c>
      <c r="B1313" s="70" t="s">
        <v>29</v>
      </c>
      <c r="C1313" s="10">
        <v>73</v>
      </c>
      <c r="D1313" s="10">
        <v>302</v>
      </c>
      <c r="E1313" s="10" t="s">
        <v>34</v>
      </c>
      <c r="F1313" t="s">
        <v>157</v>
      </c>
    </row>
    <row r="1314" spans="1:6" x14ac:dyDescent="0.35">
      <c r="A1314" s="2">
        <v>42489</v>
      </c>
      <c r="B1314" s="70" t="s">
        <v>29</v>
      </c>
      <c r="C1314" s="10">
        <v>68</v>
      </c>
      <c r="D1314" s="10">
        <v>246</v>
      </c>
      <c r="E1314" s="10" t="s">
        <v>32</v>
      </c>
      <c r="F1314" t="s">
        <v>157</v>
      </c>
    </row>
    <row r="1315" spans="1:6" x14ac:dyDescent="0.35">
      <c r="A1315" s="2">
        <v>42489</v>
      </c>
      <c r="B1315" s="70" t="s">
        <v>29</v>
      </c>
      <c r="C1315" s="10">
        <v>70</v>
      </c>
      <c r="D1315" s="10">
        <v>291</v>
      </c>
      <c r="E1315" s="10" t="s">
        <v>32</v>
      </c>
      <c r="F1315" t="s">
        <v>157</v>
      </c>
    </row>
    <row r="1316" spans="1:6" x14ac:dyDescent="0.35">
      <c r="A1316" s="2">
        <v>42489</v>
      </c>
      <c r="B1316" s="70" t="s">
        <v>29</v>
      </c>
      <c r="C1316" s="10">
        <v>69</v>
      </c>
      <c r="D1316" s="10">
        <v>282</v>
      </c>
      <c r="E1316" s="10" t="s">
        <v>32</v>
      </c>
      <c r="F1316" t="s">
        <v>157</v>
      </c>
    </row>
    <row r="1317" spans="1:6" x14ac:dyDescent="0.35">
      <c r="A1317" s="2">
        <v>42489</v>
      </c>
      <c r="B1317" s="70" t="s">
        <v>29</v>
      </c>
      <c r="C1317" s="10">
        <v>77</v>
      </c>
      <c r="D1317" s="10">
        <v>384</v>
      </c>
      <c r="E1317" s="10" t="s">
        <v>32</v>
      </c>
      <c r="F1317" t="s">
        <v>157</v>
      </c>
    </row>
    <row r="1318" spans="1:6" x14ac:dyDescent="0.35">
      <c r="A1318" s="2">
        <v>42489</v>
      </c>
      <c r="B1318" s="70" t="s">
        <v>29</v>
      </c>
      <c r="C1318" s="10">
        <v>72</v>
      </c>
      <c r="D1318" s="10">
        <v>335</v>
      </c>
      <c r="E1318" s="10" t="s">
        <v>34</v>
      </c>
      <c r="F1318" t="s">
        <v>157</v>
      </c>
    </row>
    <row r="1319" spans="1:6" x14ac:dyDescent="0.35">
      <c r="A1319" s="2">
        <v>42489</v>
      </c>
      <c r="B1319" s="70" t="s">
        <v>29</v>
      </c>
      <c r="C1319" s="10">
        <v>64</v>
      </c>
      <c r="D1319" s="10">
        <v>253</v>
      </c>
      <c r="E1319" s="10" t="s">
        <v>33</v>
      </c>
    </row>
    <row r="1320" spans="1:6" x14ac:dyDescent="0.35">
      <c r="A1320" s="2">
        <v>42489</v>
      </c>
      <c r="B1320" s="70" t="s">
        <v>29</v>
      </c>
      <c r="C1320" s="10">
        <v>73</v>
      </c>
      <c r="D1320" s="10">
        <v>343</v>
      </c>
      <c r="E1320" s="10" t="s">
        <v>32</v>
      </c>
    </row>
    <row r="1321" spans="1:6" x14ac:dyDescent="0.35">
      <c r="A1321" s="2">
        <v>42489</v>
      </c>
      <c r="B1321" s="70" t="s">
        <v>29</v>
      </c>
      <c r="C1321" s="10">
        <v>67</v>
      </c>
      <c r="D1321" s="10">
        <v>247</v>
      </c>
      <c r="E1321" s="10" t="s">
        <v>34</v>
      </c>
    </row>
    <row r="1322" spans="1:6" x14ac:dyDescent="0.35">
      <c r="A1322" s="2">
        <v>42489</v>
      </c>
      <c r="B1322" s="70" t="s">
        <v>29</v>
      </c>
      <c r="C1322" s="10">
        <v>68</v>
      </c>
      <c r="D1322" s="10">
        <v>279</v>
      </c>
      <c r="E1322" s="10" t="s">
        <v>32</v>
      </c>
      <c r="F1322" t="s">
        <v>157</v>
      </c>
    </row>
    <row r="1323" spans="1:6" x14ac:dyDescent="0.35">
      <c r="A1323" s="2">
        <v>42489</v>
      </c>
      <c r="B1323" s="70" t="s">
        <v>29</v>
      </c>
      <c r="C1323" s="10">
        <v>73</v>
      </c>
      <c r="D1323" s="10">
        <v>299</v>
      </c>
      <c r="E1323" s="10" t="s">
        <v>32</v>
      </c>
      <c r="F1323" t="s">
        <v>157</v>
      </c>
    </row>
    <row r="1324" spans="1:6" x14ac:dyDescent="0.35">
      <c r="A1324" s="2">
        <v>42489</v>
      </c>
      <c r="B1324" s="70" t="s">
        <v>29</v>
      </c>
      <c r="C1324" s="10">
        <v>69</v>
      </c>
      <c r="D1324" s="10">
        <v>307</v>
      </c>
      <c r="E1324" s="10" t="s">
        <v>34</v>
      </c>
    </row>
    <row r="1325" spans="1:6" x14ac:dyDescent="0.35">
      <c r="A1325" s="2">
        <v>42489</v>
      </c>
      <c r="B1325" s="70" t="s">
        <v>29</v>
      </c>
      <c r="C1325" s="10">
        <v>74</v>
      </c>
      <c r="D1325" s="10">
        <v>354</v>
      </c>
      <c r="E1325" s="10" t="s">
        <v>33</v>
      </c>
    </row>
    <row r="1326" spans="1:6" x14ac:dyDescent="0.35">
      <c r="A1326" s="2">
        <v>42489</v>
      </c>
      <c r="B1326" s="70" t="s">
        <v>29</v>
      </c>
      <c r="C1326" s="10">
        <v>71</v>
      </c>
      <c r="D1326" s="10">
        <v>318</v>
      </c>
      <c r="E1326" s="10" t="s">
        <v>32</v>
      </c>
      <c r="F1326" t="s">
        <v>157</v>
      </c>
    </row>
    <row r="1327" spans="1:6" x14ac:dyDescent="0.35">
      <c r="A1327" s="2">
        <v>42489</v>
      </c>
      <c r="B1327" s="70" t="s">
        <v>29</v>
      </c>
      <c r="C1327" s="10">
        <v>69</v>
      </c>
      <c r="D1327" s="10">
        <v>235</v>
      </c>
      <c r="E1327" s="10" t="s">
        <v>34</v>
      </c>
    </row>
    <row r="1328" spans="1:6" x14ac:dyDescent="0.35">
      <c r="A1328" s="2">
        <v>42489</v>
      </c>
      <c r="B1328" s="70" t="s">
        <v>29</v>
      </c>
      <c r="C1328" s="10">
        <v>69</v>
      </c>
      <c r="D1328" s="10">
        <v>315</v>
      </c>
      <c r="E1328" s="10" t="s">
        <v>32</v>
      </c>
      <c r="F1328" t="s">
        <v>157</v>
      </c>
    </row>
    <row r="1329" spans="1:6" x14ac:dyDescent="0.35">
      <c r="A1329" s="2">
        <v>42489</v>
      </c>
      <c r="B1329" s="70" t="s">
        <v>29</v>
      </c>
      <c r="C1329" s="10">
        <v>75</v>
      </c>
      <c r="D1329" s="10">
        <v>300</v>
      </c>
      <c r="E1329" s="10" t="s">
        <v>34</v>
      </c>
      <c r="F1329" t="s">
        <v>157</v>
      </c>
    </row>
    <row r="1330" spans="1:6" x14ac:dyDescent="0.35">
      <c r="A1330" s="2">
        <v>42489</v>
      </c>
      <c r="B1330" s="70" t="s">
        <v>29</v>
      </c>
      <c r="C1330" s="10">
        <v>70</v>
      </c>
      <c r="D1330" s="10">
        <v>289</v>
      </c>
      <c r="E1330" s="10" t="s">
        <v>34</v>
      </c>
      <c r="F1330" t="s">
        <v>157</v>
      </c>
    </row>
    <row r="1331" spans="1:6" x14ac:dyDescent="0.35">
      <c r="A1331" s="2">
        <v>42489</v>
      </c>
      <c r="B1331" s="70" t="s">
        <v>29</v>
      </c>
      <c r="C1331" s="10">
        <v>68</v>
      </c>
      <c r="D1331" s="10">
        <v>333</v>
      </c>
      <c r="E1331" s="10" t="s">
        <v>32</v>
      </c>
      <c r="F1331" t="s">
        <v>157</v>
      </c>
    </row>
    <row r="1332" spans="1:6" x14ac:dyDescent="0.35">
      <c r="A1332" s="2">
        <v>42489</v>
      </c>
      <c r="B1332" s="70" t="s">
        <v>29</v>
      </c>
      <c r="C1332" s="10">
        <v>75</v>
      </c>
      <c r="D1332" s="10">
        <v>383</v>
      </c>
      <c r="E1332" s="10" t="s">
        <v>32</v>
      </c>
      <c r="F1332" t="s">
        <v>157</v>
      </c>
    </row>
    <row r="1333" spans="1:6" x14ac:dyDescent="0.35">
      <c r="A1333" s="2">
        <v>42489</v>
      </c>
      <c r="B1333" s="70" t="s">
        <v>29</v>
      </c>
      <c r="C1333" s="10">
        <v>69</v>
      </c>
      <c r="D1333" s="10">
        <v>317</v>
      </c>
      <c r="E1333" s="10" t="s">
        <v>34</v>
      </c>
      <c r="F1333" t="s">
        <v>157</v>
      </c>
    </row>
    <row r="1334" spans="1:6" x14ac:dyDescent="0.35">
      <c r="A1334" s="2">
        <v>42489</v>
      </c>
      <c r="B1334" s="70" t="s">
        <v>29</v>
      </c>
      <c r="C1334" s="10">
        <v>73</v>
      </c>
      <c r="D1334" s="10">
        <v>310</v>
      </c>
      <c r="E1334" s="10" t="s">
        <v>34</v>
      </c>
    </row>
    <row r="1335" spans="1:6" x14ac:dyDescent="0.35">
      <c r="A1335" s="2">
        <v>42489</v>
      </c>
      <c r="B1335" s="70" t="s">
        <v>29</v>
      </c>
      <c r="C1335" s="10">
        <v>67</v>
      </c>
      <c r="D1335" s="10">
        <v>178</v>
      </c>
      <c r="E1335" s="10" t="s">
        <v>34</v>
      </c>
      <c r="F1335" t="s">
        <v>157</v>
      </c>
    </row>
    <row r="1336" spans="1:6" x14ac:dyDescent="0.35">
      <c r="A1336" s="2">
        <v>42489</v>
      </c>
      <c r="B1336" s="70" t="s">
        <v>29</v>
      </c>
      <c r="C1336" s="10">
        <v>76</v>
      </c>
      <c r="D1336" s="10">
        <v>420</v>
      </c>
      <c r="E1336" s="10" t="s">
        <v>32</v>
      </c>
      <c r="F1336" t="s">
        <v>157</v>
      </c>
    </row>
    <row r="1337" spans="1:6" x14ac:dyDescent="0.35">
      <c r="A1337" s="2">
        <v>42489</v>
      </c>
      <c r="B1337" s="70" t="s">
        <v>29</v>
      </c>
      <c r="C1337" s="10">
        <v>61</v>
      </c>
      <c r="D1337" s="10">
        <v>154</v>
      </c>
      <c r="E1337" s="10" t="s">
        <v>32</v>
      </c>
      <c r="F1337" t="s">
        <v>157</v>
      </c>
    </row>
    <row r="1338" spans="1:6" x14ac:dyDescent="0.35">
      <c r="A1338" s="2">
        <v>42489</v>
      </c>
      <c r="B1338" s="70" t="s">
        <v>29</v>
      </c>
      <c r="C1338" s="10">
        <v>77</v>
      </c>
      <c r="D1338" s="10">
        <v>411</v>
      </c>
      <c r="E1338" s="10" t="s">
        <v>34</v>
      </c>
      <c r="F1338" t="s">
        <v>157</v>
      </c>
    </row>
    <row r="1339" spans="1:6" x14ac:dyDescent="0.35">
      <c r="A1339" s="2">
        <v>42489</v>
      </c>
      <c r="B1339" s="70" t="s">
        <v>29</v>
      </c>
      <c r="C1339" s="10">
        <v>73</v>
      </c>
      <c r="D1339" s="10">
        <v>383</v>
      </c>
      <c r="E1339" s="10" t="s">
        <v>32</v>
      </c>
      <c r="F1339" t="s">
        <v>157</v>
      </c>
    </row>
    <row r="1340" spans="1:6" x14ac:dyDescent="0.35">
      <c r="A1340" s="2">
        <v>42489</v>
      </c>
      <c r="B1340" s="70" t="s">
        <v>29</v>
      </c>
      <c r="C1340" s="10">
        <v>72</v>
      </c>
      <c r="D1340" s="10">
        <v>332</v>
      </c>
      <c r="E1340" s="10" t="s">
        <v>32</v>
      </c>
      <c r="F1340" t="s">
        <v>157</v>
      </c>
    </row>
    <row r="1341" spans="1:6" x14ac:dyDescent="0.35">
      <c r="A1341" s="2">
        <v>42489</v>
      </c>
      <c r="B1341" s="70" t="s">
        <v>29</v>
      </c>
      <c r="C1341" s="10">
        <v>78</v>
      </c>
      <c r="D1341" s="10">
        <v>379</v>
      </c>
      <c r="E1341" s="10" t="s">
        <v>32</v>
      </c>
      <c r="F1341" t="s">
        <v>157</v>
      </c>
    </row>
    <row r="1342" spans="1:6" x14ac:dyDescent="0.35">
      <c r="A1342" s="2">
        <v>42489</v>
      </c>
      <c r="B1342" s="70" t="s">
        <v>29</v>
      </c>
      <c r="C1342" s="10">
        <v>72</v>
      </c>
      <c r="D1342" s="10">
        <v>340</v>
      </c>
      <c r="E1342" s="10" t="s">
        <v>32</v>
      </c>
      <c r="F1342" t="s">
        <v>157</v>
      </c>
    </row>
    <row r="1343" spans="1:6" x14ac:dyDescent="0.35">
      <c r="A1343" s="2">
        <v>42489</v>
      </c>
      <c r="B1343" s="70" t="s">
        <v>29</v>
      </c>
      <c r="C1343" s="10">
        <v>69</v>
      </c>
      <c r="D1343" s="10">
        <v>302</v>
      </c>
      <c r="E1343" s="10" t="s">
        <v>32</v>
      </c>
      <c r="F1343" t="s">
        <v>157</v>
      </c>
    </row>
    <row r="1344" spans="1:6" x14ac:dyDescent="0.35">
      <c r="A1344" s="2">
        <v>42489</v>
      </c>
      <c r="B1344" s="70" t="s">
        <v>29</v>
      </c>
      <c r="C1344" s="10">
        <v>71</v>
      </c>
      <c r="D1344" s="10">
        <v>308</v>
      </c>
      <c r="E1344" s="10" t="s">
        <v>32</v>
      </c>
      <c r="F1344" t="s">
        <v>157</v>
      </c>
    </row>
    <row r="1345" spans="1:22" x14ac:dyDescent="0.35">
      <c r="A1345" s="2">
        <v>42489</v>
      </c>
      <c r="B1345" s="70" t="s">
        <v>29</v>
      </c>
      <c r="C1345" s="10">
        <v>72</v>
      </c>
      <c r="D1345" s="10">
        <v>274</v>
      </c>
      <c r="E1345" s="10" t="s">
        <v>34</v>
      </c>
      <c r="F1345" t="s">
        <v>157</v>
      </c>
    </row>
    <row r="1346" spans="1:22" x14ac:dyDescent="0.35">
      <c r="A1346" s="2">
        <v>42489</v>
      </c>
      <c r="B1346" s="70" t="s">
        <v>29</v>
      </c>
      <c r="C1346" s="10">
        <v>129</v>
      </c>
      <c r="D1346" s="10">
        <v>3343</v>
      </c>
      <c r="E1346" s="10" t="s">
        <v>98</v>
      </c>
    </row>
    <row r="1347" spans="1:22" x14ac:dyDescent="0.35">
      <c r="A1347" s="2">
        <v>42489</v>
      </c>
      <c r="B1347" s="70" t="s">
        <v>29</v>
      </c>
      <c r="C1347" s="10">
        <v>88</v>
      </c>
      <c r="D1347" s="10">
        <v>853</v>
      </c>
      <c r="E1347" s="10" t="s">
        <v>98</v>
      </c>
    </row>
    <row r="1348" spans="1:22" x14ac:dyDescent="0.35">
      <c r="A1348" s="2">
        <v>42489</v>
      </c>
      <c r="B1348" s="70" t="s">
        <v>29</v>
      </c>
      <c r="C1348" s="10">
        <v>117</v>
      </c>
      <c r="D1348" s="10">
        <v>2089</v>
      </c>
      <c r="E1348" s="10" t="s">
        <v>98</v>
      </c>
      <c r="H1348" s="42" t="e">
        <f>AVERAGE(#REF!)</f>
        <v>#REF!</v>
      </c>
    </row>
    <row r="1349" spans="1:22" x14ac:dyDescent="0.35">
      <c r="A1349" s="2">
        <v>42489</v>
      </c>
      <c r="B1349" s="70" t="s">
        <v>29</v>
      </c>
      <c r="C1349" s="10">
        <v>97</v>
      </c>
      <c r="D1349" s="10">
        <v>1041</v>
      </c>
      <c r="E1349" s="10" t="s">
        <v>98</v>
      </c>
      <c r="H1349" s="42" t="e">
        <f>AVERAGE(#REF!,#REF!)</f>
        <v>#REF!</v>
      </c>
    </row>
    <row r="1350" spans="1:22" x14ac:dyDescent="0.35">
      <c r="A1350" s="2">
        <v>42489</v>
      </c>
      <c r="B1350" s="70" t="s">
        <v>29</v>
      </c>
      <c r="C1350" s="10">
        <v>91</v>
      </c>
      <c r="D1350" s="10">
        <v>944</v>
      </c>
      <c r="E1350" s="10" t="s">
        <v>98</v>
      </c>
    </row>
    <row r="1351" spans="1:22" x14ac:dyDescent="0.35">
      <c r="A1351" s="2">
        <v>42489</v>
      </c>
      <c r="B1351" s="70" t="s">
        <v>29</v>
      </c>
      <c r="C1351" s="10">
        <v>106</v>
      </c>
      <c r="D1351" s="10">
        <v>1654</v>
      </c>
      <c r="E1351" s="10" t="s">
        <v>98</v>
      </c>
    </row>
    <row r="1352" spans="1:22" x14ac:dyDescent="0.35">
      <c r="A1352" s="2">
        <v>42489</v>
      </c>
      <c r="B1352" s="70" t="s">
        <v>29</v>
      </c>
      <c r="C1352" s="10">
        <v>91</v>
      </c>
      <c r="D1352" s="10">
        <v>748</v>
      </c>
      <c r="E1352" s="10" t="s">
        <v>98</v>
      </c>
      <c r="G1352">
        <f>G1356+G1294</f>
        <v>0</v>
      </c>
      <c r="H1352">
        <f t="shared" ref="H1352:N1352" si="60">H1356+H1294</f>
        <v>0</v>
      </c>
      <c r="I1352">
        <f t="shared" si="60"/>
        <v>0</v>
      </c>
      <c r="J1352">
        <f t="shared" si="60"/>
        <v>0</v>
      </c>
      <c r="K1352">
        <f t="shared" si="60"/>
        <v>4</v>
      </c>
      <c r="L1352">
        <f t="shared" si="60"/>
        <v>43</v>
      </c>
      <c r="M1352">
        <f t="shared" si="60"/>
        <v>53</v>
      </c>
      <c r="N1352">
        <f t="shared" si="60"/>
        <v>0</v>
      </c>
      <c r="P1352">
        <f>AVERAGE(C1296:C1345,C1239:C1288)</f>
        <v>70.64</v>
      </c>
      <c r="Q1352">
        <f>AVERAGE(D1296:D1345,D1239:D1288)</f>
        <v>305.27</v>
      </c>
    </row>
    <row r="1353" spans="1:22" x14ac:dyDescent="0.35">
      <c r="A1353" s="2">
        <v>42489</v>
      </c>
      <c r="B1353" s="70" t="s">
        <v>29</v>
      </c>
      <c r="C1353" s="10">
        <v>94</v>
      </c>
      <c r="D1353" s="10">
        <v>964</v>
      </c>
      <c r="E1353" s="10" t="s">
        <v>98</v>
      </c>
    </row>
    <row r="1354" spans="1:22" x14ac:dyDescent="0.35">
      <c r="A1354" s="2">
        <v>42489</v>
      </c>
      <c r="B1354" s="70" t="s">
        <v>29</v>
      </c>
      <c r="C1354" s="10">
        <v>97</v>
      </c>
      <c r="D1354" s="10">
        <v>1176</v>
      </c>
      <c r="E1354" s="10" t="s">
        <v>98</v>
      </c>
    </row>
    <row r="1355" spans="1:22" x14ac:dyDescent="0.35">
      <c r="A1355" s="2">
        <v>42489</v>
      </c>
      <c r="B1355" s="70" t="s">
        <v>29</v>
      </c>
      <c r="C1355" s="10">
        <v>88</v>
      </c>
      <c r="D1355" s="10">
        <v>918</v>
      </c>
      <c r="E1355" s="10" t="s">
        <v>98</v>
      </c>
      <c r="G1355" t="s">
        <v>42</v>
      </c>
      <c r="H1355" t="s">
        <v>39</v>
      </c>
      <c r="I1355" t="s">
        <v>40</v>
      </c>
      <c r="J1355" t="s">
        <v>36</v>
      </c>
      <c r="K1355" t="s">
        <v>33</v>
      </c>
      <c r="L1355" t="s">
        <v>34</v>
      </c>
      <c r="M1355" t="s">
        <v>32</v>
      </c>
      <c r="N1355" t="s">
        <v>37</v>
      </c>
      <c r="P1355" t="s">
        <v>43</v>
      </c>
      <c r="Q1355" t="s">
        <v>44</v>
      </c>
      <c r="U1355">
        <f>AVERAGE(C1296:C1345,C1239:C1288)</f>
        <v>70.64</v>
      </c>
      <c r="V1355">
        <f>AVERAGE(D1296:D1345,D1239:D1288)</f>
        <v>305.27</v>
      </c>
    </row>
    <row r="1356" spans="1:22" x14ac:dyDescent="0.35">
      <c r="A1356" s="2">
        <v>42489</v>
      </c>
      <c r="B1356" s="70" t="s">
        <v>29</v>
      </c>
      <c r="C1356" s="10">
        <v>115</v>
      </c>
      <c r="D1356" s="10">
        <v>2172</v>
      </c>
      <c r="E1356" s="10" t="s">
        <v>98</v>
      </c>
      <c r="G1356" s="5">
        <f>COUNTIF(E1296:E1345,"VA")</f>
        <v>0</v>
      </c>
      <c r="H1356" s="5">
        <f>COUNTIF(E1296:E1345,"VB")</f>
        <v>0</v>
      </c>
      <c r="I1356" s="5">
        <f>COUNTIF(E1296:E1345,"VIA0")</f>
        <v>0</v>
      </c>
      <c r="J1356" s="5">
        <f>COUNTIF(E1296:E1345,"VIA1")</f>
        <v>0</v>
      </c>
      <c r="K1356" s="5">
        <f>COUNTIF(E1296:E1345,"VIA2")</f>
        <v>2</v>
      </c>
      <c r="L1356" s="5">
        <f>COUNTIF(E1296:E1345,"VIA3")</f>
        <v>21</v>
      </c>
      <c r="M1356" s="5">
        <f>COUNTIF(E1296:E1345,"VIA4")</f>
        <v>27</v>
      </c>
      <c r="N1356" s="5">
        <f>COUNTIF(E1296:E1345,"VIB")</f>
        <v>0</v>
      </c>
      <c r="P1356" s="7">
        <f>AVERAGE(C1296:C1345)</f>
        <v>70.48</v>
      </c>
      <c r="Q1356" s="8">
        <f>AVERAGE(D1296:D1345)</f>
        <v>302.3</v>
      </c>
      <c r="R1356" s="8" t="e">
        <f>AVERAGE(E1296:E1345)</f>
        <v>#DIV/0!</v>
      </c>
      <c r="S1356" s="8" t="e">
        <f>AVERAGE(#REF!)</f>
        <v>#REF!</v>
      </c>
    </row>
    <row r="1357" spans="1:22" s="4" customFormat="1" x14ac:dyDescent="0.35">
      <c r="A1357" s="3">
        <v>42489</v>
      </c>
      <c r="B1357" s="44" t="s">
        <v>29</v>
      </c>
      <c r="C1357" s="11">
        <v>103</v>
      </c>
      <c r="D1357" s="11">
        <v>1153</v>
      </c>
      <c r="E1357" s="11" t="s">
        <v>98</v>
      </c>
      <c r="G1357" s="6">
        <f>G1356/50*100</f>
        <v>0</v>
      </c>
      <c r="H1357" s="6">
        <f t="shared" ref="H1357" si="61">H1356/50*100</f>
        <v>0</v>
      </c>
      <c r="I1357" s="6">
        <f t="shared" ref="I1357" si="62">I1356/50*100</f>
        <v>0</v>
      </c>
      <c r="J1357" s="6">
        <f t="shared" ref="J1357" si="63">J1356/50*100</f>
        <v>0</v>
      </c>
      <c r="K1357" s="6">
        <f t="shared" ref="K1357" si="64">K1356/50*100</f>
        <v>4</v>
      </c>
      <c r="L1357" s="6">
        <f t="shared" ref="L1357" si="65">L1356/50*100</f>
        <v>42</v>
      </c>
      <c r="M1357" s="6">
        <f t="shared" ref="M1357" si="66">M1356/50*100</f>
        <v>54</v>
      </c>
      <c r="N1357" s="6">
        <f t="shared" ref="N1357" si="67">N1356/50*100</f>
        <v>0</v>
      </c>
    </row>
    <row r="1358" spans="1:22" s="22" customFormat="1" x14ac:dyDescent="0.35">
      <c r="A1358" s="19">
        <v>42489</v>
      </c>
      <c r="B1358" s="71" t="s">
        <v>104</v>
      </c>
      <c r="C1358" s="20">
        <v>94</v>
      </c>
      <c r="D1358" s="20">
        <v>1223</v>
      </c>
      <c r="E1358" s="20" t="s">
        <v>98</v>
      </c>
    </row>
    <row r="1359" spans="1:22" s="22" customFormat="1" x14ac:dyDescent="0.35">
      <c r="A1359" s="19">
        <v>42489</v>
      </c>
      <c r="B1359" s="71" t="s">
        <v>103</v>
      </c>
      <c r="C1359" s="20">
        <v>99</v>
      </c>
      <c r="D1359" s="20">
        <v>1361</v>
      </c>
      <c r="E1359" s="20" t="s">
        <v>98</v>
      </c>
    </row>
    <row r="1360" spans="1:22" x14ac:dyDescent="0.35">
      <c r="A1360" s="13">
        <v>42489</v>
      </c>
      <c r="B1360" s="40" t="s">
        <v>113</v>
      </c>
      <c r="C1360" s="10">
        <v>73</v>
      </c>
      <c r="D1360" s="10">
        <v>436</v>
      </c>
      <c r="E1360" s="10" t="s">
        <v>32</v>
      </c>
      <c r="F1360" t="s">
        <v>157</v>
      </c>
    </row>
    <row r="1361" spans="1:31" x14ac:dyDescent="0.35">
      <c r="A1361" s="13">
        <v>42489</v>
      </c>
      <c r="B1361" s="40" t="s">
        <v>113</v>
      </c>
      <c r="C1361" s="10">
        <v>72</v>
      </c>
      <c r="D1361" s="10">
        <v>386</v>
      </c>
      <c r="E1361" s="10" t="s">
        <v>32</v>
      </c>
      <c r="F1361" t="s">
        <v>157</v>
      </c>
    </row>
    <row r="1362" spans="1:31" x14ac:dyDescent="0.35">
      <c r="A1362" s="13">
        <v>42489</v>
      </c>
      <c r="B1362" s="40" t="s">
        <v>113</v>
      </c>
      <c r="C1362" s="10">
        <v>68</v>
      </c>
      <c r="D1362" s="10">
        <v>277</v>
      </c>
      <c r="E1362" s="10" t="s">
        <v>32</v>
      </c>
      <c r="F1362" t="s">
        <v>157</v>
      </c>
    </row>
    <row r="1363" spans="1:31" s="4" customFormat="1" x14ac:dyDescent="0.35">
      <c r="A1363" s="3">
        <v>42489</v>
      </c>
      <c r="B1363" s="44" t="s">
        <v>113</v>
      </c>
      <c r="C1363" s="11">
        <v>87</v>
      </c>
      <c r="D1363" s="11">
        <v>852</v>
      </c>
      <c r="E1363" s="11" t="s">
        <v>98</v>
      </c>
    </row>
    <row r="1364" spans="1:31" x14ac:dyDescent="0.35">
      <c r="A1364" s="13">
        <v>42489</v>
      </c>
      <c r="B1364" s="40" t="s">
        <v>66</v>
      </c>
      <c r="C1364" s="10">
        <v>68</v>
      </c>
      <c r="D1364" s="10">
        <v>236</v>
      </c>
      <c r="E1364" s="10" t="s">
        <v>32</v>
      </c>
      <c r="F1364" s="10" t="s">
        <v>157</v>
      </c>
    </row>
    <row r="1365" spans="1:31" x14ac:dyDescent="0.35">
      <c r="A1365" s="13">
        <v>42489</v>
      </c>
      <c r="B1365" s="40" t="s">
        <v>66</v>
      </c>
      <c r="C1365" s="10">
        <v>67</v>
      </c>
      <c r="D1365" s="10">
        <v>251</v>
      </c>
      <c r="E1365" s="10" t="s">
        <v>32</v>
      </c>
      <c r="F1365" s="10" t="s">
        <v>157</v>
      </c>
    </row>
    <row r="1366" spans="1:31" x14ac:dyDescent="0.35">
      <c r="A1366" s="13">
        <v>42489</v>
      </c>
      <c r="B1366" s="40" t="s">
        <v>66</v>
      </c>
      <c r="C1366" s="10">
        <v>65</v>
      </c>
      <c r="D1366" s="10">
        <v>223</v>
      </c>
      <c r="E1366" s="10" t="s">
        <v>32</v>
      </c>
      <c r="F1366" s="10" t="s">
        <v>157</v>
      </c>
    </row>
    <row r="1367" spans="1:31" x14ac:dyDescent="0.35">
      <c r="A1367" s="13">
        <v>42489</v>
      </c>
      <c r="B1367" s="40" t="s">
        <v>66</v>
      </c>
      <c r="C1367" s="10">
        <v>88</v>
      </c>
      <c r="D1367" s="10">
        <v>956</v>
      </c>
      <c r="E1367" s="10" t="s">
        <v>98</v>
      </c>
    </row>
    <row r="1368" spans="1:31" x14ac:dyDescent="0.35">
      <c r="A1368" s="13">
        <v>42489</v>
      </c>
      <c r="B1368" s="40" t="s">
        <v>66</v>
      </c>
      <c r="C1368" s="10">
        <v>119</v>
      </c>
      <c r="D1368" s="10">
        <v>2131</v>
      </c>
      <c r="E1368" s="10" t="s">
        <v>98</v>
      </c>
    </row>
    <row r="1369" spans="1:31" x14ac:dyDescent="0.35">
      <c r="A1369" s="13">
        <v>42489</v>
      </c>
      <c r="B1369" s="40" t="s">
        <v>66</v>
      </c>
      <c r="C1369" s="10">
        <v>84</v>
      </c>
      <c r="D1369" s="10">
        <v>840</v>
      </c>
      <c r="E1369" s="10" t="s">
        <v>98</v>
      </c>
    </row>
    <row r="1370" spans="1:31" x14ac:dyDescent="0.35">
      <c r="A1370" s="13">
        <v>42489</v>
      </c>
      <c r="B1370" s="40" t="s">
        <v>66</v>
      </c>
      <c r="C1370" s="10">
        <v>98</v>
      </c>
      <c r="D1370" s="10">
        <v>1339</v>
      </c>
      <c r="E1370" s="10" t="s">
        <v>98</v>
      </c>
      <c r="U1370">
        <f>AVERAGE(C1364:C1366,C1372:C1375,C1360:C1362)</f>
        <v>68.5</v>
      </c>
      <c r="V1370">
        <f>AVERAGE(D1364:D1366,D1372:D1375,D1360:D1362)</f>
        <v>287.3</v>
      </c>
    </row>
    <row r="1371" spans="1:31" s="4" customFormat="1" x14ac:dyDescent="0.35">
      <c r="A1371" s="3">
        <v>42489</v>
      </c>
      <c r="B1371" s="44" t="s">
        <v>66</v>
      </c>
      <c r="C1371" s="11">
        <v>105</v>
      </c>
      <c r="D1371" s="11">
        <v>1537</v>
      </c>
      <c r="E1371" s="11" t="s">
        <v>98</v>
      </c>
    </row>
    <row r="1372" spans="1:31" x14ac:dyDescent="0.35">
      <c r="A1372" s="13">
        <v>42489</v>
      </c>
      <c r="B1372" s="40" t="s">
        <v>63</v>
      </c>
      <c r="C1372" s="10">
        <v>76</v>
      </c>
      <c r="D1372" s="10">
        <v>367</v>
      </c>
      <c r="E1372" s="10" t="s">
        <v>32</v>
      </c>
      <c r="F1372" t="s">
        <v>157</v>
      </c>
    </row>
    <row r="1373" spans="1:31" x14ac:dyDescent="0.35">
      <c r="A1373" s="13">
        <v>42489</v>
      </c>
      <c r="B1373" s="40" t="s">
        <v>63</v>
      </c>
      <c r="C1373" s="10">
        <v>60</v>
      </c>
      <c r="D1373" s="10">
        <v>181</v>
      </c>
      <c r="E1373" s="10" t="s">
        <v>32</v>
      </c>
      <c r="F1373" t="s">
        <v>157</v>
      </c>
      <c r="U1373" s="5" t="s">
        <v>145</v>
      </c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</row>
    <row r="1374" spans="1:31" x14ac:dyDescent="0.35">
      <c r="A1374" s="13">
        <v>42489</v>
      </c>
      <c r="B1374" s="40" t="s">
        <v>63</v>
      </c>
      <c r="C1374" s="10">
        <v>67</v>
      </c>
      <c r="D1374" s="10">
        <v>262</v>
      </c>
      <c r="E1374" s="10" t="s">
        <v>32</v>
      </c>
      <c r="F1374" t="s">
        <v>157</v>
      </c>
      <c r="U1374" s="5" t="s">
        <v>42</v>
      </c>
      <c r="V1374" s="5" t="s">
        <v>39</v>
      </c>
      <c r="W1374" s="5" t="s">
        <v>40</v>
      </c>
      <c r="X1374" s="5" t="s">
        <v>36</v>
      </c>
      <c r="Y1374" s="5" t="s">
        <v>33</v>
      </c>
      <c r="Z1374" s="5" t="s">
        <v>34</v>
      </c>
      <c r="AA1374" s="5" t="s">
        <v>32</v>
      </c>
      <c r="AB1374" s="5" t="s">
        <v>37</v>
      </c>
      <c r="AC1374" s="5" t="s">
        <v>59</v>
      </c>
      <c r="AD1374" s="5" t="s">
        <v>43</v>
      </c>
      <c r="AE1374" s="5" t="s">
        <v>44</v>
      </c>
    </row>
    <row r="1375" spans="1:31" x14ac:dyDescent="0.35">
      <c r="A1375" s="13">
        <v>42489</v>
      </c>
      <c r="B1375" s="40" t="s">
        <v>63</v>
      </c>
      <c r="C1375" s="10">
        <v>69</v>
      </c>
      <c r="D1375" s="10">
        <v>254</v>
      </c>
      <c r="E1375" s="10" t="s">
        <v>34</v>
      </c>
      <c r="F1375" t="s">
        <v>157</v>
      </c>
      <c r="U1375" s="27"/>
      <c r="V1375" s="27"/>
      <c r="W1375" s="27"/>
      <c r="X1375" s="27"/>
      <c r="Y1375" s="27"/>
      <c r="Z1375" s="27"/>
      <c r="AA1375" s="27"/>
      <c r="AB1375" s="27"/>
      <c r="AC1375" s="5"/>
      <c r="AD1375" s="8">
        <f>AVERAGE(D1372:D1375,D1364:D1366,D1296:D1345,D1239:D1288)</f>
        <v>301.87850467289718</v>
      </c>
      <c r="AE1375" s="8">
        <f>AVERAGE(C1372:C1375,C1364:C1366,C1296:C1345,C1239:C1288)</f>
        <v>70.429906542056074</v>
      </c>
    </row>
    <row r="1376" spans="1:31" s="4" customFormat="1" x14ac:dyDescent="0.35">
      <c r="A1376" s="3">
        <v>42489</v>
      </c>
      <c r="B1376" s="44" t="s">
        <v>63</v>
      </c>
      <c r="C1376" s="11">
        <v>138</v>
      </c>
      <c r="D1376" s="35">
        <v>1462</v>
      </c>
      <c r="E1376" s="11" t="s">
        <v>98</v>
      </c>
      <c r="G1376" s="51" t="e">
        <f>AVERAGE(#REF!,#REF!,#REF!)</f>
        <v>#REF!</v>
      </c>
      <c r="H1376" s="51" t="e">
        <f>AVERAGE(#REF!,#REF!,#REF!,#REF!)</f>
        <v>#REF!</v>
      </c>
      <c r="U1376" s="28"/>
      <c r="V1376" s="28"/>
      <c r="W1376" s="28"/>
      <c r="X1376" s="28"/>
      <c r="Y1376" s="28"/>
      <c r="Z1376" s="28"/>
      <c r="AA1376" s="28"/>
      <c r="AB1376" s="28"/>
      <c r="AD1376" s="4">
        <f>AVERAGE(C1376,C1368:C1371,C1346:C1357,C1289:C1295)</f>
        <v>101.95833333333333</v>
      </c>
      <c r="AE1376" s="4">
        <f>AVERAGE(D1376,D1368:D1371,D1346:D1357,D1289:D1295)</f>
        <v>1339.25</v>
      </c>
    </row>
    <row r="1377" spans="1:6" x14ac:dyDescent="0.35">
      <c r="A1377" s="2">
        <v>42489</v>
      </c>
      <c r="B1377" s="36" t="s">
        <v>143</v>
      </c>
      <c r="C1377" s="10">
        <v>68</v>
      </c>
      <c r="D1377" s="10">
        <v>239</v>
      </c>
      <c r="E1377" s="10" t="s">
        <v>34</v>
      </c>
      <c r="F1377" s="10" t="s">
        <v>157</v>
      </c>
    </row>
    <row r="1378" spans="1:6" s="4" customFormat="1" x14ac:dyDescent="0.35">
      <c r="A1378" s="3">
        <v>42489</v>
      </c>
      <c r="B1378" s="26" t="s">
        <v>143</v>
      </c>
      <c r="C1378" s="11">
        <v>62</v>
      </c>
      <c r="D1378" s="11">
        <v>199</v>
      </c>
      <c r="E1378" s="11" t="s">
        <v>34</v>
      </c>
    </row>
    <row r="1379" spans="1:6" x14ac:dyDescent="0.35">
      <c r="A1379" s="2">
        <v>42494</v>
      </c>
      <c r="B1379" s="70" t="s">
        <v>38</v>
      </c>
      <c r="C1379" s="10">
        <v>76</v>
      </c>
      <c r="D1379" s="10">
        <v>406</v>
      </c>
      <c r="E1379" s="10" t="s">
        <v>32</v>
      </c>
      <c r="F1379" t="s">
        <v>157</v>
      </c>
    </row>
    <row r="1380" spans="1:6" x14ac:dyDescent="0.35">
      <c r="A1380" s="2">
        <v>42494</v>
      </c>
      <c r="B1380" s="70" t="s">
        <v>38</v>
      </c>
      <c r="C1380" s="10">
        <v>72</v>
      </c>
      <c r="D1380" s="10">
        <v>365</v>
      </c>
      <c r="E1380" s="10" t="s">
        <v>32</v>
      </c>
      <c r="F1380" t="s">
        <v>157</v>
      </c>
    </row>
    <row r="1381" spans="1:6" x14ac:dyDescent="0.35">
      <c r="A1381" s="2">
        <v>42494</v>
      </c>
      <c r="B1381" s="70" t="s">
        <v>38</v>
      </c>
      <c r="C1381" s="10">
        <v>73</v>
      </c>
      <c r="D1381" s="10">
        <v>346</v>
      </c>
      <c r="E1381" s="10" t="s">
        <v>32</v>
      </c>
      <c r="F1381" t="s">
        <v>157</v>
      </c>
    </row>
    <row r="1382" spans="1:6" x14ac:dyDescent="0.35">
      <c r="A1382" s="2">
        <v>42494</v>
      </c>
      <c r="B1382" s="70" t="s">
        <v>38</v>
      </c>
      <c r="C1382" s="10">
        <v>74</v>
      </c>
      <c r="D1382" s="10">
        <v>349</v>
      </c>
      <c r="E1382" s="10" t="s">
        <v>32</v>
      </c>
      <c r="F1382" t="s">
        <v>157</v>
      </c>
    </row>
    <row r="1383" spans="1:6" x14ac:dyDescent="0.35">
      <c r="A1383" s="2">
        <v>42494</v>
      </c>
      <c r="B1383" s="70" t="s">
        <v>38</v>
      </c>
      <c r="C1383" s="10">
        <v>64</v>
      </c>
      <c r="D1383" s="10">
        <v>280</v>
      </c>
      <c r="E1383" s="10" t="s">
        <v>32</v>
      </c>
      <c r="F1383" t="s">
        <v>157</v>
      </c>
    </row>
    <row r="1384" spans="1:6" x14ac:dyDescent="0.35">
      <c r="A1384" s="2">
        <v>42494</v>
      </c>
      <c r="B1384" s="70" t="s">
        <v>38</v>
      </c>
      <c r="C1384" s="10">
        <v>74</v>
      </c>
      <c r="D1384" s="10">
        <v>394</v>
      </c>
      <c r="E1384" s="10" t="s">
        <v>34</v>
      </c>
      <c r="F1384" t="s">
        <v>157</v>
      </c>
    </row>
    <row r="1385" spans="1:6" x14ac:dyDescent="0.35">
      <c r="A1385" s="2">
        <v>42494</v>
      </c>
      <c r="B1385" s="70" t="s">
        <v>38</v>
      </c>
      <c r="C1385" s="10">
        <v>75</v>
      </c>
      <c r="D1385" s="10">
        <v>373</v>
      </c>
      <c r="E1385" s="10" t="s">
        <v>32</v>
      </c>
      <c r="F1385" t="s">
        <v>157</v>
      </c>
    </row>
    <row r="1386" spans="1:6" x14ac:dyDescent="0.35">
      <c r="A1386" s="2">
        <v>42494</v>
      </c>
      <c r="B1386" s="70" t="s">
        <v>38</v>
      </c>
      <c r="C1386" s="10">
        <v>69</v>
      </c>
      <c r="D1386" s="10">
        <v>300</v>
      </c>
      <c r="E1386" s="10" t="s">
        <v>32</v>
      </c>
      <c r="F1386" t="s">
        <v>157</v>
      </c>
    </row>
    <row r="1387" spans="1:6" x14ac:dyDescent="0.35">
      <c r="A1387" s="2">
        <v>42494</v>
      </c>
      <c r="B1387" s="70" t="s">
        <v>38</v>
      </c>
      <c r="C1387" s="10">
        <v>71</v>
      </c>
      <c r="D1387" s="10">
        <v>351</v>
      </c>
      <c r="E1387" s="10" t="s">
        <v>34</v>
      </c>
      <c r="F1387" t="s">
        <v>157</v>
      </c>
    </row>
    <row r="1388" spans="1:6" x14ac:dyDescent="0.35">
      <c r="A1388" s="2">
        <v>42494</v>
      </c>
      <c r="B1388" s="70" t="s">
        <v>38</v>
      </c>
      <c r="C1388" s="10">
        <v>72</v>
      </c>
      <c r="D1388" s="10">
        <v>292</v>
      </c>
      <c r="E1388" s="10" t="s">
        <v>32</v>
      </c>
      <c r="F1388" t="s">
        <v>157</v>
      </c>
    </row>
    <row r="1389" spans="1:6" x14ac:dyDescent="0.35">
      <c r="A1389" s="2">
        <v>42494</v>
      </c>
      <c r="B1389" s="70" t="s">
        <v>38</v>
      </c>
      <c r="C1389" s="10">
        <v>63</v>
      </c>
      <c r="D1389" s="10">
        <v>227</v>
      </c>
      <c r="E1389" s="10" t="s">
        <v>32</v>
      </c>
      <c r="F1389" t="s">
        <v>157</v>
      </c>
    </row>
    <row r="1390" spans="1:6" x14ac:dyDescent="0.35">
      <c r="A1390" s="2">
        <v>42494</v>
      </c>
      <c r="B1390" s="70" t="s">
        <v>38</v>
      </c>
      <c r="C1390" s="10">
        <v>68</v>
      </c>
      <c r="D1390" s="10">
        <v>268</v>
      </c>
      <c r="E1390" s="10" t="s">
        <v>32</v>
      </c>
      <c r="F1390" t="s">
        <v>157</v>
      </c>
    </row>
    <row r="1391" spans="1:6" x14ac:dyDescent="0.35">
      <c r="A1391" s="2">
        <v>42494</v>
      </c>
      <c r="B1391" s="70" t="s">
        <v>38</v>
      </c>
      <c r="C1391" s="10">
        <v>67</v>
      </c>
      <c r="D1391" s="10">
        <v>256</v>
      </c>
      <c r="E1391" s="10" t="s">
        <v>32</v>
      </c>
      <c r="F1391" t="s">
        <v>157</v>
      </c>
    </row>
    <row r="1392" spans="1:6" x14ac:dyDescent="0.35">
      <c r="A1392" s="2">
        <v>42494</v>
      </c>
      <c r="B1392" s="70" t="s">
        <v>38</v>
      </c>
      <c r="C1392" s="10">
        <v>71</v>
      </c>
      <c r="D1392" s="10">
        <v>279</v>
      </c>
      <c r="E1392" s="10" t="s">
        <v>32</v>
      </c>
      <c r="F1392" t="s">
        <v>157</v>
      </c>
    </row>
    <row r="1393" spans="1:6" x14ac:dyDescent="0.35">
      <c r="A1393" s="2">
        <v>42494</v>
      </c>
      <c r="B1393" s="70" t="s">
        <v>38</v>
      </c>
      <c r="C1393" s="10">
        <v>66</v>
      </c>
      <c r="D1393" s="10">
        <v>302</v>
      </c>
      <c r="E1393" s="10" t="s">
        <v>34</v>
      </c>
      <c r="F1393" t="s">
        <v>157</v>
      </c>
    </row>
    <row r="1394" spans="1:6" x14ac:dyDescent="0.35">
      <c r="A1394" s="2">
        <v>42494</v>
      </c>
      <c r="B1394" s="70" t="s">
        <v>38</v>
      </c>
      <c r="C1394" s="10">
        <v>64</v>
      </c>
      <c r="D1394" s="10">
        <v>300</v>
      </c>
      <c r="E1394" s="10" t="s">
        <v>32</v>
      </c>
      <c r="F1394" t="s">
        <v>157</v>
      </c>
    </row>
    <row r="1395" spans="1:6" x14ac:dyDescent="0.35">
      <c r="A1395" s="2">
        <v>42494</v>
      </c>
      <c r="B1395" s="70" t="s">
        <v>38</v>
      </c>
      <c r="C1395" s="10">
        <v>69</v>
      </c>
      <c r="D1395" s="10">
        <v>316</v>
      </c>
      <c r="E1395" s="10" t="s">
        <v>32</v>
      </c>
      <c r="F1395" t="s">
        <v>157</v>
      </c>
    </row>
    <row r="1396" spans="1:6" x14ac:dyDescent="0.35">
      <c r="A1396" s="2">
        <v>42494</v>
      </c>
      <c r="B1396" s="70" t="s">
        <v>38</v>
      </c>
      <c r="C1396" s="10">
        <v>73</v>
      </c>
      <c r="D1396" s="10">
        <v>277</v>
      </c>
      <c r="E1396" s="10" t="s">
        <v>32</v>
      </c>
      <c r="F1396" t="s">
        <v>157</v>
      </c>
    </row>
    <row r="1397" spans="1:6" x14ac:dyDescent="0.35">
      <c r="A1397" s="2">
        <v>42494</v>
      </c>
      <c r="B1397" s="70" t="s">
        <v>38</v>
      </c>
      <c r="C1397" s="10">
        <v>78</v>
      </c>
      <c r="D1397" s="10">
        <v>397</v>
      </c>
      <c r="E1397" s="10" t="s">
        <v>32</v>
      </c>
      <c r="F1397" t="s">
        <v>157</v>
      </c>
    </row>
    <row r="1398" spans="1:6" x14ac:dyDescent="0.35">
      <c r="A1398" s="2">
        <v>42494</v>
      </c>
      <c r="B1398" s="70" t="s">
        <v>38</v>
      </c>
      <c r="C1398" s="10">
        <v>74</v>
      </c>
      <c r="D1398" s="10">
        <v>352</v>
      </c>
      <c r="E1398" s="10" t="s">
        <v>32</v>
      </c>
      <c r="F1398" t="s">
        <v>157</v>
      </c>
    </row>
    <row r="1399" spans="1:6" x14ac:dyDescent="0.35">
      <c r="A1399" s="2">
        <v>42494</v>
      </c>
      <c r="B1399" s="70" t="s">
        <v>38</v>
      </c>
      <c r="C1399" s="10">
        <v>67</v>
      </c>
      <c r="D1399" s="10">
        <v>285</v>
      </c>
      <c r="E1399" s="10" t="s">
        <v>34</v>
      </c>
      <c r="F1399" t="s">
        <v>157</v>
      </c>
    </row>
    <row r="1400" spans="1:6" x14ac:dyDescent="0.35">
      <c r="A1400" s="2">
        <v>42494</v>
      </c>
      <c r="B1400" s="70" t="s">
        <v>38</v>
      </c>
      <c r="C1400" s="10">
        <v>68</v>
      </c>
      <c r="D1400" s="10">
        <v>278</v>
      </c>
      <c r="E1400" s="10" t="s">
        <v>34</v>
      </c>
      <c r="F1400" t="s">
        <v>157</v>
      </c>
    </row>
    <row r="1401" spans="1:6" x14ac:dyDescent="0.35">
      <c r="A1401" s="2">
        <v>42494</v>
      </c>
      <c r="B1401" s="70" t="s">
        <v>38</v>
      </c>
      <c r="C1401" s="10">
        <v>78</v>
      </c>
      <c r="D1401" s="10">
        <v>376</v>
      </c>
      <c r="E1401" s="10" t="s">
        <v>34</v>
      </c>
    </row>
    <row r="1402" spans="1:6" x14ac:dyDescent="0.35">
      <c r="A1402" s="2">
        <v>42494</v>
      </c>
      <c r="B1402" s="70" t="s">
        <v>38</v>
      </c>
      <c r="C1402" s="10">
        <v>77</v>
      </c>
      <c r="D1402" s="10">
        <v>429</v>
      </c>
      <c r="E1402" s="10" t="s">
        <v>32</v>
      </c>
      <c r="F1402" t="s">
        <v>157</v>
      </c>
    </row>
    <row r="1403" spans="1:6" x14ac:dyDescent="0.35">
      <c r="A1403" s="2">
        <v>42494</v>
      </c>
      <c r="B1403" s="70" t="s">
        <v>38</v>
      </c>
      <c r="C1403" s="10">
        <v>72</v>
      </c>
      <c r="D1403" s="10">
        <v>302</v>
      </c>
      <c r="E1403" s="10" t="s">
        <v>32</v>
      </c>
    </row>
    <row r="1404" spans="1:6" x14ac:dyDescent="0.35">
      <c r="A1404" s="2">
        <v>42494</v>
      </c>
      <c r="B1404" s="70" t="s">
        <v>38</v>
      </c>
      <c r="C1404" s="10">
        <v>80</v>
      </c>
      <c r="D1404" s="10">
        <v>343</v>
      </c>
      <c r="E1404" s="10" t="s">
        <v>34</v>
      </c>
      <c r="F1404" t="s">
        <v>157</v>
      </c>
    </row>
    <row r="1405" spans="1:6" x14ac:dyDescent="0.35">
      <c r="A1405" s="2">
        <v>42494</v>
      </c>
      <c r="B1405" s="70" t="s">
        <v>38</v>
      </c>
      <c r="C1405" s="10">
        <v>76</v>
      </c>
      <c r="D1405" s="10">
        <v>424</v>
      </c>
      <c r="E1405" s="10" t="s">
        <v>34</v>
      </c>
      <c r="F1405" t="s">
        <v>157</v>
      </c>
    </row>
    <row r="1406" spans="1:6" x14ac:dyDescent="0.35">
      <c r="A1406" s="2">
        <v>42494</v>
      </c>
      <c r="B1406" s="70" t="s">
        <v>38</v>
      </c>
      <c r="C1406" s="10">
        <v>67</v>
      </c>
      <c r="D1406" s="10">
        <v>293</v>
      </c>
      <c r="E1406" s="10" t="s">
        <v>32</v>
      </c>
      <c r="F1406" t="s">
        <v>157</v>
      </c>
    </row>
    <row r="1407" spans="1:6" x14ac:dyDescent="0.35">
      <c r="A1407" s="2">
        <v>42494</v>
      </c>
      <c r="B1407" s="70" t="s">
        <v>38</v>
      </c>
      <c r="C1407" s="10">
        <v>71</v>
      </c>
      <c r="D1407" s="10">
        <v>317</v>
      </c>
      <c r="E1407" s="10" t="s">
        <v>32</v>
      </c>
      <c r="F1407" t="s">
        <v>157</v>
      </c>
    </row>
    <row r="1408" spans="1:6" x14ac:dyDescent="0.35">
      <c r="A1408" s="2">
        <v>42494</v>
      </c>
      <c r="B1408" s="70" t="s">
        <v>38</v>
      </c>
      <c r="C1408" s="10">
        <v>72</v>
      </c>
      <c r="D1408" s="10">
        <v>290</v>
      </c>
      <c r="E1408" s="10" t="s">
        <v>32</v>
      </c>
      <c r="F1408" t="s">
        <v>157</v>
      </c>
    </row>
    <row r="1409" spans="1:6" x14ac:dyDescent="0.35">
      <c r="A1409" s="2">
        <v>42494</v>
      </c>
      <c r="B1409" s="70" t="s">
        <v>38</v>
      </c>
      <c r="C1409" s="10">
        <v>72</v>
      </c>
      <c r="D1409" s="10">
        <v>350</v>
      </c>
      <c r="E1409" s="10" t="s">
        <v>34</v>
      </c>
      <c r="F1409" t="s">
        <v>157</v>
      </c>
    </row>
    <row r="1410" spans="1:6" x14ac:dyDescent="0.35">
      <c r="A1410" s="2">
        <v>42494</v>
      </c>
      <c r="B1410" s="70" t="s">
        <v>38</v>
      </c>
      <c r="C1410" s="10">
        <v>71</v>
      </c>
      <c r="D1410" s="10">
        <v>309</v>
      </c>
      <c r="E1410" s="10" t="s">
        <v>32</v>
      </c>
      <c r="F1410" t="s">
        <v>157</v>
      </c>
    </row>
    <row r="1411" spans="1:6" x14ac:dyDescent="0.35">
      <c r="A1411" s="2">
        <v>42494</v>
      </c>
      <c r="B1411" s="70" t="s">
        <v>38</v>
      </c>
      <c r="C1411" s="10">
        <v>68</v>
      </c>
      <c r="D1411" s="10">
        <v>265</v>
      </c>
      <c r="E1411" s="10" t="s">
        <v>34</v>
      </c>
    </row>
    <row r="1412" spans="1:6" x14ac:dyDescent="0.35">
      <c r="A1412" s="2">
        <v>42494</v>
      </c>
      <c r="B1412" s="70" t="s">
        <v>38</v>
      </c>
      <c r="C1412" s="10">
        <v>72</v>
      </c>
      <c r="D1412" s="10">
        <v>308</v>
      </c>
      <c r="E1412" s="10" t="s">
        <v>34</v>
      </c>
    </row>
    <row r="1413" spans="1:6" x14ac:dyDescent="0.35">
      <c r="A1413" s="2">
        <v>42494</v>
      </c>
      <c r="B1413" s="70" t="s">
        <v>38</v>
      </c>
      <c r="C1413" s="10">
        <v>67</v>
      </c>
      <c r="D1413" s="10">
        <v>293</v>
      </c>
      <c r="E1413" s="10" t="s">
        <v>32</v>
      </c>
      <c r="F1413" t="s">
        <v>157</v>
      </c>
    </row>
    <row r="1414" spans="1:6" x14ac:dyDescent="0.35">
      <c r="A1414" s="2">
        <v>42494</v>
      </c>
      <c r="B1414" s="70" t="s">
        <v>38</v>
      </c>
      <c r="C1414" s="10">
        <v>73</v>
      </c>
      <c r="D1414" s="10">
        <v>300</v>
      </c>
      <c r="E1414" s="10" t="s">
        <v>34</v>
      </c>
      <c r="F1414" t="s">
        <v>157</v>
      </c>
    </row>
    <row r="1415" spans="1:6" x14ac:dyDescent="0.35">
      <c r="A1415" s="2">
        <v>42494</v>
      </c>
      <c r="B1415" s="70" t="s">
        <v>38</v>
      </c>
      <c r="C1415" s="10">
        <v>71</v>
      </c>
      <c r="D1415" s="10">
        <v>332</v>
      </c>
      <c r="E1415" s="10" t="s">
        <v>34</v>
      </c>
      <c r="F1415" t="s">
        <v>157</v>
      </c>
    </row>
    <row r="1416" spans="1:6" x14ac:dyDescent="0.35">
      <c r="A1416" s="2">
        <v>42494</v>
      </c>
      <c r="B1416" s="70" t="s">
        <v>38</v>
      </c>
      <c r="C1416" s="10">
        <v>68</v>
      </c>
      <c r="D1416" s="10">
        <v>258</v>
      </c>
      <c r="E1416" s="10" t="s">
        <v>34</v>
      </c>
      <c r="F1416" t="s">
        <v>157</v>
      </c>
    </row>
    <row r="1417" spans="1:6" x14ac:dyDescent="0.35">
      <c r="A1417" s="2">
        <v>42494</v>
      </c>
      <c r="B1417" s="70" t="s">
        <v>38</v>
      </c>
      <c r="C1417" s="10">
        <v>68</v>
      </c>
      <c r="D1417" s="10">
        <v>271</v>
      </c>
      <c r="E1417" s="10" t="s">
        <v>32</v>
      </c>
      <c r="F1417" t="s">
        <v>157</v>
      </c>
    </row>
    <row r="1418" spans="1:6" x14ac:dyDescent="0.35">
      <c r="A1418" s="2">
        <v>42494</v>
      </c>
      <c r="B1418" s="70" t="s">
        <v>38</v>
      </c>
      <c r="C1418" s="10">
        <v>67</v>
      </c>
      <c r="D1418" s="10">
        <v>259</v>
      </c>
      <c r="E1418" s="10" t="s">
        <v>32</v>
      </c>
      <c r="F1418" t="s">
        <v>157</v>
      </c>
    </row>
    <row r="1419" spans="1:6" x14ac:dyDescent="0.35">
      <c r="A1419" s="2">
        <v>42494</v>
      </c>
      <c r="B1419" s="70" t="s">
        <v>38</v>
      </c>
      <c r="C1419" s="10">
        <v>74</v>
      </c>
      <c r="D1419" s="10">
        <v>382</v>
      </c>
      <c r="E1419" s="10" t="s">
        <v>32</v>
      </c>
      <c r="F1419" t="s">
        <v>157</v>
      </c>
    </row>
    <row r="1420" spans="1:6" x14ac:dyDescent="0.35">
      <c r="A1420" s="2">
        <v>42494</v>
      </c>
      <c r="B1420" s="70" t="s">
        <v>38</v>
      </c>
      <c r="C1420" s="10">
        <v>67</v>
      </c>
      <c r="D1420" s="10">
        <v>331</v>
      </c>
      <c r="E1420" s="10" t="s">
        <v>32</v>
      </c>
      <c r="F1420" t="s">
        <v>157</v>
      </c>
    </row>
    <row r="1421" spans="1:6" x14ac:dyDescent="0.35">
      <c r="A1421" s="2">
        <v>42494</v>
      </c>
      <c r="B1421" s="70" t="s">
        <v>38</v>
      </c>
      <c r="C1421" s="10">
        <v>72</v>
      </c>
      <c r="D1421" s="10">
        <v>340</v>
      </c>
      <c r="E1421" s="10" t="s">
        <v>32</v>
      </c>
      <c r="F1421" t="s">
        <v>157</v>
      </c>
    </row>
    <row r="1422" spans="1:6" x14ac:dyDescent="0.35">
      <c r="A1422" s="2">
        <v>42494</v>
      </c>
      <c r="B1422" s="70" t="s">
        <v>38</v>
      </c>
      <c r="C1422" s="10">
        <v>74</v>
      </c>
      <c r="D1422" s="10">
        <v>364</v>
      </c>
      <c r="E1422" s="10" t="s">
        <v>33</v>
      </c>
      <c r="F1422" t="s">
        <v>157</v>
      </c>
    </row>
    <row r="1423" spans="1:6" x14ac:dyDescent="0.35">
      <c r="A1423" s="2">
        <v>42494</v>
      </c>
      <c r="B1423" s="70" t="s">
        <v>38</v>
      </c>
      <c r="C1423" s="10">
        <v>64</v>
      </c>
      <c r="D1423" s="10">
        <v>264</v>
      </c>
      <c r="E1423" s="10" t="s">
        <v>34</v>
      </c>
      <c r="F1423" t="s">
        <v>157</v>
      </c>
    </row>
    <row r="1424" spans="1:6" x14ac:dyDescent="0.35">
      <c r="A1424" s="2">
        <v>42494</v>
      </c>
      <c r="B1424" s="70" t="s">
        <v>38</v>
      </c>
      <c r="C1424" s="10">
        <v>65</v>
      </c>
      <c r="D1424" s="10">
        <v>325</v>
      </c>
      <c r="E1424" s="10" t="s">
        <v>32</v>
      </c>
      <c r="F1424" t="s">
        <v>157</v>
      </c>
    </row>
    <row r="1425" spans="1:11" x14ac:dyDescent="0.35">
      <c r="A1425" s="2">
        <v>42494</v>
      </c>
      <c r="B1425" s="70" t="s">
        <v>38</v>
      </c>
      <c r="C1425" s="10">
        <v>67</v>
      </c>
      <c r="D1425" s="10">
        <v>296</v>
      </c>
      <c r="E1425" s="10" t="s">
        <v>32</v>
      </c>
      <c r="F1425" t="s">
        <v>157</v>
      </c>
    </row>
    <row r="1426" spans="1:11" x14ac:dyDescent="0.35">
      <c r="A1426" s="2">
        <v>42494</v>
      </c>
      <c r="B1426" s="70" t="s">
        <v>38</v>
      </c>
      <c r="C1426" s="10">
        <v>74</v>
      </c>
      <c r="D1426" s="10">
        <v>353</v>
      </c>
      <c r="E1426" s="10" t="s">
        <v>34</v>
      </c>
    </row>
    <row r="1427" spans="1:11" x14ac:dyDescent="0.35">
      <c r="A1427" s="2">
        <v>42494</v>
      </c>
      <c r="B1427" s="70" t="s">
        <v>38</v>
      </c>
      <c r="C1427" s="10">
        <v>64</v>
      </c>
      <c r="D1427" s="10">
        <v>253</v>
      </c>
      <c r="E1427" s="10" t="s">
        <v>34</v>
      </c>
    </row>
    <row r="1428" spans="1:11" x14ac:dyDescent="0.35">
      <c r="A1428" s="2">
        <v>42494</v>
      </c>
      <c r="B1428" s="70" t="s">
        <v>38</v>
      </c>
      <c r="C1428" s="10">
        <v>69</v>
      </c>
      <c r="D1428" s="10">
        <v>300</v>
      </c>
      <c r="E1428" s="10" t="s">
        <v>34</v>
      </c>
      <c r="F1428" t="s">
        <v>157</v>
      </c>
      <c r="H1428">
        <f>COUNTIF(E1379:E1428,"VIA4")</f>
        <v>31</v>
      </c>
    </row>
    <row r="1429" spans="1:11" x14ac:dyDescent="0.35">
      <c r="A1429" s="2">
        <v>42494</v>
      </c>
      <c r="B1429" s="70" t="s">
        <v>38</v>
      </c>
      <c r="C1429" s="10">
        <v>106</v>
      </c>
      <c r="D1429" s="10">
        <v>1448</v>
      </c>
      <c r="E1429" s="10" t="s">
        <v>98</v>
      </c>
      <c r="H1429">
        <f>AVERAGE(C1379:C1428)</f>
        <v>70.56</v>
      </c>
      <c r="I1429">
        <f>AVERAGE(D1379:D1428)</f>
        <v>318.39999999999998</v>
      </c>
      <c r="K1429" t="e">
        <f>AVERAGE(#REF!)</f>
        <v>#REF!</v>
      </c>
    </row>
    <row r="1430" spans="1:11" x14ac:dyDescent="0.35">
      <c r="A1430" s="2">
        <v>42494</v>
      </c>
      <c r="B1430" s="70" t="s">
        <v>38</v>
      </c>
      <c r="C1430" s="10">
        <v>103</v>
      </c>
      <c r="D1430" s="10">
        <v>994</v>
      </c>
      <c r="E1430" s="10" t="s">
        <v>98</v>
      </c>
    </row>
    <row r="1431" spans="1:11" x14ac:dyDescent="0.35">
      <c r="A1431" s="2">
        <v>42494</v>
      </c>
      <c r="B1431" s="70" t="s">
        <v>38</v>
      </c>
      <c r="C1431" s="10">
        <v>103</v>
      </c>
      <c r="D1431" s="10">
        <v>1400</v>
      </c>
      <c r="E1431" s="10" t="s">
        <v>98</v>
      </c>
    </row>
    <row r="1432" spans="1:11" x14ac:dyDescent="0.35">
      <c r="A1432" s="2">
        <v>42494</v>
      </c>
      <c r="B1432" s="70" t="s">
        <v>38</v>
      </c>
      <c r="C1432" s="10">
        <v>107</v>
      </c>
      <c r="D1432" s="10">
        <v>1463</v>
      </c>
      <c r="E1432" s="10" t="s">
        <v>98</v>
      </c>
    </row>
    <row r="1433" spans="1:11" x14ac:dyDescent="0.35">
      <c r="A1433" s="2">
        <v>42494</v>
      </c>
      <c r="B1433" s="70" t="s">
        <v>38</v>
      </c>
      <c r="C1433" s="10">
        <v>110</v>
      </c>
      <c r="D1433" s="10">
        <v>1615</v>
      </c>
      <c r="E1433" s="10" t="s">
        <v>98</v>
      </c>
    </row>
    <row r="1434" spans="1:11" x14ac:dyDescent="0.35">
      <c r="A1434" s="2">
        <v>42494</v>
      </c>
      <c r="B1434" s="70" t="s">
        <v>38</v>
      </c>
      <c r="C1434" s="10">
        <v>129</v>
      </c>
      <c r="D1434" s="10">
        <v>2752</v>
      </c>
      <c r="E1434" s="10" t="s">
        <v>98</v>
      </c>
    </row>
    <row r="1435" spans="1:11" x14ac:dyDescent="0.35">
      <c r="A1435" s="2">
        <v>42494</v>
      </c>
      <c r="B1435" s="70" t="s">
        <v>38</v>
      </c>
      <c r="C1435" s="10">
        <v>93</v>
      </c>
      <c r="D1435" s="10">
        <v>905</v>
      </c>
      <c r="E1435" s="10" t="s">
        <v>98</v>
      </c>
    </row>
    <row r="1436" spans="1:11" x14ac:dyDescent="0.35">
      <c r="A1436" s="2">
        <v>42494</v>
      </c>
      <c r="B1436" s="70" t="s">
        <v>38</v>
      </c>
      <c r="C1436" s="10">
        <v>83</v>
      </c>
      <c r="D1436" s="10">
        <v>704</v>
      </c>
      <c r="E1436" s="10" t="s">
        <v>98</v>
      </c>
    </row>
    <row r="1437" spans="1:11" x14ac:dyDescent="0.35">
      <c r="A1437" s="2">
        <v>42494</v>
      </c>
      <c r="B1437" s="70" t="s">
        <v>38</v>
      </c>
      <c r="C1437" s="10">
        <v>137</v>
      </c>
      <c r="D1437" s="10">
        <v>3626</v>
      </c>
      <c r="E1437" s="10" t="s">
        <v>98</v>
      </c>
    </row>
    <row r="1438" spans="1:11" x14ac:dyDescent="0.35">
      <c r="A1438" s="2">
        <v>42494</v>
      </c>
      <c r="B1438" s="70" t="s">
        <v>38</v>
      </c>
      <c r="C1438" s="10">
        <v>97</v>
      </c>
      <c r="D1438" s="10">
        <v>1467</v>
      </c>
      <c r="E1438" s="10" t="s">
        <v>98</v>
      </c>
    </row>
    <row r="1439" spans="1:11" x14ac:dyDescent="0.35">
      <c r="A1439" s="2">
        <v>42494</v>
      </c>
      <c r="B1439" s="70" t="s">
        <v>38</v>
      </c>
      <c r="C1439" s="10">
        <v>93</v>
      </c>
      <c r="D1439" s="10">
        <v>1044</v>
      </c>
      <c r="E1439" s="10" t="s">
        <v>98</v>
      </c>
    </row>
    <row r="1440" spans="1:11" x14ac:dyDescent="0.35">
      <c r="A1440" s="2">
        <v>42494</v>
      </c>
      <c r="B1440" s="70" t="s">
        <v>38</v>
      </c>
      <c r="C1440" s="10">
        <v>97</v>
      </c>
      <c r="D1440" s="10">
        <v>1260</v>
      </c>
      <c r="E1440" s="10" t="s">
        <v>98</v>
      </c>
    </row>
    <row r="1441" spans="1:8" x14ac:dyDescent="0.35">
      <c r="A1441" s="2">
        <v>42494</v>
      </c>
      <c r="B1441" s="70" t="s">
        <v>38</v>
      </c>
      <c r="C1441" s="10">
        <v>117</v>
      </c>
      <c r="D1441" s="10">
        <v>2011</v>
      </c>
      <c r="E1441" s="10" t="s">
        <v>98</v>
      </c>
    </row>
    <row r="1442" spans="1:8" x14ac:dyDescent="0.35">
      <c r="A1442" s="2">
        <v>42494</v>
      </c>
      <c r="B1442" s="70" t="s">
        <v>38</v>
      </c>
      <c r="C1442" s="10">
        <v>103</v>
      </c>
      <c r="D1442" s="10">
        <v>1295</v>
      </c>
      <c r="E1442" s="10" t="s">
        <v>98</v>
      </c>
    </row>
    <row r="1443" spans="1:8" x14ac:dyDescent="0.35">
      <c r="A1443" s="2">
        <v>42494</v>
      </c>
      <c r="B1443" s="70" t="s">
        <v>38</v>
      </c>
      <c r="C1443" s="10">
        <v>94</v>
      </c>
      <c r="D1443" s="10">
        <v>1061</v>
      </c>
      <c r="E1443" s="10" t="s">
        <v>98</v>
      </c>
    </row>
    <row r="1444" spans="1:8" x14ac:dyDescent="0.35">
      <c r="A1444" s="2">
        <v>42494</v>
      </c>
      <c r="B1444" s="70" t="s">
        <v>38</v>
      </c>
      <c r="C1444" s="10">
        <v>93</v>
      </c>
      <c r="D1444" s="10">
        <v>1103</v>
      </c>
      <c r="E1444" s="10" t="s">
        <v>98</v>
      </c>
    </row>
    <row r="1445" spans="1:8" x14ac:dyDescent="0.35">
      <c r="A1445" s="2">
        <v>42494</v>
      </c>
      <c r="B1445" s="70" t="s">
        <v>38</v>
      </c>
      <c r="C1445" s="10">
        <v>101</v>
      </c>
      <c r="D1445" s="10">
        <v>1192</v>
      </c>
      <c r="E1445" s="10" t="s">
        <v>98</v>
      </c>
    </row>
    <row r="1446" spans="1:8" x14ac:dyDescent="0.35">
      <c r="A1446" s="2">
        <v>42494</v>
      </c>
      <c r="B1446" s="70" t="s">
        <v>38</v>
      </c>
      <c r="C1446" s="10">
        <v>97</v>
      </c>
      <c r="D1446" s="10">
        <v>1064</v>
      </c>
      <c r="E1446" s="10" t="s">
        <v>98</v>
      </c>
    </row>
    <row r="1447" spans="1:8" x14ac:dyDescent="0.35">
      <c r="A1447" s="2">
        <v>42494</v>
      </c>
      <c r="B1447" s="70" t="s">
        <v>38</v>
      </c>
      <c r="C1447" s="10">
        <v>87</v>
      </c>
      <c r="D1447" s="10">
        <v>847</v>
      </c>
      <c r="E1447" s="10" t="s">
        <v>98</v>
      </c>
    </row>
    <row r="1448" spans="1:8" x14ac:dyDescent="0.35">
      <c r="A1448" s="2">
        <v>42494</v>
      </c>
      <c r="B1448" s="70" t="s">
        <v>38</v>
      </c>
      <c r="C1448" s="10">
        <v>94</v>
      </c>
      <c r="D1448" s="10">
        <v>880</v>
      </c>
      <c r="E1448" s="10" t="s">
        <v>98</v>
      </c>
    </row>
    <row r="1449" spans="1:8" x14ac:dyDescent="0.35">
      <c r="A1449" s="2">
        <v>42494</v>
      </c>
      <c r="B1449" s="70" t="s">
        <v>38</v>
      </c>
      <c r="C1449" s="10">
        <v>103</v>
      </c>
      <c r="D1449" s="10">
        <v>1212</v>
      </c>
      <c r="E1449" s="10" t="s">
        <v>98</v>
      </c>
    </row>
    <row r="1450" spans="1:8" s="4" customFormat="1" x14ac:dyDescent="0.35">
      <c r="A1450" s="3">
        <v>42494</v>
      </c>
      <c r="B1450" s="44" t="s">
        <v>38</v>
      </c>
      <c r="C1450" s="11">
        <v>98</v>
      </c>
      <c r="D1450" s="11">
        <v>1273</v>
      </c>
      <c r="E1450" s="11" t="s">
        <v>98</v>
      </c>
      <c r="H1450" s="51" t="e">
        <f>AVERAGE(#REF!)</f>
        <v>#REF!</v>
      </c>
    </row>
    <row r="1451" spans="1:8" x14ac:dyDescent="0.35">
      <c r="A1451" s="2">
        <v>42494</v>
      </c>
      <c r="B1451" s="70" t="s">
        <v>29</v>
      </c>
      <c r="C1451" s="10">
        <v>82</v>
      </c>
      <c r="D1451" s="10">
        <v>380</v>
      </c>
      <c r="E1451" s="10" t="s">
        <v>32</v>
      </c>
      <c r="F1451" t="s">
        <v>157</v>
      </c>
    </row>
    <row r="1452" spans="1:8" x14ac:dyDescent="0.35">
      <c r="A1452" s="2">
        <v>42494</v>
      </c>
      <c r="B1452" s="70" t="s">
        <v>29</v>
      </c>
      <c r="C1452" s="10">
        <v>69</v>
      </c>
      <c r="D1452" s="10">
        <v>270</v>
      </c>
      <c r="E1452" s="10" t="s">
        <v>32</v>
      </c>
      <c r="F1452" t="s">
        <v>157</v>
      </c>
    </row>
    <row r="1453" spans="1:8" x14ac:dyDescent="0.35">
      <c r="A1453" s="2">
        <v>42494</v>
      </c>
      <c r="B1453" s="70" t="s">
        <v>29</v>
      </c>
      <c r="C1453" s="10">
        <v>72</v>
      </c>
      <c r="D1453" s="10">
        <v>313</v>
      </c>
      <c r="E1453" s="10" t="s">
        <v>32</v>
      </c>
    </row>
    <row r="1454" spans="1:8" x14ac:dyDescent="0.35">
      <c r="A1454" s="2">
        <v>42494</v>
      </c>
      <c r="B1454" s="70" t="s">
        <v>29</v>
      </c>
      <c r="C1454" s="10">
        <v>69</v>
      </c>
      <c r="D1454" s="10">
        <v>256</v>
      </c>
      <c r="E1454" s="10" t="s">
        <v>33</v>
      </c>
    </row>
    <row r="1455" spans="1:8" x14ac:dyDescent="0.35">
      <c r="A1455" s="2">
        <v>42494</v>
      </c>
      <c r="B1455" s="70" t="s">
        <v>29</v>
      </c>
      <c r="C1455" s="10">
        <v>73</v>
      </c>
      <c r="D1455" s="10">
        <v>342</v>
      </c>
      <c r="E1455" s="10" t="s">
        <v>34</v>
      </c>
      <c r="F1455" t="s">
        <v>157</v>
      </c>
    </row>
    <row r="1456" spans="1:8" x14ac:dyDescent="0.35">
      <c r="A1456" s="2">
        <v>42494</v>
      </c>
      <c r="B1456" s="70" t="s">
        <v>29</v>
      </c>
      <c r="C1456" s="10">
        <v>68</v>
      </c>
      <c r="D1456" s="10">
        <v>287</v>
      </c>
      <c r="E1456" s="10" t="s">
        <v>34</v>
      </c>
    </row>
    <row r="1457" spans="1:6" x14ac:dyDescent="0.35">
      <c r="A1457" s="2">
        <v>42494</v>
      </c>
      <c r="B1457" s="70" t="s">
        <v>29</v>
      </c>
      <c r="C1457" s="10">
        <v>68</v>
      </c>
      <c r="D1457" s="10">
        <v>279</v>
      </c>
      <c r="E1457" s="10" t="s">
        <v>34</v>
      </c>
    </row>
    <row r="1458" spans="1:6" x14ac:dyDescent="0.35">
      <c r="A1458" s="2">
        <v>42494</v>
      </c>
      <c r="B1458" s="70" t="s">
        <v>29</v>
      </c>
      <c r="C1458" s="10">
        <v>72</v>
      </c>
      <c r="D1458" s="10">
        <v>365</v>
      </c>
      <c r="E1458" s="10" t="s">
        <v>32</v>
      </c>
      <c r="F1458" t="s">
        <v>157</v>
      </c>
    </row>
    <row r="1459" spans="1:6" x14ac:dyDescent="0.35">
      <c r="A1459" s="2">
        <v>42494</v>
      </c>
      <c r="B1459" s="70" t="s">
        <v>29</v>
      </c>
      <c r="C1459" s="10">
        <v>69</v>
      </c>
      <c r="D1459" s="10">
        <v>239</v>
      </c>
      <c r="E1459" s="10" t="s">
        <v>32</v>
      </c>
      <c r="F1459" t="s">
        <v>157</v>
      </c>
    </row>
    <row r="1460" spans="1:6" x14ac:dyDescent="0.35">
      <c r="A1460" s="2">
        <v>42494</v>
      </c>
      <c r="B1460" s="70" t="s">
        <v>29</v>
      </c>
      <c r="C1460" s="10">
        <v>77</v>
      </c>
      <c r="D1460" s="10">
        <v>406</v>
      </c>
      <c r="E1460" s="10" t="s">
        <v>32</v>
      </c>
      <c r="F1460" t="s">
        <v>157</v>
      </c>
    </row>
    <row r="1461" spans="1:6" x14ac:dyDescent="0.35">
      <c r="A1461" s="2">
        <v>42494</v>
      </c>
      <c r="B1461" s="70" t="s">
        <v>29</v>
      </c>
      <c r="C1461" s="10">
        <v>74</v>
      </c>
      <c r="D1461" s="10">
        <v>364</v>
      </c>
      <c r="E1461" s="10" t="s">
        <v>32</v>
      </c>
      <c r="F1461" t="s">
        <v>157</v>
      </c>
    </row>
    <row r="1462" spans="1:6" x14ac:dyDescent="0.35">
      <c r="A1462" s="2">
        <v>42494</v>
      </c>
      <c r="B1462" s="70" t="s">
        <v>29</v>
      </c>
      <c r="C1462" s="10">
        <v>65</v>
      </c>
      <c r="D1462" s="10">
        <v>236</v>
      </c>
      <c r="E1462" s="10" t="s">
        <v>34</v>
      </c>
      <c r="F1462" t="s">
        <v>157</v>
      </c>
    </row>
    <row r="1463" spans="1:6" x14ac:dyDescent="0.35">
      <c r="A1463" s="2">
        <v>42494</v>
      </c>
      <c r="B1463" s="70" t="s">
        <v>29</v>
      </c>
      <c r="C1463" s="10">
        <v>78</v>
      </c>
      <c r="D1463" s="10">
        <v>426</v>
      </c>
      <c r="E1463" s="10" t="s">
        <v>32</v>
      </c>
      <c r="F1463" t="s">
        <v>157</v>
      </c>
    </row>
    <row r="1464" spans="1:6" x14ac:dyDescent="0.35">
      <c r="A1464" s="2">
        <v>42494</v>
      </c>
      <c r="B1464" s="70" t="s">
        <v>29</v>
      </c>
      <c r="C1464" s="10">
        <v>71</v>
      </c>
      <c r="D1464" s="10">
        <v>357</v>
      </c>
      <c r="E1464" s="10" t="s">
        <v>32</v>
      </c>
      <c r="F1464" t="s">
        <v>157</v>
      </c>
    </row>
    <row r="1465" spans="1:6" x14ac:dyDescent="0.35">
      <c r="A1465" s="2">
        <v>42494</v>
      </c>
      <c r="B1465" s="70" t="s">
        <v>29</v>
      </c>
      <c r="C1465" s="10">
        <v>70</v>
      </c>
      <c r="D1465" s="10">
        <v>334</v>
      </c>
      <c r="E1465" s="10" t="s">
        <v>32</v>
      </c>
      <c r="F1465" t="s">
        <v>157</v>
      </c>
    </row>
    <row r="1466" spans="1:6" x14ac:dyDescent="0.35">
      <c r="A1466" s="2">
        <v>42494</v>
      </c>
      <c r="B1466" s="70" t="s">
        <v>29</v>
      </c>
      <c r="C1466" s="10">
        <v>67</v>
      </c>
      <c r="D1466" s="10">
        <v>264</v>
      </c>
      <c r="E1466" s="10" t="s">
        <v>34</v>
      </c>
    </row>
    <row r="1467" spans="1:6" x14ac:dyDescent="0.35">
      <c r="A1467" s="2">
        <v>42494</v>
      </c>
      <c r="B1467" s="70" t="s">
        <v>29</v>
      </c>
      <c r="C1467" s="10">
        <v>68</v>
      </c>
      <c r="D1467" s="10">
        <v>305</v>
      </c>
      <c r="E1467" s="10" t="s">
        <v>34</v>
      </c>
      <c r="F1467" t="s">
        <v>157</v>
      </c>
    </row>
    <row r="1468" spans="1:6" x14ac:dyDescent="0.35">
      <c r="A1468" s="2">
        <v>42494</v>
      </c>
      <c r="B1468" s="70" t="s">
        <v>29</v>
      </c>
      <c r="C1468" s="10">
        <v>74</v>
      </c>
      <c r="D1468" s="10">
        <v>381</v>
      </c>
      <c r="E1468" s="10" t="s">
        <v>32</v>
      </c>
      <c r="F1468" t="s">
        <v>157</v>
      </c>
    </row>
    <row r="1469" spans="1:6" x14ac:dyDescent="0.35">
      <c r="A1469" s="2">
        <v>42494</v>
      </c>
      <c r="B1469" s="70" t="s">
        <v>29</v>
      </c>
      <c r="C1469" s="10">
        <v>61</v>
      </c>
      <c r="D1469" s="10">
        <v>236</v>
      </c>
      <c r="E1469" s="10" t="s">
        <v>32</v>
      </c>
      <c r="F1469" t="s">
        <v>157</v>
      </c>
    </row>
    <row r="1470" spans="1:6" x14ac:dyDescent="0.35">
      <c r="A1470" s="2">
        <v>42494</v>
      </c>
      <c r="B1470" s="70" t="s">
        <v>29</v>
      </c>
      <c r="C1470" s="10">
        <v>74</v>
      </c>
      <c r="D1470" s="10">
        <v>344</v>
      </c>
      <c r="E1470" s="10" t="s">
        <v>34</v>
      </c>
      <c r="F1470" t="s">
        <v>157</v>
      </c>
    </row>
    <row r="1471" spans="1:6" x14ac:dyDescent="0.35">
      <c r="A1471" s="2">
        <v>42494</v>
      </c>
      <c r="B1471" s="70" t="s">
        <v>29</v>
      </c>
      <c r="C1471" s="10">
        <v>61</v>
      </c>
      <c r="D1471" s="10">
        <v>238</v>
      </c>
      <c r="E1471" s="10" t="s">
        <v>34</v>
      </c>
    </row>
    <row r="1472" spans="1:6" x14ac:dyDescent="0.35">
      <c r="A1472" s="2">
        <v>42494</v>
      </c>
      <c r="B1472" s="70" t="s">
        <v>29</v>
      </c>
      <c r="C1472" s="10">
        <v>72</v>
      </c>
      <c r="D1472" s="10">
        <v>363</v>
      </c>
      <c r="E1472" s="10" t="s">
        <v>34</v>
      </c>
    </row>
    <row r="1473" spans="1:6" x14ac:dyDescent="0.35">
      <c r="A1473" s="2">
        <v>42494</v>
      </c>
      <c r="B1473" s="70" t="s">
        <v>29</v>
      </c>
      <c r="C1473" s="10">
        <v>77</v>
      </c>
      <c r="D1473" s="10">
        <v>417</v>
      </c>
      <c r="E1473" s="10" t="s">
        <v>34</v>
      </c>
    </row>
    <row r="1474" spans="1:6" x14ac:dyDescent="0.35">
      <c r="A1474" s="2">
        <v>42494</v>
      </c>
      <c r="B1474" s="70" t="s">
        <v>29</v>
      </c>
      <c r="C1474" s="10">
        <v>72</v>
      </c>
      <c r="D1474" s="10">
        <v>329</v>
      </c>
      <c r="E1474" s="10" t="s">
        <v>32</v>
      </c>
      <c r="F1474" t="s">
        <v>157</v>
      </c>
    </row>
    <row r="1475" spans="1:6" x14ac:dyDescent="0.35">
      <c r="A1475" s="2">
        <v>42494</v>
      </c>
      <c r="B1475" s="70" t="s">
        <v>29</v>
      </c>
      <c r="C1475" s="10">
        <v>78</v>
      </c>
      <c r="D1475" s="10">
        <v>438</v>
      </c>
      <c r="E1475" s="10" t="s">
        <v>32</v>
      </c>
      <c r="F1475" t="s">
        <v>157</v>
      </c>
    </row>
    <row r="1476" spans="1:6" x14ac:dyDescent="0.35">
      <c r="A1476" s="2">
        <v>42494</v>
      </c>
      <c r="B1476" s="70" t="s">
        <v>29</v>
      </c>
      <c r="C1476" s="10">
        <v>67</v>
      </c>
      <c r="D1476" s="10">
        <v>275</v>
      </c>
      <c r="E1476" s="10" t="s">
        <v>32</v>
      </c>
    </row>
    <row r="1477" spans="1:6" x14ac:dyDescent="0.35">
      <c r="A1477" s="2">
        <v>42494</v>
      </c>
      <c r="B1477" s="70" t="s">
        <v>29</v>
      </c>
      <c r="C1477" s="10">
        <v>72</v>
      </c>
      <c r="D1477" s="10">
        <v>335</v>
      </c>
      <c r="E1477" s="10" t="s">
        <v>32</v>
      </c>
      <c r="F1477" t="s">
        <v>157</v>
      </c>
    </row>
    <row r="1478" spans="1:6" x14ac:dyDescent="0.35">
      <c r="A1478" s="2">
        <v>42494</v>
      </c>
      <c r="B1478" s="70" t="s">
        <v>29</v>
      </c>
      <c r="C1478" s="10">
        <v>68</v>
      </c>
      <c r="D1478" s="10">
        <v>246</v>
      </c>
      <c r="E1478" s="10" t="s">
        <v>34</v>
      </c>
    </row>
    <row r="1479" spans="1:6" x14ac:dyDescent="0.35">
      <c r="A1479" s="2">
        <v>42494</v>
      </c>
      <c r="B1479" s="70" t="s">
        <v>29</v>
      </c>
      <c r="C1479" s="10">
        <v>67</v>
      </c>
      <c r="D1479" s="10">
        <v>239</v>
      </c>
      <c r="E1479" s="10" t="s">
        <v>32</v>
      </c>
      <c r="F1479" t="s">
        <v>157</v>
      </c>
    </row>
    <row r="1480" spans="1:6" x14ac:dyDescent="0.35">
      <c r="A1480" s="2">
        <v>42494</v>
      </c>
      <c r="B1480" s="70" t="s">
        <v>29</v>
      </c>
      <c r="C1480" s="10">
        <v>78</v>
      </c>
      <c r="D1480" s="10">
        <v>389</v>
      </c>
      <c r="E1480" s="10" t="s">
        <v>34</v>
      </c>
      <c r="F1480" t="s">
        <v>157</v>
      </c>
    </row>
    <row r="1481" spans="1:6" x14ac:dyDescent="0.35">
      <c r="A1481" s="2">
        <v>42494</v>
      </c>
      <c r="B1481" s="70" t="s">
        <v>29</v>
      </c>
      <c r="C1481" s="10">
        <v>67</v>
      </c>
      <c r="D1481" s="10">
        <v>296</v>
      </c>
      <c r="E1481" s="10" t="s">
        <v>32</v>
      </c>
      <c r="F1481" t="s">
        <v>157</v>
      </c>
    </row>
    <row r="1482" spans="1:6" x14ac:dyDescent="0.35">
      <c r="A1482" s="2">
        <v>42494</v>
      </c>
      <c r="B1482" s="70" t="s">
        <v>29</v>
      </c>
      <c r="C1482" s="10">
        <v>61</v>
      </c>
      <c r="D1482" s="10">
        <v>258</v>
      </c>
      <c r="E1482" s="10" t="s">
        <v>32</v>
      </c>
      <c r="F1482" t="s">
        <v>157</v>
      </c>
    </row>
    <row r="1483" spans="1:6" x14ac:dyDescent="0.35">
      <c r="A1483" s="2">
        <v>42494</v>
      </c>
      <c r="B1483" s="70" t="s">
        <v>29</v>
      </c>
      <c r="C1483" s="10">
        <v>71</v>
      </c>
      <c r="D1483" s="10">
        <v>333</v>
      </c>
      <c r="E1483" s="10" t="s">
        <v>34</v>
      </c>
      <c r="F1483" t="s">
        <v>157</v>
      </c>
    </row>
    <row r="1484" spans="1:6" x14ac:dyDescent="0.35">
      <c r="A1484" s="2">
        <v>42494</v>
      </c>
      <c r="B1484" s="70" t="s">
        <v>29</v>
      </c>
      <c r="C1484" s="10">
        <v>72</v>
      </c>
      <c r="D1484" s="10">
        <v>390</v>
      </c>
      <c r="E1484" s="10" t="s">
        <v>32</v>
      </c>
      <c r="F1484" t="s">
        <v>157</v>
      </c>
    </row>
    <row r="1485" spans="1:6" x14ac:dyDescent="0.35">
      <c r="A1485" s="2">
        <v>42494</v>
      </c>
      <c r="B1485" s="70" t="s">
        <v>29</v>
      </c>
      <c r="C1485" s="10">
        <v>72</v>
      </c>
      <c r="D1485" s="10">
        <v>298</v>
      </c>
      <c r="E1485" s="10" t="s">
        <v>34</v>
      </c>
      <c r="F1485" t="s">
        <v>157</v>
      </c>
    </row>
    <row r="1486" spans="1:6" x14ac:dyDescent="0.35">
      <c r="A1486" s="2">
        <v>42494</v>
      </c>
      <c r="B1486" s="70" t="s">
        <v>29</v>
      </c>
      <c r="C1486" s="10">
        <v>69</v>
      </c>
      <c r="D1486" s="10">
        <v>308</v>
      </c>
      <c r="E1486" s="10" t="s">
        <v>32</v>
      </c>
      <c r="F1486" t="s">
        <v>157</v>
      </c>
    </row>
    <row r="1487" spans="1:6" x14ac:dyDescent="0.35">
      <c r="A1487" s="2">
        <v>42494</v>
      </c>
      <c r="B1487" s="70" t="s">
        <v>29</v>
      </c>
      <c r="C1487" s="10">
        <v>70</v>
      </c>
      <c r="D1487" s="10">
        <v>289</v>
      </c>
      <c r="E1487" s="10" t="s">
        <v>32</v>
      </c>
      <c r="F1487" t="s">
        <v>157</v>
      </c>
    </row>
    <row r="1488" spans="1:6" x14ac:dyDescent="0.35">
      <c r="A1488" s="2">
        <v>42494</v>
      </c>
      <c r="B1488" s="70" t="s">
        <v>29</v>
      </c>
      <c r="C1488" s="10">
        <v>68</v>
      </c>
      <c r="D1488" s="10">
        <v>258</v>
      </c>
      <c r="E1488" s="10" t="s">
        <v>34</v>
      </c>
      <c r="F1488" t="s">
        <v>157</v>
      </c>
    </row>
    <row r="1489" spans="1:19" x14ac:dyDescent="0.35">
      <c r="A1489" s="2">
        <v>42494</v>
      </c>
      <c r="B1489" s="70" t="s">
        <v>29</v>
      </c>
      <c r="C1489" s="10">
        <v>73</v>
      </c>
      <c r="D1489" s="10">
        <v>367</v>
      </c>
      <c r="E1489" s="10" t="s">
        <v>32</v>
      </c>
      <c r="F1489" t="s">
        <v>157</v>
      </c>
    </row>
    <row r="1490" spans="1:19" x14ac:dyDescent="0.35">
      <c r="A1490" s="2">
        <v>42494</v>
      </c>
      <c r="B1490" s="70" t="s">
        <v>29</v>
      </c>
      <c r="C1490" s="10">
        <v>68</v>
      </c>
      <c r="D1490" s="10">
        <v>243</v>
      </c>
      <c r="E1490" s="10" t="s">
        <v>34</v>
      </c>
    </row>
    <row r="1491" spans="1:19" x14ac:dyDescent="0.35">
      <c r="A1491" s="2">
        <v>42494</v>
      </c>
      <c r="B1491" s="70" t="s">
        <v>29</v>
      </c>
      <c r="C1491" s="10">
        <v>65</v>
      </c>
      <c r="D1491" s="10">
        <v>254</v>
      </c>
      <c r="E1491" s="10" t="s">
        <v>32</v>
      </c>
      <c r="F1491" t="s">
        <v>157</v>
      </c>
    </row>
    <row r="1492" spans="1:19" x14ac:dyDescent="0.35">
      <c r="A1492" s="2">
        <v>42494</v>
      </c>
      <c r="B1492" s="70" t="s">
        <v>29</v>
      </c>
      <c r="C1492" s="10">
        <v>69</v>
      </c>
      <c r="D1492" s="10">
        <v>303</v>
      </c>
      <c r="E1492" s="10" t="s">
        <v>32</v>
      </c>
      <c r="F1492" t="s">
        <v>157</v>
      </c>
    </row>
    <row r="1493" spans="1:19" x14ac:dyDescent="0.35">
      <c r="A1493" s="2">
        <v>42494</v>
      </c>
      <c r="B1493" s="70" t="s">
        <v>29</v>
      </c>
      <c r="C1493" s="10">
        <v>82</v>
      </c>
      <c r="D1493" s="10">
        <v>384</v>
      </c>
      <c r="E1493" s="10" t="s">
        <v>34</v>
      </c>
    </row>
    <row r="1494" spans="1:19" x14ac:dyDescent="0.35">
      <c r="A1494" s="2">
        <v>42494</v>
      </c>
      <c r="B1494" s="70" t="s">
        <v>29</v>
      </c>
      <c r="C1494" s="10">
        <v>67</v>
      </c>
      <c r="D1494" s="10">
        <v>236</v>
      </c>
      <c r="E1494" s="10" t="s">
        <v>32</v>
      </c>
      <c r="F1494" t="s">
        <v>157</v>
      </c>
    </row>
    <row r="1495" spans="1:19" x14ac:dyDescent="0.35">
      <c r="A1495" s="2">
        <v>42494</v>
      </c>
      <c r="B1495" s="70" t="s">
        <v>29</v>
      </c>
      <c r="C1495" s="10">
        <v>68</v>
      </c>
      <c r="D1495" s="10">
        <v>292</v>
      </c>
      <c r="E1495" s="10" t="s">
        <v>32</v>
      </c>
      <c r="F1495" t="s">
        <v>157</v>
      </c>
    </row>
    <row r="1496" spans="1:19" x14ac:dyDescent="0.35">
      <c r="A1496" s="2">
        <v>42494</v>
      </c>
      <c r="B1496" s="70" t="s">
        <v>29</v>
      </c>
      <c r="C1496" s="10">
        <v>72</v>
      </c>
      <c r="D1496" s="10">
        <v>335</v>
      </c>
      <c r="E1496" s="10" t="s">
        <v>32</v>
      </c>
      <c r="F1496" t="s">
        <v>157</v>
      </c>
    </row>
    <row r="1497" spans="1:19" x14ac:dyDescent="0.35">
      <c r="A1497" s="2">
        <v>42494</v>
      </c>
      <c r="B1497" s="70" t="s">
        <v>29</v>
      </c>
      <c r="C1497" s="10">
        <v>64</v>
      </c>
      <c r="D1497" s="10">
        <v>221</v>
      </c>
      <c r="E1497" s="10" t="s">
        <v>32</v>
      </c>
    </row>
    <row r="1498" spans="1:19" x14ac:dyDescent="0.35">
      <c r="A1498" s="2">
        <v>42494</v>
      </c>
      <c r="B1498" s="70" t="s">
        <v>29</v>
      </c>
      <c r="C1498" s="10">
        <v>77</v>
      </c>
      <c r="D1498" s="10">
        <v>327</v>
      </c>
      <c r="E1498" s="10" t="s">
        <v>33</v>
      </c>
      <c r="G1498" t="s">
        <v>42</v>
      </c>
      <c r="H1498" t="s">
        <v>39</v>
      </c>
      <c r="I1498" t="s">
        <v>40</v>
      </c>
      <c r="J1498" t="s">
        <v>36</v>
      </c>
      <c r="K1498" t="s">
        <v>33</v>
      </c>
      <c r="L1498" t="s">
        <v>34</v>
      </c>
      <c r="M1498" t="s">
        <v>32</v>
      </c>
      <c r="N1498" t="s">
        <v>37</v>
      </c>
      <c r="P1498" t="s">
        <v>43</v>
      </c>
      <c r="Q1498" t="s">
        <v>44</v>
      </c>
    </row>
    <row r="1499" spans="1:19" x14ac:dyDescent="0.35">
      <c r="A1499" s="2">
        <v>42494</v>
      </c>
      <c r="B1499" s="70" t="s">
        <v>29</v>
      </c>
      <c r="C1499" s="10">
        <v>67</v>
      </c>
      <c r="D1499" s="10">
        <v>319</v>
      </c>
      <c r="E1499" s="10" t="s">
        <v>32</v>
      </c>
      <c r="F1499" t="s">
        <v>157</v>
      </c>
      <c r="G1499" s="5">
        <f>COUNTIF(E1379:E1500,"VA")</f>
        <v>0</v>
      </c>
      <c r="H1499" s="5">
        <f>COUNTIF(E1379:E1500,"VB")</f>
        <v>0</v>
      </c>
      <c r="I1499" s="5">
        <f>COUNTIF(E1379:E1500,"VIA0")</f>
        <v>0</v>
      </c>
      <c r="J1499" s="5">
        <f>COUNTIF(E1379:E1500,"VIA1")</f>
        <v>0</v>
      </c>
      <c r="K1499" s="5">
        <f>COUNTIF(E1379:E1500,"VIA2")</f>
        <v>3</v>
      </c>
      <c r="L1499" s="5">
        <f>COUNTIF(E1379:E1500,"VIA3")</f>
        <v>36</v>
      </c>
      <c r="M1499" s="5">
        <f>COUNTIF(E1379:E1500,"VIA4")</f>
        <v>61</v>
      </c>
      <c r="N1499" s="5">
        <f>COUNTIF(E1379:E1500,"VIB")</f>
        <v>0</v>
      </c>
      <c r="P1499" s="7">
        <f>AVERAGE(C1451:C1500,C1379:C1428)</f>
        <v>70.459999999999994</v>
      </c>
      <c r="Q1499" s="7">
        <f>AVERAGE(D1451:D1500,D1379:D1428)</f>
        <v>315.17</v>
      </c>
      <c r="R1499" s="7" t="e">
        <f>AVERAGE(E1451:E1500,E1379:E1428)</f>
        <v>#DIV/0!</v>
      </c>
      <c r="S1499" s="7" t="e">
        <f>AVERAGE(#REF!,#REF!)</f>
        <v>#REF!</v>
      </c>
    </row>
    <row r="1500" spans="1:19" x14ac:dyDescent="0.35">
      <c r="A1500" s="2">
        <v>42494</v>
      </c>
      <c r="B1500" s="70" t="s">
        <v>29</v>
      </c>
      <c r="C1500" s="10">
        <v>63</v>
      </c>
      <c r="D1500" s="10">
        <v>233</v>
      </c>
      <c r="E1500" s="10" t="s">
        <v>34</v>
      </c>
      <c r="F1500" t="s">
        <v>157</v>
      </c>
      <c r="G1500" s="6">
        <f>G1499/50*100</f>
        <v>0</v>
      </c>
      <c r="H1500" s="6">
        <f t="shared" ref="H1500:N1500" si="68">H1499/50*100</f>
        <v>0</v>
      </c>
      <c r="I1500" s="6">
        <f t="shared" si="68"/>
        <v>0</v>
      </c>
      <c r="J1500" s="6">
        <f t="shared" si="68"/>
        <v>0</v>
      </c>
      <c r="K1500" s="6">
        <f t="shared" si="68"/>
        <v>6</v>
      </c>
      <c r="L1500" s="6">
        <f t="shared" si="68"/>
        <v>72</v>
      </c>
      <c r="M1500" s="6">
        <f t="shared" si="68"/>
        <v>122</v>
      </c>
      <c r="N1500" s="6">
        <f t="shared" si="68"/>
        <v>0</v>
      </c>
      <c r="O1500" s="4"/>
      <c r="P1500" s="4"/>
      <c r="Q1500" s="4"/>
    </row>
    <row r="1501" spans="1:19" x14ac:dyDescent="0.35">
      <c r="A1501" s="2">
        <v>42494</v>
      </c>
      <c r="B1501" s="70" t="s">
        <v>29</v>
      </c>
      <c r="C1501" s="10">
        <v>96</v>
      </c>
      <c r="D1501" s="10">
        <v>1032</v>
      </c>
      <c r="E1501" s="10" t="s">
        <v>98</v>
      </c>
    </row>
    <row r="1502" spans="1:19" x14ac:dyDescent="0.35">
      <c r="A1502" s="2">
        <v>42494</v>
      </c>
      <c r="B1502" s="70" t="s">
        <v>29</v>
      </c>
      <c r="C1502" s="10">
        <v>92</v>
      </c>
      <c r="D1502" s="10">
        <v>941</v>
      </c>
      <c r="E1502" s="10" t="s">
        <v>98</v>
      </c>
    </row>
    <row r="1503" spans="1:19" x14ac:dyDescent="0.35">
      <c r="A1503" s="2">
        <v>42494</v>
      </c>
      <c r="B1503" s="70" t="s">
        <v>29</v>
      </c>
      <c r="C1503" s="10">
        <v>143</v>
      </c>
      <c r="D1503" s="10">
        <v>3812</v>
      </c>
      <c r="E1503" s="10" t="s">
        <v>98</v>
      </c>
    </row>
    <row r="1504" spans="1:19" x14ac:dyDescent="0.35">
      <c r="A1504" s="2">
        <v>42494</v>
      </c>
      <c r="B1504" s="70" t="s">
        <v>29</v>
      </c>
      <c r="C1504" s="10">
        <v>94</v>
      </c>
      <c r="D1504" s="10">
        <v>946</v>
      </c>
      <c r="E1504" s="10" t="s">
        <v>98</v>
      </c>
    </row>
    <row r="1505" spans="1:5" x14ac:dyDescent="0.35">
      <c r="A1505" s="2">
        <v>42494</v>
      </c>
      <c r="B1505" s="70" t="s">
        <v>29</v>
      </c>
      <c r="C1505" s="55">
        <v>82</v>
      </c>
      <c r="D1505" s="55">
        <v>677</v>
      </c>
      <c r="E1505" s="55" t="s">
        <v>159</v>
      </c>
    </row>
    <row r="1506" spans="1:5" x14ac:dyDescent="0.35">
      <c r="A1506" s="2">
        <v>42494</v>
      </c>
      <c r="B1506" s="70" t="s">
        <v>29</v>
      </c>
      <c r="C1506" s="10">
        <v>87</v>
      </c>
      <c r="D1506" s="10">
        <v>766</v>
      </c>
      <c r="E1506" s="10" t="s">
        <v>98</v>
      </c>
    </row>
    <row r="1507" spans="1:5" x14ac:dyDescent="0.35">
      <c r="A1507" s="2">
        <v>42494</v>
      </c>
      <c r="B1507" s="70" t="s">
        <v>29</v>
      </c>
      <c r="C1507" s="10">
        <v>108</v>
      </c>
      <c r="D1507" s="10">
        <v>1420</v>
      </c>
      <c r="E1507" s="10" t="s">
        <v>98</v>
      </c>
    </row>
    <row r="1508" spans="1:5" x14ac:dyDescent="0.35">
      <c r="A1508" s="2">
        <v>42494</v>
      </c>
      <c r="B1508" s="70" t="s">
        <v>29</v>
      </c>
      <c r="C1508" s="10">
        <v>93</v>
      </c>
      <c r="D1508" s="10">
        <v>968</v>
      </c>
      <c r="E1508" s="10" t="s">
        <v>98</v>
      </c>
    </row>
    <row r="1509" spans="1:5" x14ac:dyDescent="0.35">
      <c r="A1509" s="2">
        <v>42494</v>
      </c>
      <c r="B1509" s="70" t="s">
        <v>29</v>
      </c>
      <c r="C1509" s="10">
        <v>94</v>
      </c>
      <c r="D1509" s="10">
        <v>1000</v>
      </c>
      <c r="E1509" s="10" t="s">
        <v>98</v>
      </c>
    </row>
    <row r="1510" spans="1:5" x14ac:dyDescent="0.35">
      <c r="A1510" s="2">
        <v>42494</v>
      </c>
      <c r="B1510" s="70" t="s">
        <v>29</v>
      </c>
      <c r="C1510" s="10">
        <v>173</v>
      </c>
      <c r="D1510" s="10">
        <v>7369</v>
      </c>
      <c r="E1510" s="10" t="s">
        <v>98</v>
      </c>
    </row>
    <row r="1511" spans="1:5" x14ac:dyDescent="0.35">
      <c r="A1511" s="2">
        <v>42494</v>
      </c>
      <c r="B1511" s="70" t="s">
        <v>29</v>
      </c>
      <c r="C1511" s="10">
        <v>93</v>
      </c>
      <c r="D1511" s="10">
        <v>983</v>
      </c>
      <c r="E1511" s="10" t="s">
        <v>98</v>
      </c>
    </row>
    <row r="1512" spans="1:5" x14ac:dyDescent="0.35">
      <c r="A1512" s="2">
        <v>42494</v>
      </c>
      <c r="B1512" s="70" t="s">
        <v>29</v>
      </c>
      <c r="C1512" s="10">
        <v>85</v>
      </c>
      <c r="D1512" s="10">
        <v>739</v>
      </c>
      <c r="E1512" s="10" t="s">
        <v>98</v>
      </c>
    </row>
    <row r="1513" spans="1:5" x14ac:dyDescent="0.35">
      <c r="A1513" s="2">
        <v>42494</v>
      </c>
      <c r="B1513" s="70" t="s">
        <v>29</v>
      </c>
      <c r="C1513" s="10">
        <v>101</v>
      </c>
      <c r="D1513" s="10">
        <v>1454</v>
      </c>
      <c r="E1513" s="10" t="s">
        <v>98</v>
      </c>
    </row>
    <row r="1514" spans="1:5" x14ac:dyDescent="0.35">
      <c r="A1514" s="2">
        <v>42494</v>
      </c>
      <c r="B1514" s="70" t="s">
        <v>29</v>
      </c>
      <c r="C1514" s="10">
        <v>97</v>
      </c>
      <c r="D1514" s="10">
        <v>1026</v>
      </c>
      <c r="E1514" s="10" t="s">
        <v>98</v>
      </c>
    </row>
    <row r="1515" spans="1:5" x14ac:dyDescent="0.35">
      <c r="A1515" s="2">
        <v>42494</v>
      </c>
      <c r="B1515" s="70" t="s">
        <v>29</v>
      </c>
      <c r="C1515" s="10">
        <v>98</v>
      </c>
      <c r="D1515" s="10">
        <v>1054</v>
      </c>
      <c r="E1515" s="10" t="s">
        <v>98</v>
      </c>
    </row>
    <row r="1516" spans="1:5" x14ac:dyDescent="0.35">
      <c r="A1516" s="2">
        <v>42494</v>
      </c>
      <c r="B1516" s="70" t="s">
        <v>29</v>
      </c>
      <c r="C1516" s="10">
        <v>97</v>
      </c>
      <c r="D1516" s="10">
        <v>1146</v>
      </c>
      <c r="E1516" s="10" t="s">
        <v>98</v>
      </c>
    </row>
    <row r="1517" spans="1:5" x14ac:dyDescent="0.35">
      <c r="A1517" s="2">
        <v>42494</v>
      </c>
      <c r="B1517" s="70" t="s">
        <v>29</v>
      </c>
      <c r="C1517" s="10">
        <v>113</v>
      </c>
      <c r="D1517" s="10">
        <v>1357</v>
      </c>
      <c r="E1517" s="10" t="s">
        <v>98</v>
      </c>
    </row>
    <row r="1518" spans="1:5" x14ac:dyDescent="0.35">
      <c r="A1518" s="2">
        <v>42494</v>
      </c>
      <c r="B1518" s="70" t="s">
        <v>29</v>
      </c>
      <c r="C1518" s="10">
        <v>97</v>
      </c>
      <c r="D1518" s="10">
        <v>1157</v>
      </c>
      <c r="E1518" s="10" t="s">
        <v>98</v>
      </c>
    </row>
    <row r="1519" spans="1:5" x14ac:dyDescent="0.35">
      <c r="A1519" s="2">
        <v>42494</v>
      </c>
      <c r="B1519" s="70" t="s">
        <v>29</v>
      </c>
      <c r="C1519" s="10">
        <v>94</v>
      </c>
      <c r="D1519" s="10">
        <v>1050</v>
      </c>
      <c r="E1519" s="10" t="s">
        <v>98</v>
      </c>
    </row>
    <row r="1520" spans="1:5" x14ac:dyDescent="0.35">
      <c r="A1520" s="2">
        <v>42494</v>
      </c>
      <c r="B1520" s="70" t="s">
        <v>29</v>
      </c>
      <c r="C1520" s="10">
        <v>92</v>
      </c>
      <c r="D1520" s="10">
        <v>1065</v>
      </c>
      <c r="E1520" s="10" t="s">
        <v>98</v>
      </c>
    </row>
    <row r="1521" spans="1:19" x14ac:dyDescent="0.35">
      <c r="A1521" s="2">
        <v>42494</v>
      </c>
      <c r="B1521" s="70" t="s">
        <v>29</v>
      </c>
      <c r="C1521" s="10">
        <v>87</v>
      </c>
      <c r="D1521" s="10">
        <v>909</v>
      </c>
      <c r="E1521" s="10" t="s">
        <v>98</v>
      </c>
    </row>
    <row r="1522" spans="1:19" x14ac:dyDescent="0.35">
      <c r="A1522" s="2">
        <v>42494</v>
      </c>
      <c r="B1522" s="70" t="s">
        <v>29</v>
      </c>
      <c r="C1522" s="10">
        <v>98</v>
      </c>
      <c r="D1522" s="10">
        <v>1041</v>
      </c>
      <c r="E1522" s="10" t="s">
        <v>98</v>
      </c>
    </row>
    <row r="1523" spans="1:19" x14ac:dyDescent="0.35">
      <c r="A1523" s="2">
        <v>42494</v>
      </c>
      <c r="B1523" s="70" t="s">
        <v>29</v>
      </c>
      <c r="C1523" s="10">
        <v>94</v>
      </c>
      <c r="D1523" s="10">
        <v>972</v>
      </c>
      <c r="E1523" s="10" t="s">
        <v>98</v>
      </c>
    </row>
    <row r="1524" spans="1:19" x14ac:dyDescent="0.35">
      <c r="A1524" s="2">
        <v>42494</v>
      </c>
      <c r="B1524" s="70" t="s">
        <v>29</v>
      </c>
      <c r="C1524" s="10">
        <v>91</v>
      </c>
      <c r="D1524" s="10">
        <v>855</v>
      </c>
      <c r="E1524" s="10" t="s">
        <v>98</v>
      </c>
    </row>
    <row r="1525" spans="1:19" x14ac:dyDescent="0.35">
      <c r="A1525" s="2">
        <v>42494</v>
      </c>
      <c r="B1525" s="70" t="s">
        <v>29</v>
      </c>
      <c r="C1525" s="10">
        <v>104</v>
      </c>
      <c r="D1525" s="10">
        <v>1416</v>
      </c>
      <c r="E1525" s="10" t="s">
        <v>98</v>
      </c>
    </row>
    <row r="1526" spans="1:19" x14ac:dyDescent="0.35">
      <c r="A1526" s="2">
        <v>42494</v>
      </c>
      <c r="B1526" s="70" t="s">
        <v>29</v>
      </c>
      <c r="C1526" s="10">
        <v>112</v>
      </c>
      <c r="D1526" s="10">
        <v>1632</v>
      </c>
      <c r="E1526" s="10" t="s">
        <v>98</v>
      </c>
    </row>
    <row r="1527" spans="1:19" x14ac:dyDescent="0.35">
      <c r="A1527" s="2">
        <v>42494</v>
      </c>
      <c r="B1527" s="70" t="s">
        <v>29</v>
      </c>
      <c r="C1527" s="10">
        <v>103</v>
      </c>
      <c r="D1527" s="10">
        <v>1339</v>
      </c>
      <c r="E1527" s="10" t="s">
        <v>98</v>
      </c>
    </row>
    <row r="1528" spans="1:19" x14ac:dyDescent="0.35">
      <c r="A1528" s="2">
        <v>42494</v>
      </c>
      <c r="B1528" s="70" t="s">
        <v>29</v>
      </c>
      <c r="C1528" s="10">
        <v>102</v>
      </c>
      <c r="D1528" s="10">
        <v>1382</v>
      </c>
      <c r="E1528" s="10" t="s">
        <v>98</v>
      </c>
    </row>
    <row r="1529" spans="1:19" x14ac:dyDescent="0.35">
      <c r="A1529" s="2">
        <v>42494</v>
      </c>
      <c r="B1529" s="70" t="s">
        <v>29</v>
      </c>
      <c r="C1529" s="10">
        <v>107</v>
      </c>
      <c r="D1529" s="10">
        <v>1405</v>
      </c>
      <c r="E1529" s="10" t="s">
        <v>98</v>
      </c>
    </row>
    <row r="1530" spans="1:19" x14ac:dyDescent="0.35">
      <c r="A1530" s="2">
        <v>42494</v>
      </c>
      <c r="B1530" s="70" t="s">
        <v>29</v>
      </c>
      <c r="C1530" s="10">
        <v>100</v>
      </c>
      <c r="D1530" s="10">
        <v>1434</v>
      </c>
      <c r="E1530" s="10" t="s">
        <v>98</v>
      </c>
    </row>
    <row r="1531" spans="1:19" x14ac:dyDescent="0.35">
      <c r="A1531" s="2">
        <v>42494</v>
      </c>
      <c r="B1531" s="70" t="s">
        <v>29</v>
      </c>
      <c r="C1531" s="10">
        <v>97</v>
      </c>
      <c r="D1531" s="10">
        <v>1041</v>
      </c>
      <c r="E1531" s="10" t="s">
        <v>98</v>
      </c>
    </row>
    <row r="1532" spans="1:19" x14ac:dyDescent="0.35">
      <c r="A1532" s="2">
        <v>42494</v>
      </c>
      <c r="B1532" s="70" t="s">
        <v>29</v>
      </c>
      <c r="C1532" s="10">
        <v>109</v>
      </c>
      <c r="D1532" s="10">
        <v>1394</v>
      </c>
      <c r="E1532" s="10" t="s">
        <v>98</v>
      </c>
    </row>
    <row r="1533" spans="1:19" x14ac:dyDescent="0.35">
      <c r="A1533" s="2">
        <v>42494</v>
      </c>
      <c r="B1533" s="70" t="s">
        <v>29</v>
      </c>
      <c r="C1533" s="10">
        <v>94</v>
      </c>
      <c r="D1533" s="10">
        <v>919</v>
      </c>
      <c r="E1533" s="10" t="s">
        <v>98</v>
      </c>
    </row>
    <row r="1534" spans="1:19" x14ac:dyDescent="0.35">
      <c r="A1534" s="2">
        <v>42494</v>
      </c>
      <c r="B1534" s="70" t="s">
        <v>29</v>
      </c>
      <c r="C1534" s="10">
        <v>96</v>
      </c>
      <c r="D1534" s="10">
        <v>898</v>
      </c>
      <c r="E1534" s="10" t="s">
        <v>98</v>
      </c>
      <c r="R1534">
        <f>AVERAGE(C1451:C1500,C1379:C1428)</f>
        <v>70.459999999999994</v>
      </c>
      <c r="S1534">
        <f>AVERAGE(D1451:D1500,D1379:D1428)</f>
        <v>315.17</v>
      </c>
    </row>
    <row r="1535" spans="1:19" s="4" customFormat="1" x14ac:dyDescent="0.35">
      <c r="A1535" s="3">
        <v>42494</v>
      </c>
      <c r="B1535" s="44" t="s">
        <v>29</v>
      </c>
      <c r="C1535" s="11">
        <v>124</v>
      </c>
      <c r="D1535" s="11">
        <v>2117</v>
      </c>
      <c r="E1535" s="11" t="s">
        <v>98</v>
      </c>
      <c r="G1535" s="51" t="e">
        <f>AVERAGE(#REF!)</f>
        <v>#REF!</v>
      </c>
      <c r="H1535" s="51" t="e">
        <f>AVERAGE(#REF!,#REF!)</f>
        <v>#REF!</v>
      </c>
    </row>
    <row r="1536" spans="1:19" x14ac:dyDescent="0.35">
      <c r="A1536" s="2">
        <v>42494</v>
      </c>
      <c r="B1536" s="40" t="s">
        <v>66</v>
      </c>
      <c r="C1536" s="10">
        <v>69</v>
      </c>
      <c r="D1536" s="10">
        <v>308</v>
      </c>
      <c r="E1536" s="10" t="s">
        <v>32</v>
      </c>
    </row>
    <row r="1537" spans="1:5" x14ac:dyDescent="0.35">
      <c r="A1537" s="2">
        <v>42494</v>
      </c>
      <c r="B1537" s="40" t="s">
        <v>66</v>
      </c>
      <c r="C1537" s="10">
        <v>67</v>
      </c>
      <c r="D1537" s="10">
        <v>294</v>
      </c>
      <c r="E1537" s="10" t="s">
        <v>32</v>
      </c>
    </row>
    <row r="1538" spans="1:5" x14ac:dyDescent="0.35">
      <c r="A1538" s="2">
        <v>42494</v>
      </c>
      <c r="B1538" s="40" t="s">
        <v>66</v>
      </c>
      <c r="C1538" s="10">
        <v>67</v>
      </c>
      <c r="D1538" s="10">
        <v>252</v>
      </c>
      <c r="E1538" s="10" t="s">
        <v>32</v>
      </c>
    </row>
    <row r="1539" spans="1:5" x14ac:dyDescent="0.35">
      <c r="A1539" s="2">
        <v>42494</v>
      </c>
      <c r="B1539" s="40" t="s">
        <v>66</v>
      </c>
      <c r="C1539" s="10">
        <v>64</v>
      </c>
      <c r="D1539" s="10">
        <v>260</v>
      </c>
      <c r="E1539" s="10" t="s">
        <v>32</v>
      </c>
    </row>
    <row r="1540" spans="1:5" x14ac:dyDescent="0.35">
      <c r="A1540" s="2">
        <v>42494</v>
      </c>
      <c r="B1540" s="40" t="s">
        <v>66</v>
      </c>
      <c r="C1540" s="10">
        <v>101</v>
      </c>
      <c r="D1540" s="10">
        <v>1064</v>
      </c>
      <c r="E1540" s="10" t="s">
        <v>98</v>
      </c>
    </row>
    <row r="1541" spans="1:5" x14ac:dyDescent="0.35">
      <c r="A1541" s="2">
        <v>42494</v>
      </c>
      <c r="B1541" s="40" t="s">
        <v>66</v>
      </c>
      <c r="C1541" s="10">
        <v>94</v>
      </c>
      <c r="D1541" s="10">
        <v>952</v>
      </c>
      <c r="E1541" s="10" t="s">
        <v>98</v>
      </c>
    </row>
    <row r="1542" spans="1:5" x14ac:dyDescent="0.35">
      <c r="A1542" s="2">
        <v>42494</v>
      </c>
      <c r="B1542" s="40" t="s">
        <v>66</v>
      </c>
      <c r="C1542" s="10">
        <v>92</v>
      </c>
      <c r="D1542" s="10">
        <v>929</v>
      </c>
      <c r="E1542" s="10" t="s">
        <v>98</v>
      </c>
    </row>
    <row r="1543" spans="1:5" x14ac:dyDescent="0.35">
      <c r="A1543" s="2">
        <v>42494</v>
      </c>
      <c r="B1543" s="40" t="s">
        <v>66</v>
      </c>
      <c r="C1543" s="10">
        <v>101</v>
      </c>
      <c r="D1543" s="10">
        <v>1203</v>
      </c>
      <c r="E1543" s="10" t="s">
        <v>98</v>
      </c>
    </row>
    <row r="1544" spans="1:5" s="4" customFormat="1" x14ac:dyDescent="0.35">
      <c r="A1544" s="3">
        <v>42494</v>
      </c>
      <c r="B1544" s="44" t="s">
        <v>66</v>
      </c>
      <c r="C1544" s="11">
        <v>103</v>
      </c>
      <c r="D1544" s="11">
        <v>871</v>
      </c>
      <c r="E1544" s="11" t="s">
        <v>98</v>
      </c>
    </row>
    <row r="1545" spans="1:5" x14ac:dyDescent="0.35">
      <c r="A1545" s="2">
        <v>42494</v>
      </c>
      <c r="B1545" s="40" t="s">
        <v>63</v>
      </c>
      <c r="C1545" s="10">
        <v>69</v>
      </c>
      <c r="D1545" s="10">
        <v>324</v>
      </c>
      <c r="E1545" s="10" t="s">
        <v>34</v>
      </c>
    </row>
    <row r="1546" spans="1:5" x14ac:dyDescent="0.35">
      <c r="A1546" s="2">
        <v>42494</v>
      </c>
      <c r="B1546" s="40" t="s">
        <v>63</v>
      </c>
      <c r="C1546" s="10">
        <v>72</v>
      </c>
      <c r="D1546" s="10">
        <v>341</v>
      </c>
      <c r="E1546" s="10" t="s">
        <v>32</v>
      </c>
    </row>
    <row r="1547" spans="1:5" x14ac:dyDescent="0.35">
      <c r="A1547" s="2">
        <v>42494</v>
      </c>
      <c r="B1547" s="40" t="s">
        <v>63</v>
      </c>
      <c r="C1547" s="10">
        <v>165</v>
      </c>
      <c r="D1547" s="10">
        <v>7315</v>
      </c>
      <c r="E1547" s="10" t="s">
        <v>98</v>
      </c>
    </row>
    <row r="1548" spans="1:5" x14ac:dyDescent="0.35">
      <c r="A1548" s="2">
        <v>42494</v>
      </c>
      <c r="B1548" s="40" t="s">
        <v>63</v>
      </c>
      <c r="C1548" s="10">
        <v>198</v>
      </c>
      <c r="D1548" s="10">
        <v>9582</v>
      </c>
      <c r="E1548" s="10" t="s">
        <v>98</v>
      </c>
    </row>
    <row r="1549" spans="1:5" s="4" customFormat="1" x14ac:dyDescent="0.35">
      <c r="A1549" s="3">
        <v>42494</v>
      </c>
      <c r="B1549" s="44" t="s">
        <v>63</v>
      </c>
      <c r="C1549" s="11">
        <v>126</v>
      </c>
      <c r="D1549" s="11">
        <v>2656</v>
      </c>
      <c r="E1549" s="11" t="s">
        <v>98</v>
      </c>
    </row>
    <row r="1550" spans="1:5" x14ac:dyDescent="0.35">
      <c r="A1550" s="2">
        <v>42494</v>
      </c>
      <c r="B1550" s="40" t="s">
        <v>102</v>
      </c>
      <c r="C1550" s="10">
        <v>72</v>
      </c>
      <c r="D1550" s="10">
        <v>429</v>
      </c>
      <c r="E1550" s="10" t="s">
        <v>32</v>
      </c>
    </row>
    <row r="1551" spans="1:5" s="4" customFormat="1" x14ac:dyDescent="0.35">
      <c r="A1551" s="3">
        <v>42494</v>
      </c>
      <c r="B1551" s="44" t="s">
        <v>102</v>
      </c>
      <c r="C1551" s="11">
        <v>114</v>
      </c>
      <c r="D1551" s="11">
        <v>2428</v>
      </c>
      <c r="E1551" s="11" t="s">
        <v>98</v>
      </c>
    </row>
    <row r="1552" spans="1:5" x14ac:dyDescent="0.35">
      <c r="A1552" s="2">
        <v>42494</v>
      </c>
      <c r="B1552" s="40" t="s">
        <v>104</v>
      </c>
      <c r="C1552" s="10">
        <v>75</v>
      </c>
      <c r="D1552" s="10">
        <v>328</v>
      </c>
      <c r="E1552" s="10" t="s">
        <v>34</v>
      </c>
    </row>
    <row r="1553" spans="1:9" s="4" customFormat="1" x14ac:dyDescent="0.35">
      <c r="A1553" s="3">
        <v>42494</v>
      </c>
      <c r="B1553" s="44" t="s">
        <v>104</v>
      </c>
      <c r="C1553" s="11">
        <v>108</v>
      </c>
      <c r="D1553" s="11">
        <v>1787</v>
      </c>
      <c r="E1553" s="11" t="s">
        <v>98</v>
      </c>
    </row>
    <row r="1554" spans="1:9" s="22" customFormat="1" x14ac:dyDescent="0.35">
      <c r="A1554" s="19">
        <v>42494</v>
      </c>
      <c r="B1554" s="71" t="s">
        <v>113</v>
      </c>
      <c r="C1554" s="20">
        <v>97</v>
      </c>
      <c r="D1554" s="20">
        <v>1202</v>
      </c>
      <c r="E1554" s="20" t="s">
        <v>98</v>
      </c>
      <c r="H1554" s="52" t="e">
        <f>AVERAGE(#REF!,#REF!,#REF!,#REF!)</f>
        <v>#REF!</v>
      </c>
      <c r="I1554" s="52" t="e">
        <f>AVERAGE(#REF!,#REF!,#REF!,#REF!)</f>
        <v>#REF!</v>
      </c>
    </row>
    <row r="1555" spans="1:9" x14ac:dyDescent="0.35">
      <c r="A1555" s="2">
        <v>42503</v>
      </c>
      <c r="B1555" s="40" t="s">
        <v>103</v>
      </c>
      <c r="C1555" s="10">
        <v>67</v>
      </c>
      <c r="D1555" s="10">
        <v>231</v>
      </c>
      <c r="E1555" s="10" t="s">
        <v>32</v>
      </c>
    </row>
    <row r="1556" spans="1:9" x14ac:dyDescent="0.35">
      <c r="A1556" s="2">
        <v>42503</v>
      </c>
      <c r="B1556" s="40" t="s">
        <v>103</v>
      </c>
      <c r="C1556" s="10">
        <v>74</v>
      </c>
      <c r="D1556" s="10">
        <v>315</v>
      </c>
      <c r="E1556" s="10" t="s">
        <v>32</v>
      </c>
    </row>
    <row r="1557" spans="1:9" x14ac:dyDescent="0.35">
      <c r="A1557" s="2">
        <v>42503</v>
      </c>
      <c r="B1557" s="40" t="s">
        <v>103</v>
      </c>
      <c r="C1557" s="10">
        <v>68</v>
      </c>
      <c r="D1557" s="10">
        <v>247</v>
      </c>
      <c r="E1557" s="10" t="s">
        <v>32</v>
      </c>
    </row>
    <row r="1558" spans="1:9" x14ac:dyDescent="0.35">
      <c r="A1558" s="2">
        <v>42503</v>
      </c>
      <c r="B1558" s="40" t="s">
        <v>103</v>
      </c>
      <c r="C1558" s="10">
        <v>77</v>
      </c>
      <c r="D1558" s="10">
        <v>377</v>
      </c>
      <c r="E1558" s="10" t="s">
        <v>32</v>
      </c>
    </row>
    <row r="1559" spans="1:9" x14ac:dyDescent="0.35">
      <c r="A1559" s="2">
        <v>42503</v>
      </c>
      <c r="B1559" s="40" t="s">
        <v>103</v>
      </c>
      <c r="C1559" s="10">
        <v>71</v>
      </c>
      <c r="D1559" s="10">
        <v>302</v>
      </c>
      <c r="E1559" s="10" t="s">
        <v>32</v>
      </c>
    </row>
    <row r="1560" spans="1:9" x14ac:dyDescent="0.35">
      <c r="A1560" s="2">
        <v>42503</v>
      </c>
      <c r="B1560" s="40" t="s">
        <v>103</v>
      </c>
      <c r="C1560" s="10">
        <v>72</v>
      </c>
      <c r="D1560" s="10">
        <v>326</v>
      </c>
      <c r="E1560" s="10" t="s">
        <v>32</v>
      </c>
    </row>
    <row r="1561" spans="1:9" x14ac:dyDescent="0.35">
      <c r="A1561" s="2">
        <v>42503</v>
      </c>
      <c r="B1561" s="40" t="s">
        <v>103</v>
      </c>
      <c r="C1561" s="10">
        <v>71</v>
      </c>
      <c r="D1561" s="10">
        <v>292</v>
      </c>
      <c r="E1561" s="10" t="s">
        <v>32</v>
      </c>
    </row>
    <row r="1562" spans="1:9" x14ac:dyDescent="0.35">
      <c r="A1562" s="2">
        <v>42503</v>
      </c>
      <c r="B1562" s="40" t="s">
        <v>103</v>
      </c>
      <c r="C1562" s="10">
        <v>73</v>
      </c>
      <c r="D1562" s="10">
        <v>338</v>
      </c>
      <c r="E1562" s="10" t="s">
        <v>32</v>
      </c>
    </row>
    <row r="1563" spans="1:9" x14ac:dyDescent="0.35">
      <c r="A1563" s="2">
        <v>42503</v>
      </c>
      <c r="B1563" s="40" t="s">
        <v>103</v>
      </c>
      <c r="C1563" s="10">
        <v>72</v>
      </c>
      <c r="D1563" s="10">
        <v>275</v>
      </c>
      <c r="E1563" s="10" t="s">
        <v>32</v>
      </c>
    </row>
    <row r="1564" spans="1:9" x14ac:dyDescent="0.35">
      <c r="A1564" s="2">
        <v>42503</v>
      </c>
      <c r="B1564" s="40" t="s">
        <v>103</v>
      </c>
      <c r="C1564" s="10">
        <v>75</v>
      </c>
      <c r="D1564" s="10">
        <v>414</v>
      </c>
      <c r="E1564" s="10" t="s">
        <v>159</v>
      </c>
    </row>
    <row r="1565" spans="1:9" x14ac:dyDescent="0.35">
      <c r="A1565" s="2">
        <v>42503</v>
      </c>
      <c r="B1565" s="40" t="s">
        <v>103</v>
      </c>
      <c r="C1565" s="10">
        <v>64</v>
      </c>
      <c r="D1565" s="10">
        <v>250</v>
      </c>
      <c r="E1565" s="10" t="s">
        <v>32</v>
      </c>
    </row>
    <row r="1566" spans="1:9" x14ac:dyDescent="0.35">
      <c r="A1566" s="2">
        <v>42503</v>
      </c>
      <c r="B1566" s="40" t="s">
        <v>103</v>
      </c>
      <c r="C1566" s="10">
        <v>69</v>
      </c>
      <c r="D1566" s="10">
        <v>304</v>
      </c>
      <c r="E1566" s="10" t="s">
        <v>32</v>
      </c>
    </row>
    <row r="1567" spans="1:9" x14ac:dyDescent="0.35">
      <c r="A1567" s="2">
        <v>42503</v>
      </c>
      <c r="B1567" s="40" t="s">
        <v>103</v>
      </c>
      <c r="C1567" s="10">
        <v>74</v>
      </c>
      <c r="D1567" s="10">
        <v>394</v>
      </c>
      <c r="E1567" s="10" t="s">
        <v>32</v>
      </c>
    </row>
    <row r="1568" spans="1:9" x14ac:dyDescent="0.35">
      <c r="A1568" s="2">
        <v>42503</v>
      </c>
      <c r="B1568" s="40" t="s">
        <v>103</v>
      </c>
      <c r="C1568" s="10">
        <v>73</v>
      </c>
      <c r="D1568" s="10">
        <v>402</v>
      </c>
      <c r="E1568" s="10" t="s">
        <v>159</v>
      </c>
    </row>
    <row r="1569" spans="1:19" x14ac:dyDescent="0.35">
      <c r="A1569" s="2">
        <v>42503</v>
      </c>
      <c r="B1569" s="40" t="s">
        <v>103</v>
      </c>
      <c r="C1569" s="10">
        <v>68</v>
      </c>
      <c r="D1569" s="10">
        <v>337</v>
      </c>
      <c r="E1569" s="10" t="s">
        <v>32</v>
      </c>
    </row>
    <row r="1570" spans="1:19" x14ac:dyDescent="0.35">
      <c r="A1570" s="2">
        <v>42503</v>
      </c>
      <c r="B1570" s="40" t="s">
        <v>103</v>
      </c>
      <c r="C1570" s="10">
        <v>71</v>
      </c>
      <c r="D1570" s="10">
        <v>342</v>
      </c>
      <c r="E1570" s="10" t="s">
        <v>159</v>
      </c>
    </row>
    <row r="1571" spans="1:19" x14ac:dyDescent="0.35">
      <c r="A1571" s="2">
        <v>42503</v>
      </c>
      <c r="B1571" s="40" t="s">
        <v>103</v>
      </c>
      <c r="C1571" s="10">
        <v>68</v>
      </c>
      <c r="D1571" s="10">
        <v>275</v>
      </c>
      <c r="E1571" s="10" t="s">
        <v>32</v>
      </c>
    </row>
    <row r="1572" spans="1:19" x14ac:dyDescent="0.35">
      <c r="A1572" s="2">
        <v>42503</v>
      </c>
      <c r="B1572" s="40" t="s">
        <v>103</v>
      </c>
      <c r="C1572" s="10">
        <v>69</v>
      </c>
      <c r="D1572" s="10">
        <v>375</v>
      </c>
      <c r="E1572" s="10" t="s">
        <v>37</v>
      </c>
    </row>
    <row r="1573" spans="1:19" x14ac:dyDescent="0.35">
      <c r="A1573" s="2">
        <v>42503</v>
      </c>
      <c r="B1573" s="40" t="s">
        <v>103</v>
      </c>
      <c r="C1573" s="10">
        <v>114</v>
      </c>
      <c r="D1573" s="10">
        <v>2423</v>
      </c>
      <c r="E1573" t="s">
        <v>98</v>
      </c>
      <c r="R1573">
        <f>AVERAGE(C1552,C1550,C1545:C1546,C1536:C1539)</f>
        <v>69.375</v>
      </c>
      <c r="S1573">
        <f>AVERAGE(D1552,D1550,D1545:D1546,D1536:D1539)</f>
        <v>317</v>
      </c>
    </row>
    <row r="1574" spans="1:19" x14ac:dyDescent="0.35">
      <c r="A1574" s="2">
        <v>42503</v>
      </c>
      <c r="B1574" s="40" t="s">
        <v>103</v>
      </c>
      <c r="C1574" s="10">
        <v>102</v>
      </c>
      <c r="D1574" s="10">
        <v>1445</v>
      </c>
      <c r="E1574" t="s">
        <v>98</v>
      </c>
    </row>
    <row r="1575" spans="1:19" x14ac:dyDescent="0.35">
      <c r="A1575" s="2">
        <v>42503</v>
      </c>
      <c r="B1575" s="40" t="s">
        <v>103</v>
      </c>
      <c r="C1575" s="10">
        <v>129</v>
      </c>
      <c r="D1575" s="10">
        <v>3257</v>
      </c>
      <c r="E1575" t="s">
        <v>98</v>
      </c>
    </row>
    <row r="1576" spans="1:19" s="4" customFormat="1" x14ac:dyDescent="0.35">
      <c r="A1576" s="3">
        <v>42503</v>
      </c>
      <c r="B1576" s="44" t="s">
        <v>103</v>
      </c>
      <c r="C1576" s="11">
        <v>87</v>
      </c>
      <c r="D1576" s="11">
        <v>742</v>
      </c>
      <c r="E1576" s="4" t="s">
        <v>98</v>
      </c>
    </row>
    <row r="1577" spans="1:19" x14ac:dyDescent="0.35">
      <c r="A1577" s="2">
        <v>42503</v>
      </c>
      <c r="B1577" s="40" t="s">
        <v>104</v>
      </c>
      <c r="C1577" s="10">
        <v>71</v>
      </c>
      <c r="D1577" s="10">
        <v>337</v>
      </c>
      <c r="E1577" s="10" t="s">
        <v>37</v>
      </c>
    </row>
    <row r="1578" spans="1:19" x14ac:dyDescent="0.35">
      <c r="A1578" s="2">
        <v>42503</v>
      </c>
      <c r="B1578" s="40" t="s">
        <v>104</v>
      </c>
      <c r="C1578" s="10">
        <v>71</v>
      </c>
      <c r="D1578" s="10">
        <v>458</v>
      </c>
      <c r="E1578" s="10" t="s">
        <v>32</v>
      </c>
      <c r="F1578" t="s">
        <v>160</v>
      </c>
    </row>
    <row r="1579" spans="1:19" x14ac:dyDescent="0.35">
      <c r="A1579" s="2">
        <v>42503</v>
      </c>
      <c r="B1579" s="40" t="s">
        <v>104</v>
      </c>
      <c r="C1579" s="10">
        <v>72</v>
      </c>
      <c r="D1579" s="10">
        <v>343</v>
      </c>
      <c r="E1579" s="10" t="s">
        <v>159</v>
      </c>
    </row>
    <row r="1580" spans="1:19" x14ac:dyDescent="0.35">
      <c r="A1580" s="2">
        <v>42503</v>
      </c>
      <c r="B1580" s="40" t="s">
        <v>104</v>
      </c>
      <c r="C1580" s="10">
        <v>67</v>
      </c>
      <c r="D1580" s="10">
        <v>275</v>
      </c>
      <c r="E1580" s="10" t="s">
        <v>34</v>
      </c>
    </row>
    <row r="1581" spans="1:19" x14ac:dyDescent="0.35">
      <c r="A1581" s="2">
        <v>42503</v>
      </c>
      <c r="B1581" s="40" t="s">
        <v>104</v>
      </c>
      <c r="C1581" s="10">
        <v>69</v>
      </c>
      <c r="D1581" s="10">
        <v>266</v>
      </c>
      <c r="E1581" s="10" t="s">
        <v>32</v>
      </c>
    </row>
    <row r="1582" spans="1:19" x14ac:dyDescent="0.35">
      <c r="A1582" s="2">
        <v>42503</v>
      </c>
      <c r="B1582" s="40" t="s">
        <v>104</v>
      </c>
      <c r="C1582" s="10">
        <v>68</v>
      </c>
      <c r="D1582" s="10">
        <v>272</v>
      </c>
      <c r="E1582" s="10" t="s">
        <v>32</v>
      </c>
    </row>
    <row r="1583" spans="1:19" x14ac:dyDescent="0.35">
      <c r="A1583" s="2">
        <v>42503</v>
      </c>
      <c r="B1583" s="40" t="s">
        <v>104</v>
      </c>
      <c r="C1583" s="10">
        <v>81</v>
      </c>
      <c r="D1583" s="10">
        <v>469</v>
      </c>
      <c r="E1583" s="10" t="s">
        <v>32</v>
      </c>
      <c r="F1583" t="s">
        <v>161</v>
      </c>
    </row>
    <row r="1584" spans="1:19" x14ac:dyDescent="0.35">
      <c r="A1584" s="2">
        <v>42503</v>
      </c>
      <c r="B1584" s="40" t="s">
        <v>104</v>
      </c>
      <c r="C1584" s="10">
        <v>68</v>
      </c>
      <c r="D1584" s="10">
        <v>301</v>
      </c>
      <c r="E1584" s="10" t="s">
        <v>37</v>
      </c>
    </row>
    <row r="1585" spans="1:5" x14ac:dyDescent="0.35">
      <c r="A1585" s="2">
        <v>42503</v>
      </c>
      <c r="B1585" s="40" t="s">
        <v>104</v>
      </c>
      <c r="C1585" s="10">
        <v>76</v>
      </c>
      <c r="D1585" s="10">
        <v>447</v>
      </c>
      <c r="E1585" s="10" t="s">
        <v>159</v>
      </c>
    </row>
    <row r="1586" spans="1:5" x14ac:dyDescent="0.35">
      <c r="A1586" s="2">
        <v>42503</v>
      </c>
      <c r="B1586" s="40" t="s">
        <v>104</v>
      </c>
      <c r="C1586" s="10">
        <v>73</v>
      </c>
      <c r="D1586" s="10">
        <v>366</v>
      </c>
      <c r="E1586" s="10" t="s">
        <v>159</v>
      </c>
    </row>
    <row r="1587" spans="1:5" x14ac:dyDescent="0.35">
      <c r="A1587" s="2">
        <v>42503</v>
      </c>
      <c r="B1587" s="40" t="s">
        <v>104</v>
      </c>
      <c r="C1587" s="10">
        <v>68</v>
      </c>
      <c r="D1587" s="10">
        <v>262</v>
      </c>
      <c r="E1587" s="10" t="s">
        <v>37</v>
      </c>
    </row>
    <row r="1588" spans="1:5" x14ac:dyDescent="0.35">
      <c r="A1588" s="2">
        <v>42503</v>
      </c>
      <c r="B1588" s="40" t="s">
        <v>104</v>
      </c>
      <c r="C1588" s="10">
        <v>78</v>
      </c>
      <c r="D1588" s="10">
        <v>444</v>
      </c>
      <c r="E1588" s="10" t="s">
        <v>32</v>
      </c>
    </row>
    <row r="1589" spans="1:5" x14ac:dyDescent="0.35">
      <c r="A1589" s="2">
        <v>42503</v>
      </c>
      <c r="B1589" s="40" t="s">
        <v>104</v>
      </c>
      <c r="C1589" s="10">
        <v>73</v>
      </c>
      <c r="D1589" s="10">
        <v>380</v>
      </c>
      <c r="E1589" s="10" t="s">
        <v>37</v>
      </c>
    </row>
    <row r="1590" spans="1:5" x14ac:dyDescent="0.35">
      <c r="A1590" s="2">
        <v>42503</v>
      </c>
      <c r="B1590" s="40" t="s">
        <v>104</v>
      </c>
      <c r="C1590" s="10">
        <v>77</v>
      </c>
      <c r="D1590" s="10">
        <v>399</v>
      </c>
      <c r="E1590" s="10" t="s">
        <v>37</v>
      </c>
    </row>
    <row r="1591" spans="1:5" x14ac:dyDescent="0.35">
      <c r="A1591" s="2">
        <v>42503</v>
      </c>
      <c r="B1591" s="40" t="s">
        <v>104</v>
      </c>
      <c r="C1591" s="10">
        <v>66</v>
      </c>
      <c r="D1591" s="10">
        <v>294</v>
      </c>
      <c r="E1591" s="10" t="s">
        <v>32</v>
      </c>
    </row>
    <row r="1592" spans="1:5" x14ac:dyDescent="0.35">
      <c r="A1592" s="2">
        <v>42503</v>
      </c>
      <c r="B1592" s="40" t="s">
        <v>104</v>
      </c>
      <c r="C1592" s="10">
        <v>72</v>
      </c>
      <c r="D1592" s="10">
        <v>374</v>
      </c>
      <c r="E1592" s="10" t="s">
        <v>37</v>
      </c>
    </row>
    <row r="1593" spans="1:5" x14ac:dyDescent="0.35">
      <c r="A1593" s="2">
        <v>42503</v>
      </c>
      <c r="B1593" s="40" t="s">
        <v>104</v>
      </c>
      <c r="C1593" s="10">
        <v>67</v>
      </c>
      <c r="D1593" s="10">
        <v>270</v>
      </c>
      <c r="E1593" s="10" t="s">
        <v>37</v>
      </c>
    </row>
    <row r="1594" spans="1:5" x14ac:dyDescent="0.35">
      <c r="A1594" s="2">
        <v>42503</v>
      </c>
      <c r="B1594" s="40" t="s">
        <v>104</v>
      </c>
      <c r="C1594" s="10">
        <v>68</v>
      </c>
      <c r="D1594" s="10">
        <v>314</v>
      </c>
      <c r="E1594" s="10" t="s">
        <v>159</v>
      </c>
    </row>
    <row r="1595" spans="1:5" x14ac:dyDescent="0.35">
      <c r="A1595" s="2">
        <v>42503</v>
      </c>
      <c r="B1595" s="40" t="s">
        <v>104</v>
      </c>
      <c r="C1595" s="10">
        <v>70</v>
      </c>
      <c r="D1595" s="10">
        <v>307</v>
      </c>
      <c r="E1595" s="10" t="s">
        <v>32</v>
      </c>
    </row>
    <row r="1596" spans="1:5" x14ac:dyDescent="0.35">
      <c r="A1596" s="2">
        <v>42503</v>
      </c>
      <c r="B1596" s="40" t="s">
        <v>104</v>
      </c>
      <c r="C1596" s="10">
        <v>69</v>
      </c>
      <c r="D1596" s="10">
        <v>267</v>
      </c>
      <c r="E1596" s="10" t="s">
        <v>32</v>
      </c>
    </row>
    <row r="1597" spans="1:5" x14ac:dyDescent="0.35">
      <c r="A1597" s="2">
        <v>42503</v>
      </c>
      <c r="B1597" s="40" t="s">
        <v>104</v>
      </c>
      <c r="C1597" s="10">
        <v>71</v>
      </c>
      <c r="D1597" s="10">
        <v>427</v>
      </c>
      <c r="E1597" s="10" t="s">
        <v>32</v>
      </c>
    </row>
    <row r="1598" spans="1:5" x14ac:dyDescent="0.35">
      <c r="A1598" s="2">
        <v>42503</v>
      </c>
      <c r="B1598" s="40" t="s">
        <v>104</v>
      </c>
      <c r="C1598" s="10">
        <v>65</v>
      </c>
      <c r="D1598" s="10">
        <v>173</v>
      </c>
      <c r="E1598" s="10" t="s">
        <v>32</v>
      </c>
    </row>
    <row r="1599" spans="1:5" x14ac:dyDescent="0.35">
      <c r="A1599" s="2">
        <v>42503</v>
      </c>
      <c r="B1599" s="40" t="s">
        <v>104</v>
      </c>
      <c r="C1599" s="10">
        <v>78</v>
      </c>
      <c r="D1599" s="10">
        <v>440</v>
      </c>
      <c r="E1599" s="10" t="s">
        <v>32</v>
      </c>
    </row>
    <row r="1600" spans="1:5" x14ac:dyDescent="0.35">
      <c r="A1600" s="2">
        <v>42503</v>
      </c>
      <c r="B1600" s="40" t="s">
        <v>104</v>
      </c>
      <c r="C1600" s="10">
        <v>78</v>
      </c>
      <c r="D1600" s="10">
        <v>395</v>
      </c>
      <c r="E1600" s="10" t="s">
        <v>159</v>
      </c>
    </row>
    <row r="1601" spans="1:5" x14ac:dyDescent="0.35">
      <c r="A1601" s="2">
        <v>42503</v>
      </c>
      <c r="B1601" s="40" t="s">
        <v>104</v>
      </c>
      <c r="C1601" s="10">
        <v>66</v>
      </c>
      <c r="D1601" s="10">
        <v>258</v>
      </c>
      <c r="E1601" s="10" t="s">
        <v>37</v>
      </c>
    </row>
    <row r="1602" spans="1:5" x14ac:dyDescent="0.35">
      <c r="A1602" s="2">
        <v>42503</v>
      </c>
      <c r="B1602" s="40" t="s">
        <v>104</v>
      </c>
      <c r="C1602" s="10">
        <v>77</v>
      </c>
      <c r="D1602" s="10">
        <v>410</v>
      </c>
      <c r="E1602" s="10" t="s">
        <v>159</v>
      </c>
    </row>
    <row r="1603" spans="1:5" x14ac:dyDescent="0.35">
      <c r="A1603" s="2">
        <v>42503</v>
      </c>
      <c r="B1603" s="40" t="s">
        <v>104</v>
      </c>
      <c r="C1603" s="10">
        <v>77</v>
      </c>
      <c r="D1603" s="10">
        <v>433</v>
      </c>
      <c r="E1603" s="10" t="s">
        <v>32</v>
      </c>
    </row>
    <row r="1604" spans="1:5" x14ac:dyDescent="0.35">
      <c r="A1604" s="2">
        <v>42503</v>
      </c>
      <c r="B1604" s="40" t="s">
        <v>104</v>
      </c>
      <c r="C1604" s="10">
        <v>72</v>
      </c>
      <c r="D1604" s="10">
        <v>395</v>
      </c>
      <c r="E1604" s="10" t="s">
        <v>159</v>
      </c>
    </row>
    <row r="1605" spans="1:5" x14ac:dyDescent="0.35">
      <c r="A1605" s="2">
        <v>42503</v>
      </c>
      <c r="B1605" s="40" t="s">
        <v>104</v>
      </c>
      <c r="C1605" s="10">
        <v>75</v>
      </c>
      <c r="D1605" s="10">
        <v>266</v>
      </c>
      <c r="E1605" s="10" t="s">
        <v>32</v>
      </c>
    </row>
    <row r="1606" spans="1:5" x14ac:dyDescent="0.35">
      <c r="A1606" s="2">
        <v>42503</v>
      </c>
      <c r="B1606" s="40" t="s">
        <v>104</v>
      </c>
      <c r="C1606" s="10">
        <v>68</v>
      </c>
      <c r="D1606" s="10">
        <v>244</v>
      </c>
      <c r="E1606" s="10" t="s">
        <v>32</v>
      </c>
    </row>
    <row r="1607" spans="1:5" x14ac:dyDescent="0.35">
      <c r="A1607" s="2">
        <v>42503</v>
      </c>
      <c r="B1607" s="40" t="s">
        <v>104</v>
      </c>
      <c r="C1607" s="10">
        <v>66</v>
      </c>
      <c r="D1607" s="10">
        <v>297</v>
      </c>
      <c r="E1607" s="10" t="s">
        <v>159</v>
      </c>
    </row>
    <row r="1608" spans="1:5" x14ac:dyDescent="0.35">
      <c r="A1608" s="2">
        <v>42503</v>
      </c>
      <c r="B1608" s="40" t="s">
        <v>104</v>
      </c>
      <c r="C1608" s="10">
        <v>71</v>
      </c>
      <c r="D1608" s="10">
        <v>286</v>
      </c>
      <c r="E1608" s="10" t="s">
        <v>37</v>
      </c>
    </row>
    <row r="1609" spans="1:5" x14ac:dyDescent="0.35">
      <c r="A1609" s="2">
        <v>42503</v>
      </c>
      <c r="B1609" s="40" t="s">
        <v>104</v>
      </c>
      <c r="C1609" s="10">
        <v>96</v>
      </c>
      <c r="D1609" s="10">
        <v>997</v>
      </c>
      <c r="E1609" s="10" t="s">
        <v>98</v>
      </c>
    </row>
    <row r="1610" spans="1:5" s="4" customFormat="1" x14ac:dyDescent="0.35">
      <c r="A1610" s="3">
        <v>42503</v>
      </c>
      <c r="B1610" s="44" t="s">
        <v>104</v>
      </c>
      <c r="C1610" s="11">
        <v>138</v>
      </c>
      <c r="D1610" s="11">
        <v>4649</v>
      </c>
      <c r="E1610" s="11" t="s">
        <v>98</v>
      </c>
    </row>
    <row r="1611" spans="1:5" x14ac:dyDescent="0.35">
      <c r="A1611" s="2">
        <v>42503</v>
      </c>
      <c r="B1611" s="40" t="s">
        <v>102</v>
      </c>
      <c r="C1611" s="10">
        <v>69</v>
      </c>
      <c r="D1611" s="10">
        <v>342</v>
      </c>
      <c r="E1611" t="s">
        <v>32</v>
      </c>
    </row>
    <row r="1612" spans="1:5" x14ac:dyDescent="0.35">
      <c r="A1612" s="2">
        <v>42503</v>
      </c>
      <c r="B1612" s="40" t="s">
        <v>102</v>
      </c>
      <c r="C1612" s="10">
        <v>74</v>
      </c>
      <c r="D1612" s="10">
        <v>389</v>
      </c>
      <c r="E1612" t="s">
        <v>159</v>
      </c>
    </row>
    <row r="1613" spans="1:5" x14ac:dyDescent="0.35">
      <c r="A1613" s="2">
        <v>42503</v>
      </c>
      <c r="B1613" s="40" t="s">
        <v>102</v>
      </c>
      <c r="C1613" s="10">
        <v>74</v>
      </c>
      <c r="D1613" s="10">
        <v>288</v>
      </c>
      <c r="E1613" t="s">
        <v>32</v>
      </c>
    </row>
    <row r="1614" spans="1:5" x14ac:dyDescent="0.35">
      <c r="A1614" s="2">
        <v>42503</v>
      </c>
      <c r="B1614" s="40" t="s">
        <v>102</v>
      </c>
      <c r="C1614" s="10">
        <v>69</v>
      </c>
      <c r="D1614" s="10">
        <v>326</v>
      </c>
      <c r="E1614" t="s">
        <v>37</v>
      </c>
    </row>
    <row r="1615" spans="1:5" x14ac:dyDescent="0.35">
      <c r="A1615" s="2">
        <v>42503</v>
      </c>
      <c r="B1615" s="40" t="s">
        <v>102</v>
      </c>
      <c r="C1615" s="10">
        <v>72</v>
      </c>
      <c r="D1615" s="10">
        <v>356</v>
      </c>
      <c r="E1615" t="s">
        <v>159</v>
      </c>
    </row>
    <row r="1616" spans="1:5" x14ac:dyDescent="0.35">
      <c r="A1616" s="2">
        <v>42503</v>
      </c>
      <c r="B1616" s="40" t="s">
        <v>102</v>
      </c>
      <c r="C1616" s="10">
        <v>69</v>
      </c>
      <c r="D1616" s="10">
        <v>304</v>
      </c>
      <c r="E1616" t="s">
        <v>32</v>
      </c>
    </row>
    <row r="1617" spans="1:6" x14ac:dyDescent="0.35">
      <c r="A1617" s="2">
        <v>42503</v>
      </c>
      <c r="B1617" s="40" t="s">
        <v>102</v>
      </c>
      <c r="C1617" s="10">
        <v>72</v>
      </c>
      <c r="D1617" s="10">
        <v>373</v>
      </c>
      <c r="E1617" t="s">
        <v>32</v>
      </c>
    </row>
    <row r="1618" spans="1:6" x14ac:dyDescent="0.35">
      <c r="A1618" s="2">
        <v>42503</v>
      </c>
      <c r="B1618" s="40" t="s">
        <v>102</v>
      </c>
      <c r="C1618" s="10">
        <v>63</v>
      </c>
      <c r="D1618" s="10">
        <v>201</v>
      </c>
      <c r="E1618" t="s">
        <v>32</v>
      </c>
    </row>
    <row r="1619" spans="1:6" x14ac:dyDescent="0.35">
      <c r="A1619" s="2">
        <v>42503</v>
      </c>
      <c r="B1619" s="40" t="s">
        <v>102</v>
      </c>
      <c r="C1619" s="10">
        <v>72</v>
      </c>
      <c r="D1619" s="10">
        <v>330</v>
      </c>
      <c r="E1619" t="s">
        <v>32</v>
      </c>
    </row>
    <row r="1620" spans="1:6" x14ac:dyDescent="0.35">
      <c r="A1620" s="2">
        <v>42503</v>
      </c>
      <c r="B1620" s="40" t="s">
        <v>102</v>
      </c>
      <c r="C1620" s="10">
        <v>78</v>
      </c>
      <c r="D1620" s="10">
        <v>469</v>
      </c>
      <c r="E1620" t="s">
        <v>159</v>
      </c>
    </row>
    <row r="1621" spans="1:6" x14ac:dyDescent="0.35">
      <c r="A1621" s="2">
        <v>42503</v>
      </c>
      <c r="B1621" s="40" t="s">
        <v>102</v>
      </c>
      <c r="C1621" s="10">
        <v>70</v>
      </c>
      <c r="D1621" s="10">
        <v>369</v>
      </c>
      <c r="E1621" t="s">
        <v>37</v>
      </c>
    </row>
    <row r="1622" spans="1:6" x14ac:dyDescent="0.35">
      <c r="A1622" s="2">
        <v>42503</v>
      </c>
      <c r="B1622" s="40" t="s">
        <v>102</v>
      </c>
      <c r="C1622" s="10">
        <v>67</v>
      </c>
      <c r="D1622" s="10">
        <v>240</v>
      </c>
      <c r="E1622" t="s">
        <v>32</v>
      </c>
      <c r="F1622" t="s">
        <v>161</v>
      </c>
    </row>
    <row r="1623" spans="1:6" x14ac:dyDescent="0.35">
      <c r="A1623" s="2">
        <v>42503</v>
      </c>
      <c r="B1623" s="40" t="s">
        <v>102</v>
      </c>
      <c r="C1623" s="10">
        <v>75</v>
      </c>
      <c r="D1623" s="10">
        <v>339</v>
      </c>
      <c r="E1623" t="s">
        <v>32</v>
      </c>
    </row>
    <row r="1624" spans="1:6" x14ac:dyDescent="0.35">
      <c r="A1624" s="2">
        <v>42503</v>
      </c>
      <c r="B1624" s="40" t="s">
        <v>102</v>
      </c>
      <c r="C1624" s="10">
        <v>72</v>
      </c>
      <c r="D1624" s="10">
        <v>361</v>
      </c>
      <c r="E1624" t="s">
        <v>37</v>
      </c>
    </row>
    <row r="1625" spans="1:6" x14ac:dyDescent="0.35">
      <c r="A1625" s="2">
        <v>42503</v>
      </c>
      <c r="B1625" s="40" t="s">
        <v>102</v>
      </c>
      <c r="C1625" s="10">
        <v>72</v>
      </c>
      <c r="D1625" s="10">
        <v>424</v>
      </c>
      <c r="E1625" t="s">
        <v>159</v>
      </c>
    </row>
    <row r="1626" spans="1:6" x14ac:dyDescent="0.35">
      <c r="A1626" s="2">
        <v>42503</v>
      </c>
      <c r="B1626" s="40" t="s">
        <v>102</v>
      </c>
      <c r="C1626" s="10">
        <v>75</v>
      </c>
      <c r="D1626" s="10">
        <v>416</v>
      </c>
      <c r="E1626" t="s">
        <v>159</v>
      </c>
    </row>
    <row r="1627" spans="1:6" x14ac:dyDescent="0.35">
      <c r="A1627" s="2">
        <v>42503</v>
      </c>
      <c r="B1627" s="40" t="s">
        <v>102</v>
      </c>
      <c r="C1627" s="10">
        <v>75</v>
      </c>
      <c r="D1627" s="10">
        <v>393</v>
      </c>
      <c r="E1627" t="s">
        <v>159</v>
      </c>
    </row>
    <row r="1628" spans="1:6" x14ac:dyDescent="0.35">
      <c r="A1628" s="2">
        <v>42503</v>
      </c>
      <c r="B1628" s="40" t="s">
        <v>102</v>
      </c>
      <c r="C1628" s="10">
        <v>67</v>
      </c>
      <c r="D1628" s="10">
        <v>223</v>
      </c>
      <c r="E1628" t="s">
        <v>32</v>
      </c>
    </row>
    <row r="1629" spans="1:6" x14ac:dyDescent="0.35">
      <c r="A1629" s="2">
        <v>42503</v>
      </c>
      <c r="B1629" s="40" t="s">
        <v>102</v>
      </c>
      <c r="C1629" s="10">
        <v>123</v>
      </c>
      <c r="D1629" s="10">
        <v>3164</v>
      </c>
      <c r="E1629" t="s">
        <v>98</v>
      </c>
    </row>
    <row r="1630" spans="1:6" x14ac:dyDescent="0.35">
      <c r="A1630" s="2">
        <v>42503</v>
      </c>
      <c r="B1630" s="40" t="s">
        <v>102</v>
      </c>
      <c r="C1630" s="10">
        <v>108</v>
      </c>
      <c r="D1630" s="10">
        <v>1913</v>
      </c>
      <c r="E1630" t="s">
        <v>98</v>
      </c>
    </row>
    <row r="1631" spans="1:6" x14ac:dyDescent="0.35">
      <c r="A1631" s="2">
        <v>42503</v>
      </c>
      <c r="B1631" s="40" t="s">
        <v>102</v>
      </c>
      <c r="C1631" s="10">
        <v>101</v>
      </c>
      <c r="D1631" s="10">
        <v>1405</v>
      </c>
      <c r="E1631" t="s">
        <v>98</v>
      </c>
    </row>
    <row r="1632" spans="1:6" x14ac:dyDescent="0.35">
      <c r="A1632" s="2">
        <v>42503</v>
      </c>
      <c r="B1632" s="40" t="s">
        <v>102</v>
      </c>
      <c r="C1632" s="10">
        <v>114</v>
      </c>
      <c r="D1632" s="10">
        <v>1752</v>
      </c>
      <c r="E1632" t="s">
        <v>98</v>
      </c>
    </row>
    <row r="1633" spans="1:6" x14ac:dyDescent="0.35">
      <c r="A1633" s="2">
        <v>42503</v>
      </c>
      <c r="B1633" s="40" t="s">
        <v>102</v>
      </c>
      <c r="C1633" s="10">
        <v>104</v>
      </c>
      <c r="D1633" s="10">
        <v>1819</v>
      </c>
      <c r="E1633" t="s">
        <v>98</v>
      </c>
    </row>
    <row r="1634" spans="1:6" x14ac:dyDescent="0.35">
      <c r="A1634" s="2">
        <v>42503</v>
      </c>
      <c r="B1634" s="40" t="s">
        <v>102</v>
      </c>
      <c r="C1634" s="10">
        <v>118</v>
      </c>
      <c r="D1634" s="10">
        <v>2746</v>
      </c>
      <c r="E1634" t="s">
        <v>98</v>
      </c>
    </row>
    <row r="1635" spans="1:6" x14ac:dyDescent="0.35">
      <c r="A1635" s="2">
        <v>42503</v>
      </c>
      <c r="B1635" s="40" t="s">
        <v>102</v>
      </c>
      <c r="C1635" s="10">
        <v>107</v>
      </c>
      <c r="D1635" s="10">
        <v>2397</v>
      </c>
      <c r="E1635" t="s">
        <v>98</v>
      </c>
    </row>
    <row r="1636" spans="1:6" s="4" customFormat="1" x14ac:dyDescent="0.35">
      <c r="A1636" s="3">
        <v>42503</v>
      </c>
      <c r="B1636" s="44" t="s">
        <v>102</v>
      </c>
      <c r="C1636" s="11">
        <v>94</v>
      </c>
      <c r="D1636" s="11">
        <v>1003</v>
      </c>
      <c r="E1636" s="4" t="s">
        <v>98</v>
      </c>
    </row>
    <row r="1637" spans="1:6" x14ac:dyDescent="0.35">
      <c r="A1637" s="2">
        <v>42503</v>
      </c>
      <c r="B1637" s="40" t="s">
        <v>113</v>
      </c>
      <c r="C1637" s="10">
        <v>77</v>
      </c>
      <c r="D1637" s="10">
        <v>471</v>
      </c>
      <c r="E1637" s="10" t="s">
        <v>37</v>
      </c>
    </row>
    <row r="1638" spans="1:6" x14ac:dyDescent="0.35">
      <c r="A1638" s="2">
        <v>42503</v>
      </c>
      <c r="B1638" s="40" t="s">
        <v>113</v>
      </c>
      <c r="C1638" s="10">
        <v>77</v>
      </c>
      <c r="D1638" s="10">
        <v>435</v>
      </c>
      <c r="E1638" s="10" t="s">
        <v>159</v>
      </c>
    </row>
    <row r="1639" spans="1:6" x14ac:dyDescent="0.35">
      <c r="A1639" s="2">
        <v>42503</v>
      </c>
      <c r="B1639" s="40" t="s">
        <v>113</v>
      </c>
      <c r="C1639" s="10">
        <v>68</v>
      </c>
      <c r="D1639" s="10">
        <v>196</v>
      </c>
      <c r="E1639" s="10" t="s">
        <v>32</v>
      </c>
    </row>
    <row r="1640" spans="1:6" x14ac:dyDescent="0.35">
      <c r="A1640" s="2">
        <v>42503</v>
      </c>
      <c r="B1640" s="40" t="s">
        <v>113</v>
      </c>
      <c r="C1640" s="10">
        <v>69</v>
      </c>
      <c r="D1640" s="10">
        <v>305</v>
      </c>
      <c r="E1640" s="10" t="s">
        <v>32</v>
      </c>
    </row>
    <row r="1641" spans="1:6" x14ac:dyDescent="0.35">
      <c r="A1641" s="2">
        <v>42503</v>
      </c>
      <c r="B1641" s="40" t="s">
        <v>113</v>
      </c>
      <c r="C1641" s="10">
        <v>68</v>
      </c>
      <c r="D1641" s="10">
        <v>358</v>
      </c>
      <c r="E1641" s="10" t="s">
        <v>37</v>
      </c>
    </row>
    <row r="1642" spans="1:6" x14ac:dyDescent="0.35">
      <c r="A1642" s="2">
        <v>42503</v>
      </c>
      <c r="B1642" s="40" t="s">
        <v>113</v>
      </c>
      <c r="C1642" s="10">
        <v>72</v>
      </c>
      <c r="D1642" s="10">
        <v>421</v>
      </c>
      <c r="E1642" s="10" t="s">
        <v>159</v>
      </c>
    </row>
    <row r="1643" spans="1:6" x14ac:dyDescent="0.35">
      <c r="A1643" s="2">
        <v>42503</v>
      </c>
      <c r="B1643" s="40" t="s">
        <v>113</v>
      </c>
      <c r="C1643" s="10">
        <v>72</v>
      </c>
      <c r="D1643" s="10">
        <v>380</v>
      </c>
      <c r="E1643" s="10" t="s">
        <v>159</v>
      </c>
    </row>
    <row r="1644" spans="1:6" x14ac:dyDescent="0.35">
      <c r="A1644" s="2">
        <v>42503</v>
      </c>
      <c r="B1644" s="40" t="s">
        <v>113</v>
      </c>
      <c r="C1644" s="10">
        <v>69</v>
      </c>
      <c r="D1644" s="10">
        <v>297</v>
      </c>
      <c r="E1644" s="10" t="s">
        <v>37</v>
      </c>
    </row>
    <row r="1645" spans="1:6" x14ac:dyDescent="0.35">
      <c r="A1645" s="2">
        <v>42503</v>
      </c>
      <c r="B1645" s="40" t="s">
        <v>113</v>
      </c>
      <c r="C1645" s="10">
        <v>72</v>
      </c>
      <c r="D1645" s="10">
        <v>342</v>
      </c>
      <c r="E1645" s="10" t="s">
        <v>34</v>
      </c>
      <c r="F1645" t="s">
        <v>161</v>
      </c>
    </row>
    <row r="1646" spans="1:6" x14ac:dyDescent="0.35">
      <c r="A1646" s="2">
        <v>42503</v>
      </c>
      <c r="B1646" s="40" t="s">
        <v>113</v>
      </c>
      <c r="C1646" s="10">
        <v>69</v>
      </c>
      <c r="D1646" s="10">
        <v>360</v>
      </c>
      <c r="E1646" s="10" t="s">
        <v>37</v>
      </c>
    </row>
    <row r="1647" spans="1:6" x14ac:dyDescent="0.35">
      <c r="A1647" s="2">
        <v>42503</v>
      </c>
      <c r="B1647" s="40" t="s">
        <v>113</v>
      </c>
      <c r="C1647" s="10">
        <v>64</v>
      </c>
      <c r="D1647" s="10">
        <v>203</v>
      </c>
      <c r="E1647" s="10" t="s">
        <v>32</v>
      </c>
    </row>
    <row r="1648" spans="1:6" x14ac:dyDescent="0.35">
      <c r="A1648" s="2">
        <v>42503</v>
      </c>
      <c r="B1648" s="40" t="s">
        <v>113</v>
      </c>
      <c r="C1648" s="10">
        <v>61</v>
      </c>
      <c r="D1648" s="10">
        <v>214</v>
      </c>
      <c r="E1648" s="10" t="s">
        <v>32</v>
      </c>
    </row>
    <row r="1649" spans="1:6" x14ac:dyDescent="0.35">
      <c r="A1649" s="2">
        <v>42503</v>
      </c>
      <c r="B1649" s="40" t="s">
        <v>113</v>
      </c>
      <c r="C1649" s="10">
        <v>69</v>
      </c>
      <c r="D1649" s="10">
        <v>372</v>
      </c>
      <c r="E1649" s="10" t="s">
        <v>159</v>
      </c>
    </row>
    <row r="1650" spans="1:6" x14ac:dyDescent="0.35">
      <c r="A1650" s="2">
        <v>42503</v>
      </c>
      <c r="B1650" s="40" t="s">
        <v>113</v>
      </c>
      <c r="C1650" s="10">
        <v>113</v>
      </c>
      <c r="D1650" s="10">
        <v>1985</v>
      </c>
      <c r="E1650" s="10" t="s">
        <v>98</v>
      </c>
    </row>
    <row r="1651" spans="1:6" x14ac:dyDescent="0.35">
      <c r="A1651" s="2">
        <v>42503</v>
      </c>
      <c r="B1651" s="40" t="s">
        <v>113</v>
      </c>
      <c r="C1651" s="10">
        <v>96</v>
      </c>
      <c r="D1651" s="10">
        <v>958</v>
      </c>
      <c r="E1651" s="10" t="s">
        <v>98</v>
      </c>
    </row>
    <row r="1652" spans="1:6" x14ac:dyDescent="0.35">
      <c r="A1652" s="2">
        <v>42503</v>
      </c>
      <c r="B1652" s="40" t="s">
        <v>113</v>
      </c>
      <c r="C1652" s="10">
        <v>160</v>
      </c>
      <c r="D1652" s="10">
        <v>5359</v>
      </c>
      <c r="E1652" s="10" t="s">
        <v>98</v>
      </c>
    </row>
    <row r="1653" spans="1:6" x14ac:dyDescent="0.35">
      <c r="A1653" s="2">
        <v>42503</v>
      </c>
      <c r="B1653" s="40" t="s">
        <v>113</v>
      </c>
      <c r="C1653" s="10">
        <v>160</v>
      </c>
      <c r="D1653" s="10">
        <v>6268</v>
      </c>
      <c r="E1653" s="10" t="s">
        <v>98</v>
      </c>
    </row>
    <row r="1654" spans="1:6" x14ac:dyDescent="0.35">
      <c r="A1654" s="2">
        <v>42503</v>
      </c>
      <c r="B1654" s="40" t="s">
        <v>113</v>
      </c>
      <c r="C1654" s="10">
        <v>103</v>
      </c>
      <c r="D1654" s="10">
        <v>1450</v>
      </c>
      <c r="E1654" s="10" t="s">
        <v>98</v>
      </c>
    </row>
    <row r="1655" spans="1:6" x14ac:dyDescent="0.35">
      <c r="A1655" s="2">
        <v>42503</v>
      </c>
      <c r="B1655" s="40" t="s">
        <v>113</v>
      </c>
      <c r="C1655" s="10">
        <v>134</v>
      </c>
      <c r="D1655" s="10">
        <v>3259</v>
      </c>
      <c r="E1655" s="10" t="s">
        <v>98</v>
      </c>
    </row>
    <row r="1656" spans="1:6" x14ac:dyDescent="0.35">
      <c r="A1656" s="2">
        <v>42503</v>
      </c>
      <c r="B1656" s="40" t="s">
        <v>113</v>
      </c>
      <c r="C1656" s="10">
        <v>97</v>
      </c>
      <c r="D1656" s="10">
        <v>1170</v>
      </c>
      <c r="E1656" s="10" t="s">
        <v>98</v>
      </c>
    </row>
    <row r="1657" spans="1:6" s="4" customFormat="1" x14ac:dyDescent="0.35">
      <c r="A1657" s="3">
        <v>42503</v>
      </c>
      <c r="B1657" s="44" t="s">
        <v>113</v>
      </c>
      <c r="C1657" s="11">
        <v>99</v>
      </c>
      <c r="D1657" s="11">
        <v>1608</v>
      </c>
      <c r="E1657" s="11" t="s">
        <v>98</v>
      </c>
    </row>
    <row r="1658" spans="1:6" x14ac:dyDescent="0.35">
      <c r="A1658" s="2">
        <v>42503</v>
      </c>
      <c r="B1658" s="40" t="s">
        <v>63</v>
      </c>
      <c r="C1658" s="10">
        <v>65</v>
      </c>
      <c r="D1658" s="10">
        <v>289</v>
      </c>
      <c r="E1658" s="10" t="s">
        <v>159</v>
      </c>
    </row>
    <row r="1659" spans="1:6" x14ac:dyDescent="0.35">
      <c r="A1659" s="2">
        <v>42503</v>
      </c>
      <c r="B1659" s="40" t="s">
        <v>63</v>
      </c>
      <c r="C1659" s="10">
        <v>66</v>
      </c>
      <c r="D1659" s="10">
        <v>285</v>
      </c>
      <c r="E1659" s="10" t="s">
        <v>32</v>
      </c>
    </row>
    <row r="1660" spans="1:6" x14ac:dyDescent="0.35">
      <c r="A1660" s="2">
        <v>42503</v>
      </c>
      <c r="B1660" s="40" t="s">
        <v>63</v>
      </c>
      <c r="C1660" s="10">
        <v>68</v>
      </c>
      <c r="D1660" s="10">
        <v>325</v>
      </c>
      <c r="E1660" s="10" t="s">
        <v>32</v>
      </c>
      <c r="F1660" t="s">
        <v>161</v>
      </c>
    </row>
    <row r="1661" spans="1:6" x14ac:dyDescent="0.35">
      <c r="A1661" s="2">
        <v>42503</v>
      </c>
      <c r="B1661" s="40" t="s">
        <v>63</v>
      </c>
      <c r="C1661" s="10">
        <v>68</v>
      </c>
      <c r="D1661" s="10">
        <v>278</v>
      </c>
      <c r="E1661" s="10" t="s">
        <v>32</v>
      </c>
    </row>
    <row r="1662" spans="1:6" x14ac:dyDescent="0.35">
      <c r="A1662" s="2">
        <v>42503</v>
      </c>
      <c r="B1662" s="40" t="s">
        <v>63</v>
      </c>
      <c r="C1662" s="10">
        <v>68</v>
      </c>
      <c r="D1662" s="10">
        <v>285</v>
      </c>
      <c r="E1662" s="10" t="s">
        <v>37</v>
      </c>
    </row>
    <row r="1663" spans="1:6" x14ac:dyDescent="0.35">
      <c r="A1663" s="2">
        <v>42503</v>
      </c>
      <c r="B1663" s="40" t="s">
        <v>63</v>
      </c>
      <c r="C1663" s="10">
        <v>76</v>
      </c>
      <c r="D1663" s="10">
        <v>425</v>
      </c>
      <c r="E1663" s="10" t="s">
        <v>159</v>
      </c>
    </row>
    <row r="1664" spans="1:6" x14ac:dyDescent="0.35">
      <c r="A1664" s="2">
        <v>42503</v>
      </c>
      <c r="B1664" s="40" t="s">
        <v>63</v>
      </c>
      <c r="C1664" s="10">
        <v>78</v>
      </c>
      <c r="D1664" s="10">
        <v>408</v>
      </c>
      <c r="E1664" s="10" t="s">
        <v>37</v>
      </c>
    </row>
    <row r="1665" spans="1:5" x14ac:dyDescent="0.35">
      <c r="A1665" s="2">
        <v>42503</v>
      </c>
      <c r="B1665" s="40" t="s">
        <v>63</v>
      </c>
      <c r="C1665" s="10">
        <v>67</v>
      </c>
      <c r="D1665" s="10">
        <v>254</v>
      </c>
      <c r="E1665" s="10" t="s">
        <v>159</v>
      </c>
    </row>
    <row r="1666" spans="1:5" x14ac:dyDescent="0.35">
      <c r="A1666" s="2">
        <v>42503</v>
      </c>
      <c r="B1666" s="40" t="s">
        <v>63</v>
      </c>
      <c r="C1666" s="10">
        <v>68</v>
      </c>
      <c r="D1666" s="10">
        <v>276</v>
      </c>
      <c r="E1666" s="10" t="s">
        <v>32</v>
      </c>
    </row>
    <row r="1667" spans="1:5" x14ac:dyDescent="0.35">
      <c r="A1667" s="2">
        <v>42503</v>
      </c>
      <c r="B1667" s="40" t="s">
        <v>63</v>
      </c>
      <c r="C1667" s="10">
        <v>70</v>
      </c>
      <c r="D1667" s="10">
        <v>197</v>
      </c>
      <c r="E1667" s="10" t="s">
        <v>37</v>
      </c>
    </row>
    <row r="1668" spans="1:5" x14ac:dyDescent="0.35">
      <c r="A1668" s="2">
        <v>42503</v>
      </c>
      <c r="B1668" s="40" t="s">
        <v>63</v>
      </c>
      <c r="C1668" s="10">
        <v>92</v>
      </c>
      <c r="D1668" s="10">
        <v>1027</v>
      </c>
      <c r="E1668" s="10" t="s">
        <v>98</v>
      </c>
    </row>
    <row r="1669" spans="1:5" x14ac:dyDescent="0.35">
      <c r="A1669" s="2">
        <v>42503</v>
      </c>
      <c r="B1669" s="40" t="s">
        <v>63</v>
      </c>
      <c r="C1669" s="10">
        <v>113</v>
      </c>
      <c r="D1669" s="10">
        <v>2016</v>
      </c>
      <c r="E1669" s="10" t="s">
        <v>98</v>
      </c>
    </row>
    <row r="1670" spans="1:5" x14ac:dyDescent="0.35">
      <c r="A1670" s="2">
        <v>42503</v>
      </c>
      <c r="B1670" s="40" t="s">
        <v>63</v>
      </c>
      <c r="C1670" s="10">
        <v>104</v>
      </c>
      <c r="D1670" s="10">
        <v>1717</v>
      </c>
      <c r="E1670" s="10" t="s">
        <v>98</v>
      </c>
    </row>
    <row r="1671" spans="1:5" x14ac:dyDescent="0.35">
      <c r="A1671" s="2">
        <v>42503</v>
      </c>
      <c r="B1671" s="40" t="s">
        <v>63</v>
      </c>
      <c r="C1671" s="10">
        <v>118</v>
      </c>
      <c r="D1671" s="10">
        <v>1953</v>
      </c>
      <c r="E1671" s="10" t="s">
        <v>98</v>
      </c>
    </row>
    <row r="1672" spans="1:5" x14ac:dyDescent="0.35">
      <c r="A1672" s="2">
        <v>42503</v>
      </c>
      <c r="B1672" s="40" t="s">
        <v>63</v>
      </c>
      <c r="C1672" s="10">
        <v>109</v>
      </c>
      <c r="D1672" s="10">
        <v>1552</v>
      </c>
      <c r="E1672" s="10" t="s">
        <v>98</v>
      </c>
    </row>
    <row r="1673" spans="1:5" x14ac:dyDescent="0.35">
      <c r="A1673" s="2">
        <v>42503</v>
      </c>
      <c r="B1673" s="40" t="s">
        <v>63</v>
      </c>
      <c r="C1673" s="10">
        <v>113</v>
      </c>
      <c r="D1673" s="10">
        <v>2328</v>
      </c>
      <c r="E1673" s="10" t="s">
        <v>98</v>
      </c>
    </row>
    <row r="1674" spans="1:5" x14ac:dyDescent="0.35">
      <c r="A1674" s="2">
        <v>42503</v>
      </c>
      <c r="B1674" s="40" t="s">
        <v>63</v>
      </c>
      <c r="C1674" s="10">
        <v>93</v>
      </c>
      <c r="D1674" s="10">
        <v>1072</v>
      </c>
      <c r="E1674" s="10" t="s">
        <v>98</v>
      </c>
    </row>
    <row r="1675" spans="1:5" x14ac:dyDescent="0.35">
      <c r="A1675" s="2">
        <v>42503</v>
      </c>
      <c r="B1675" s="40" t="s">
        <v>63</v>
      </c>
      <c r="C1675" s="10">
        <v>113</v>
      </c>
      <c r="D1675" s="10">
        <v>1928</v>
      </c>
      <c r="E1675" s="10" t="s">
        <v>98</v>
      </c>
    </row>
    <row r="1676" spans="1:5" x14ac:dyDescent="0.35">
      <c r="A1676" s="2">
        <v>42503</v>
      </c>
      <c r="B1676" s="40" t="s">
        <v>63</v>
      </c>
      <c r="C1676" s="10">
        <v>94</v>
      </c>
      <c r="D1676" s="10">
        <v>1185</v>
      </c>
      <c r="E1676" s="10" t="s">
        <v>98</v>
      </c>
    </row>
    <row r="1677" spans="1:5" s="4" customFormat="1" x14ac:dyDescent="0.35">
      <c r="A1677" s="3">
        <v>42503</v>
      </c>
      <c r="B1677" s="44" t="s">
        <v>63</v>
      </c>
      <c r="C1677" s="11">
        <v>108</v>
      </c>
      <c r="D1677" s="11">
        <v>2140</v>
      </c>
      <c r="E1677" s="11" t="s">
        <v>98</v>
      </c>
    </row>
    <row r="1678" spans="1:5" x14ac:dyDescent="0.35">
      <c r="A1678" s="2">
        <v>42503</v>
      </c>
      <c r="B1678" s="40" t="s">
        <v>66</v>
      </c>
      <c r="C1678" s="10">
        <v>78</v>
      </c>
      <c r="D1678" s="10">
        <v>403</v>
      </c>
      <c r="E1678" t="s">
        <v>37</v>
      </c>
    </row>
    <row r="1679" spans="1:5" x14ac:dyDescent="0.35">
      <c r="A1679" s="2">
        <v>42503</v>
      </c>
      <c r="B1679" s="40" t="s">
        <v>66</v>
      </c>
      <c r="C1679" s="10">
        <v>65</v>
      </c>
      <c r="D1679" s="10">
        <v>279</v>
      </c>
      <c r="E1679" t="s">
        <v>159</v>
      </c>
    </row>
    <row r="1680" spans="1:5" x14ac:dyDescent="0.35">
      <c r="A1680" s="2">
        <v>42503</v>
      </c>
      <c r="B1680" s="40" t="s">
        <v>66</v>
      </c>
      <c r="C1680" s="10">
        <v>64</v>
      </c>
      <c r="D1680" s="10">
        <v>253</v>
      </c>
      <c r="E1680" t="s">
        <v>37</v>
      </c>
    </row>
    <row r="1681" spans="1:20" x14ac:dyDescent="0.35">
      <c r="A1681" s="2">
        <v>42503</v>
      </c>
      <c r="B1681" s="40" t="s">
        <v>66</v>
      </c>
      <c r="C1681" s="10">
        <v>72</v>
      </c>
      <c r="D1681" s="10">
        <v>306</v>
      </c>
      <c r="E1681" t="s">
        <v>159</v>
      </c>
    </row>
    <row r="1682" spans="1:20" x14ac:dyDescent="0.35">
      <c r="A1682" s="2">
        <v>42503</v>
      </c>
      <c r="B1682" s="40" t="s">
        <v>66</v>
      </c>
      <c r="C1682" s="10">
        <v>74</v>
      </c>
      <c r="D1682" s="10">
        <v>261</v>
      </c>
      <c r="E1682" t="s">
        <v>37</v>
      </c>
    </row>
    <row r="1683" spans="1:20" x14ac:dyDescent="0.35">
      <c r="A1683" s="2">
        <v>42503</v>
      </c>
      <c r="B1683" s="40" t="s">
        <v>66</v>
      </c>
      <c r="C1683" s="10">
        <v>73</v>
      </c>
      <c r="D1683" s="10">
        <v>299</v>
      </c>
      <c r="E1683" t="s">
        <v>32</v>
      </c>
    </row>
    <row r="1684" spans="1:20" x14ac:dyDescent="0.35">
      <c r="A1684" s="2">
        <v>42503</v>
      </c>
      <c r="B1684" s="40" t="s">
        <v>66</v>
      </c>
      <c r="C1684" s="10">
        <v>78</v>
      </c>
      <c r="D1684" s="10">
        <v>384</v>
      </c>
      <c r="E1684" t="s">
        <v>37</v>
      </c>
    </row>
    <row r="1685" spans="1:20" x14ac:dyDescent="0.35">
      <c r="A1685" s="2">
        <v>42503</v>
      </c>
      <c r="B1685" s="40" t="s">
        <v>66</v>
      </c>
      <c r="C1685" s="10">
        <v>76</v>
      </c>
      <c r="D1685" s="10">
        <v>415</v>
      </c>
      <c r="E1685" t="s">
        <v>37</v>
      </c>
    </row>
    <row r="1686" spans="1:20" x14ac:dyDescent="0.35">
      <c r="A1686" s="2">
        <v>42503</v>
      </c>
      <c r="B1686" s="40" t="s">
        <v>66</v>
      </c>
      <c r="C1686" s="10">
        <v>68</v>
      </c>
      <c r="D1686" s="10">
        <v>265</v>
      </c>
      <c r="E1686" t="s">
        <v>32</v>
      </c>
    </row>
    <row r="1687" spans="1:20" x14ac:dyDescent="0.35">
      <c r="A1687" s="2">
        <v>42503</v>
      </c>
      <c r="B1687" s="40" t="s">
        <v>66</v>
      </c>
      <c r="C1687" s="10">
        <v>78</v>
      </c>
      <c r="D1687" s="10">
        <v>496</v>
      </c>
      <c r="E1687" t="s">
        <v>159</v>
      </c>
    </row>
    <row r="1688" spans="1:20" x14ac:dyDescent="0.35">
      <c r="A1688" s="2">
        <v>42503</v>
      </c>
      <c r="B1688" s="40" t="s">
        <v>66</v>
      </c>
      <c r="C1688" s="10">
        <v>78</v>
      </c>
      <c r="D1688" s="10">
        <v>462</v>
      </c>
      <c r="E1688" t="s">
        <v>159</v>
      </c>
    </row>
    <row r="1689" spans="1:20" x14ac:dyDescent="0.35">
      <c r="A1689" s="2">
        <v>42503</v>
      </c>
      <c r="B1689" s="40" t="s">
        <v>66</v>
      </c>
      <c r="C1689" s="10">
        <v>69</v>
      </c>
      <c r="D1689" s="10">
        <v>304</v>
      </c>
      <c r="E1689" t="s">
        <v>37</v>
      </c>
    </row>
    <row r="1690" spans="1:20" x14ac:dyDescent="0.35">
      <c r="A1690" s="2">
        <v>42503</v>
      </c>
      <c r="B1690" s="40" t="s">
        <v>66</v>
      </c>
      <c r="C1690" s="10">
        <v>93</v>
      </c>
      <c r="D1690" s="10">
        <v>827</v>
      </c>
      <c r="E1690" t="s">
        <v>98</v>
      </c>
      <c r="G1690" t="s">
        <v>42</v>
      </c>
      <c r="H1690" t="s">
        <v>39</v>
      </c>
      <c r="I1690" t="s">
        <v>40</v>
      </c>
      <c r="J1690" t="s">
        <v>36</v>
      </c>
      <c r="K1690" t="s">
        <v>33</v>
      </c>
      <c r="L1690" t="s">
        <v>34</v>
      </c>
      <c r="M1690" t="s">
        <v>32</v>
      </c>
      <c r="N1690" t="s">
        <v>37</v>
      </c>
      <c r="O1690" t="s">
        <v>159</v>
      </c>
    </row>
    <row r="1691" spans="1:20" x14ac:dyDescent="0.35">
      <c r="A1691" s="2">
        <v>42503</v>
      </c>
      <c r="B1691" s="40" t="s">
        <v>66</v>
      </c>
      <c r="C1691" s="10">
        <v>97</v>
      </c>
      <c r="D1691" s="10">
        <v>1313</v>
      </c>
      <c r="E1691" t="s">
        <v>98</v>
      </c>
      <c r="G1691" s="5">
        <f>COUNTIF(E1571:E1692,"VA")</f>
        <v>0</v>
      </c>
      <c r="H1691" s="5">
        <f>COUNTIF(E1571:E1692,"VB")</f>
        <v>0</v>
      </c>
      <c r="I1691" s="5">
        <f>COUNTIF(E1571:E1692,"VIA0")</f>
        <v>0</v>
      </c>
      <c r="J1691" s="5">
        <f>COUNTIF(E1571:E1692,"VIA1")</f>
        <v>0</v>
      </c>
      <c r="K1691" s="5">
        <f>COUNTIF(E1555:E1692,"VIA2")</f>
        <v>0</v>
      </c>
      <c r="L1691" s="5">
        <f>COUNTIF(E1555:E1692,"VIA3")</f>
        <v>2</v>
      </c>
      <c r="M1691" s="5">
        <f>COUNTIF(E1555:E1692,"VIA4")</f>
        <v>47</v>
      </c>
      <c r="N1691" s="5">
        <f>COUNTIF(E1555:E1692,"VIB")</f>
        <v>26</v>
      </c>
      <c r="O1691" s="5">
        <f>COUNTIF(E1555:E1692,"VII")</f>
        <v>28</v>
      </c>
      <c r="T1691" s="42" t="e">
        <f>AVERAGE(#REF!,#REF!,#REF!,#REF!,#REF!,#REF!)</f>
        <v>#REF!</v>
      </c>
    </row>
    <row r="1692" spans="1:20" s="4" customFormat="1" x14ac:dyDescent="0.35">
      <c r="A1692" s="3">
        <v>42503</v>
      </c>
      <c r="B1692" s="44" t="s">
        <v>66</v>
      </c>
      <c r="C1692" s="11">
        <v>97</v>
      </c>
      <c r="D1692" s="11">
        <v>1105</v>
      </c>
      <c r="E1692" s="4" t="s">
        <v>98</v>
      </c>
      <c r="G1692" s="6">
        <f>G1691/50*100</f>
        <v>0</v>
      </c>
      <c r="H1692" s="6">
        <f t="shared" ref="H1692:K1692" si="69">H1691/50*100</f>
        <v>0</v>
      </c>
      <c r="I1692" s="6">
        <f t="shared" si="69"/>
        <v>0</v>
      </c>
      <c r="J1692" s="6">
        <f t="shared" si="69"/>
        <v>0</v>
      </c>
      <c r="K1692" s="6">
        <f t="shared" si="69"/>
        <v>0</v>
      </c>
      <c r="L1692" s="6">
        <f>L1691/103*100</f>
        <v>1.9417475728155338</v>
      </c>
      <c r="M1692" s="6">
        <f t="shared" ref="M1692:O1692" si="70">M1691/103*100</f>
        <v>45.631067961165051</v>
      </c>
      <c r="N1692" s="6">
        <f t="shared" si="70"/>
        <v>25.242718446601941</v>
      </c>
      <c r="O1692" s="6">
        <f t="shared" si="70"/>
        <v>27.184466019417474</v>
      </c>
      <c r="Q1692" s="4">
        <f>AVERAGE(C1678:C1689,C1658:C1667,C1637:C1649,C1611:C1628,C1577:C1608,C1555:C1572)</f>
        <v>71.097087378640779</v>
      </c>
      <c r="R1692" s="4">
        <f>AVERAGE(D1678:D1689,D1658:D1667,D1637:D1649,D1611:D1628,D1577:D1608,D1555:D1572)</f>
        <v>333.11650485436894</v>
      </c>
      <c r="T1692" s="4" t="e">
        <f>AVERAGE(#REF!,#REF!,#REF!,#REF!,#REF!,#REF!)</f>
        <v>#REF!</v>
      </c>
    </row>
    <row r="1693" spans="1:20" x14ac:dyDescent="0.35">
      <c r="A1693" s="2">
        <v>42503</v>
      </c>
      <c r="B1693" s="70" t="s">
        <v>38</v>
      </c>
      <c r="C1693" s="10">
        <v>69</v>
      </c>
      <c r="D1693" s="10">
        <v>338</v>
      </c>
      <c r="E1693" s="10" t="s">
        <v>32</v>
      </c>
    </row>
    <row r="1694" spans="1:20" x14ac:dyDescent="0.35">
      <c r="A1694" s="2">
        <v>42503</v>
      </c>
      <c r="B1694" s="70" t="s">
        <v>38</v>
      </c>
      <c r="C1694" s="10">
        <v>73</v>
      </c>
      <c r="D1694" s="10">
        <v>396</v>
      </c>
      <c r="E1694" s="10" t="s">
        <v>32</v>
      </c>
    </row>
    <row r="1695" spans="1:20" x14ac:dyDescent="0.35">
      <c r="A1695" s="2">
        <v>42503</v>
      </c>
      <c r="B1695" s="70" t="s">
        <v>38</v>
      </c>
      <c r="C1695" s="10">
        <v>67</v>
      </c>
      <c r="D1695" s="10">
        <v>235</v>
      </c>
      <c r="E1695" s="10" t="s">
        <v>159</v>
      </c>
    </row>
    <row r="1696" spans="1:20" x14ac:dyDescent="0.35">
      <c r="A1696" s="2">
        <v>42503</v>
      </c>
      <c r="B1696" s="70" t="s">
        <v>38</v>
      </c>
      <c r="C1696" s="10">
        <v>69</v>
      </c>
      <c r="D1696" s="10">
        <v>204</v>
      </c>
      <c r="E1696" s="10" t="s">
        <v>37</v>
      </c>
    </row>
    <row r="1697" spans="1:6" x14ac:dyDescent="0.35">
      <c r="A1697" s="2">
        <v>42503</v>
      </c>
      <c r="B1697" s="70" t="s">
        <v>38</v>
      </c>
      <c r="C1697" s="10">
        <v>72</v>
      </c>
      <c r="D1697" s="10">
        <v>352</v>
      </c>
      <c r="E1697" s="10" t="s">
        <v>32</v>
      </c>
    </row>
    <row r="1698" spans="1:6" x14ac:dyDescent="0.35">
      <c r="A1698" s="2">
        <v>42503</v>
      </c>
      <c r="B1698" s="70" t="s">
        <v>38</v>
      </c>
      <c r="C1698" s="10">
        <v>69</v>
      </c>
      <c r="D1698" s="10">
        <v>270</v>
      </c>
      <c r="E1698" s="10" t="s">
        <v>37</v>
      </c>
    </row>
    <row r="1699" spans="1:6" x14ac:dyDescent="0.35">
      <c r="A1699" s="2">
        <v>42503</v>
      </c>
      <c r="B1699" s="70" t="s">
        <v>38</v>
      </c>
      <c r="C1699" s="10">
        <v>78</v>
      </c>
      <c r="D1699" s="10">
        <v>397</v>
      </c>
      <c r="E1699" s="10" t="s">
        <v>37</v>
      </c>
    </row>
    <row r="1700" spans="1:6" x14ac:dyDescent="0.35">
      <c r="A1700" s="2">
        <v>42503</v>
      </c>
      <c r="B1700" s="70" t="s">
        <v>38</v>
      </c>
      <c r="C1700" s="10">
        <v>66</v>
      </c>
      <c r="D1700" s="10">
        <v>277</v>
      </c>
      <c r="E1700" s="10" t="s">
        <v>32</v>
      </c>
      <c r="F1700" t="s">
        <v>161</v>
      </c>
    </row>
    <row r="1701" spans="1:6" x14ac:dyDescent="0.35">
      <c r="A1701" s="2">
        <v>42503</v>
      </c>
      <c r="B1701" s="70" t="s">
        <v>38</v>
      </c>
      <c r="C1701" s="10">
        <v>68</v>
      </c>
      <c r="D1701" s="10">
        <v>261</v>
      </c>
      <c r="E1701" s="10" t="s">
        <v>32</v>
      </c>
    </row>
    <row r="1702" spans="1:6" x14ac:dyDescent="0.35">
      <c r="A1702" s="2">
        <v>42503</v>
      </c>
      <c r="B1702" s="70" t="s">
        <v>38</v>
      </c>
      <c r="C1702" s="10">
        <v>73</v>
      </c>
      <c r="D1702" s="10">
        <v>298</v>
      </c>
      <c r="E1702" s="10" t="s">
        <v>32</v>
      </c>
    </row>
    <row r="1703" spans="1:6" x14ac:dyDescent="0.35">
      <c r="A1703" s="2">
        <v>42503</v>
      </c>
      <c r="B1703" s="70" t="s">
        <v>38</v>
      </c>
      <c r="C1703" s="10">
        <v>74</v>
      </c>
      <c r="D1703" s="10">
        <v>343</v>
      </c>
      <c r="E1703" s="10" t="s">
        <v>159</v>
      </c>
    </row>
    <row r="1704" spans="1:6" x14ac:dyDescent="0.35">
      <c r="A1704" s="2">
        <v>42503</v>
      </c>
      <c r="B1704" s="70" t="s">
        <v>38</v>
      </c>
      <c r="C1704" s="10">
        <v>70</v>
      </c>
      <c r="D1704" s="10">
        <v>269</v>
      </c>
      <c r="E1704" s="10" t="s">
        <v>159</v>
      </c>
    </row>
    <row r="1705" spans="1:6" x14ac:dyDescent="0.35">
      <c r="A1705" s="2">
        <v>42503</v>
      </c>
      <c r="B1705" s="70" t="s">
        <v>38</v>
      </c>
      <c r="C1705" s="10">
        <v>68</v>
      </c>
      <c r="D1705" s="10">
        <v>255</v>
      </c>
      <c r="E1705" s="10" t="s">
        <v>32</v>
      </c>
      <c r="F1705" t="s">
        <v>161</v>
      </c>
    </row>
    <row r="1706" spans="1:6" x14ac:dyDescent="0.35">
      <c r="A1706" s="2">
        <v>42503</v>
      </c>
      <c r="B1706" s="70" t="s">
        <v>38</v>
      </c>
      <c r="C1706" s="10">
        <v>74</v>
      </c>
      <c r="D1706" s="10">
        <v>324</v>
      </c>
      <c r="E1706" s="10" t="s">
        <v>37</v>
      </c>
    </row>
    <row r="1707" spans="1:6" x14ac:dyDescent="0.35">
      <c r="A1707" s="2">
        <v>42503</v>
      </c>
      <c r="B1707" s="70" t="s">
        <v>38</v>
      </c>
      <c r="C1707" s="10">
        <v>82</v>
      </c>
      <c r="D1707" s="10">
        <v>392</v>
      </c>
      <c r="E1707" s="10" t="s">
        <v>159</v>
      </c>
    </row>
    <row r="1708" spans="1:6" x14ac:dyDescent="0.35">
      <c r="A1708" s="2">
        <v>42503</v>
      </c>
      <c r="B1708" s="70" t="s">
        <v>38</v>
      </c>
      <c r="C1708" s="10">
        <v>62</v>
      </c>
      <c r="D1708" s="10">
        <v>197</v>
      </c>
      <c r="E1708" s="10" t="s">
        <v>32</v>
      </c>
    </row>
    <row r="1709" spans="1:6" x14ac:dyDescent="0.35">
      <c r="A1709" s="2">
        <v>42503</v>
      </c>
      <c r="B1709" s="70" t="s">
        <v>38</v>
      </c>
      <c r="C1709" s="10">
        <v>73</v>
      </c>
      <c r="D1709" s="10">
        <v>285</v>
      </c>
      <c r="E1709" s="10" t="s">
        <v>37</v>
      </c>
    </row>
    <row r="1710" spans="1:6" x14ac:dyDescent="0.35">
      <c r="A1710" s="2">
        <v>42503</v>
      </c>
      <c r="B1710" s="70" t="s">
        <v>38</v>
      </c>
      <c r="C1710" s="10">
        <v>74</v>
      </c>
      <c r="D1710" s="10">
        <v>383</v>
      </c>
      <c r="E1710" s="10" t="s">
        <v>32</v>
      </c>
    </row>
    <row r="1711" spans="1:6" x14ac:dyDescent="0.35">
      <c r="A1711" s="2">
        <v>42503</v>
      </c>
      <c r="B1711" s="70" t="s">
        <v>38</v>
      </c>
      <c r="C1711" s="10">
        <v>69</v>
      </c>
      <c r="D1711" s="10">
        <v>271</v>
      </c>
      <c r="E1711" s="10" t="s">
        <v>32</v>
      </c>
      <c r="F1711" t="s">
        <v>161</v>
      </c>
    </row>
    <row r="1712" spans="1:6" x14ac:dyDescent="0.35">
      <c r="A1712" s="2">
        <v>42503</v>
      </c>
      <c r="B1712" s="70" t="s">
        <v>38</v>
      </c>
      <c r="C1712" s="10">
        <v>70</v>
      </c>
      <c r="D1712" s="10">
        <v>322</v>
      </c>
      <c r="E1712" s="10" t="s">
        <v>32</v>
      </c>
    </row>
    <row r="1713" spans="1:6" x14ac:dyDescent="0.35">
      <c r="A1713" s="2">
        <v>42503</v>
      </c>
      <c r="B1713" s="70" t="s">
        <v>38</v>
      </c>
      <c r="C1713" s="10">
        <v>72</v>
      </c>
      <c r="D1713" s="10">
        <v>351</v>
      </c>
      <c r="E1713" s="10" t="s">
        <v>32</v>
      </c>
      <c r="F1713" t="s">
        <v>161</v>
      </c>
    </row>
    <row r="1714" spans="1:6" x14ac:dyDescent="0.35">
      <c r="A1714" s="2">
        <v>42503</v>
      </c>
      <c r="B1714" s="70" t="s">
        <v>38</v>
      </c>
      <c r="C1714" s="10">
        <v>68</v>
      </c>
      <c r="D1714" s="10">
        <v>222</v>
      </c>
      <c r="E1714" s="10" t="s">
        <v>32</v>
      </c>
    </row>
    <row r="1715" spans="1:6" x14ac:dyDescent="0.35">
      <c r="A1715" s="2">
        <v>42503</v>
      </c>
      <c r="B1715" s="70" t="s">
        <v>38</v>
      </c>
      <c r="C1715" s="10">
        <v>74</v>
      </c>
      <c r="D1715" s="10">
        <v>315</v>
      </c>
      <c r="E1715" s="10" t="s">
        <v>159</v>
      </c>
    </row>
    <row r="1716" spans="1:6" x14ac:dyDescent="0.35">
      <c r="A1716" s="2">
        <v>42503</v>
      </c>
      <c r="B1716" s="70" t="s">
        <v>38</v>
      </c>
      <c r="C1716" s="10">
        <v>62</v>
      </c>
      <c r="D1716" s="10">
        <v>206</v>
      </c>
      <c r="E1716" s="10" t="s">
        <v>37</v>
      </c>
    </row>
    <row r="1717" spans="1:6" x14ac:dyDescent="0.35">
      <c r="A1717" s="2">
        <v>42503</v>
      </c>
      <c r="B1717" s="70" t="s">
        <v>38</v>
      </c>
      <c r="C1717" s="10">
        <v>75</v>
      </c>
      <c r="D1717" s="10">
        <v>348</v>
      </c>
      <c r="E1717" s="10" t="s">
        <v>32</v>
      </c>
    </row>
    <row r="1718" spans="1:6" x14ac:dyDescent="0.35">
      <c r="A1718" s="2">
        <v>42503</v>
      </c>
      <c r="B1718" s="70" t="s">
        <v>38</v>
      </c>
      <c r="C1718" s="10">
        <v>73</v>
      </c>
      <c r="D1718" s="10">
        <v>331</v>
      </c>
      <c r="E1718" s="10" t="s">
        <v>32</v>
      </c>
    </row>
    <row r="1719" spans="1:6" x14ac:dyDescent="0.35">
      <c r="A1719" s="2">
        <v>42503</v>
      </c>
      <c r="B1719" s="70" t="s">
        <v>38</v>
      </c>
      <c r="C1719" s="10">
        <v>74</v>
      </c>
      <c r="D1719" s="10">
        <v>361</v>
      </c>
      <c r="E1719" s="10" t="s">
        <v>159</v>
      </c>
    </row>
    <row r="1720" spans="1:6" x14ac:dyDescent="0.35">
      <c r="A1720" s="2">
        <v>42503</v>
      </c>
      <c r="B1720" s="70" t="s">
        <v>38</v>
      </c>
      <c r="C1720" s="10">
        <v>72</v>
      </c>
      <c r="D1720" s="10">
        <v>353</v>
      </c>
      <c r="E1720" s="10" t="s">
        <v>159</v>
      </c>
    </row>
    <row r="1721" spans="1:6" x14ac:dyDescent="0.35">
      <c r="A1721" s="2">
        <v>42503</v>
      </c>
      <c r="B1721" s="70" t="s">
        <v>38</v>
      </c>
      <c r="C1721" s="10">
        <v>68</v>
      </c>
      <c r="D1721" s="10">
        <v>240</v>
      </c>
      <c r="E1721" s="10" t="s">
        <v>32</v>
      </c>
    </row>
    <row r="1722" spans="1:6" x14ac:dyDescent="0.35">
      <c r="A1722" s="2">
        <v>42503</v>
      </c>
      <c r="B1722" s="70" t="s">
        <v>38</v>
      </c>
      <c r="C1722" s="10">
        <v>62</v>
      </c>
      <c r="D1722" s="10">
        <v>213</v>
      </c>
      <c r="E1722" s="10" t="s">
        <v>32</v>
      </c>
    </row>
    <row r="1723" spans="1:6" x14ac:dyDescent="0.35">
      <c r="A1723" s="2">
        <v>42503</v>
      </c>
      <c r="B1723" s="70" t="s">
        <v>38</v>
      </c>
      <c r="C1723" s="10">
        <v>63</v>
      </c>
      <c r="D1723" s="10">
        <v>217</v>
      </c>
      <c r="E1723" s="10" t="s">
        <v>32</v>
      </c>
    </row>
    <row r="1724" spans="1:6" x14ac:dyDescent="0.35">
      <c r="A1724" s="2">
        <v>42503</v>
      </c>
      <c r="B1724" s="70" t="s">
        <v>38</v>
      </c>
      <c r="C1724" s="10">
        <v>68</v>
      </c>
      <c r="D1724" s="10">
        <v>263</v>
      </c>
      <c r="E1724" s="10" t="s">
        <v>32</v>
      </c>
    </row>
    <row r="1725" spans="1:6" x14ac:dyDescent="0.35">
      <c r="A1725" s="2">
        <v>42503</v>
      </c>
      <c r="B1725" s="70" t="s">
        <v>38</v>
      </c>
      <c r="C1725" s="10">
        <v>70</v>
      </c>
      <c r="D1725" s="10">
        <v>314</v>
      </c>
      <c r="E1725" s="10" t="s">
        <v>159</v>
      </c>
      <c r="F1725" t="s">
        <v>162</v>
      </c>
    </row>
    <row r="1726" spans="1:6" x14ac:dyDescent="0.35">
      <c r="A1726" s="2">
        <v>42503</v>
      </c>
      <c r="B1726" s="70" t="s">
        <v>38</v>
      </c>
      <c r="C1726" s="10">
        <v>68</v>
      </c>
      <c r="D1726" s="10">
        <v>260</v>
      </c>
      <c r="E1726" s="10" t="s">
        <v>37</v>
      </c>
    </row>
    <row r="1727" spans="1:6" x14ac:dyDescent="0.35">
      <c r="A1727" s="2">
        <v>42503</v>
      </c>
      <c r="B1727" s="70" t="s">
        <v>38</v>
      </c>
      <c r="C1727" s="10">
        <v>66</v>
      </c>
      <c r="D1727" s="10">
        <v>255</v>
      </c>
      <c r="E1727" s="10" t="s">
        <v>32</v>
      </c>
    </row>
    <row r="1728" spans="1:6" x14ac:dyDescent="0.35">
      <c r="A1728" s="2">
        <v>42503</v>
      </c>
      <c r="B1728" s="70" t="s">
        <v>38</v>
      </c>
      <c r="C1728" s="10">
        <v>63</v>
      </c>
      <c r="D1728" s="10">
        <v>177</v>
      </c>
      <c r="E1728" s="10" t="s">
        <v>37</v>
      </c>
    </row>
    <row r="1729" spans="1:9" x14ac:dyDescent="0.35">
      <c r="A1729" s="2">
        <v>42503</v>
      </c>
      <c r="B1729" s="70" t="s">
        <v>38</v>
      </c>
      <c r="C1729" s="10">
        <v>68</v>
      </c>
      <c r="D1729" s="10">
        <v>264</v>
      </c>
      <c r="E1729" s="10" t="s">
        <v>32</v>
      </c>
    </row>
    <row r="1730" spans="1:9" x14ac:dyDescent="0.35">
      <c r="A1730" s="2">
        <v>42503</v>
      </c>
      <c r="B1730" s="70" t="s">
        <v>38</v>
      </c>
      <c r="C1730" s="10">
        <v>66</v>
      </c>
      <c r="D1730" s="10">
        <v>208</v>
      </c>
      <c r="E1730" s="10" t="s">
        <v>32</v>
      </c>
    </row>
    <row r="1731" spans="1:9" x14ac:dyDescent="0.35">
      <c r="A1731" s="2">
        <v>42503</v>
      </c>
      <c r="B1731" s="70" t="s">
        <v>38</v>
      </c>
      <c r="C1731" s="10">
        <v>72</v>
      </c>
      <c r="D1731" s="10">
        <v>321</v>
      </c>
      <c r="E1731" s="10" t="s">
        <v>32</v>
      </c>
      <c r="F1731" t="s">
        <v>161</v>
      </c>
    </row>
    <row r="1732" spans="1:9" x14ac:dyDescent="0.35">
      <c r="A1732" s="2">
        <v>42503</v>
      </c>
      <c r="B1732" s="70" t="s">
        <v>38</v>
      </c>
      <c r="C1732" s="10">
        <v>68</v>
      </c>
      <c r="D1732" s="10">
        <v>245</v>
      </c>
      <c r="E1732" s="10" t="s">
        <v>32</v>
      </c>
      <c r="F1732" t="s">
        <v>161</v>
      </c>
    </row>
    <row r="1733" spans="1:9" x14ac:dyDescent="0.35">
      <c r="A1733" s="2">
        <v>42503</v>
      </c>
      <c r="B1733" s="70" t="s">
        <v>38</v>
      </c>
      <c r="C1733" s="10">
        <v>72</v>
      </c>
      <c r="D1733" s="10">
        <v>243</v>
      </c>
      <c r="E1733" s="10" t="s">
        <v>32</v>
      </c>
    </row>
    <row r="1734" spans="1:9" x14ac:dyDescent="0.35">
      <c r="A1734" s="2">
        <v>42503</v>
      </c>
      <c r="B1734" s="70" t="s">
        <v>38</v>
      </c>
      <c r="C1734" s="10">
        <v>64</v>
      </c>
      <c r="D1734" s="10">
        <v>241</v>
      </c>
      <c r="E1734" s="10" t="s">
        <v>37</v>
      </c>
    </row>
    <row r="1735" spans="1:9" x14ac:dyDescent="0.35">
      <c r="A1735" s="2">
        <v>42503</v>
      </c>
      <c r="B1735" s="70" t="s">
        <v>38</v>
      </c>
      <c r="C1735" s="10">
        <v>76</v>
      </c>
      <c r="D1735" s="10">
        <v>334</v>
      </c>
      <c r="E1735" s="10" t="s">
        <v>32</v>
      </c>
    </row>
    <row r="1736" spans="1:9" x14ac:dyDescent="0.35">
      <c r="A1736" s="2">
        <v>42503</v>
      </c>
      <c r="B1736" s="70" t="s">
        <v>38</v>
      </c>
      <c r="C1736" s="10">
        <v>70</v>
      </c>
      <c r="D1736" s="10">
        <v>295</v>
      </c>
      <c r="E1736" s="10" t="s">
        <v>159</v>
      </c>
    </row>
    <row r="1737" spans="1:9" x14ac:dyDescent="0.35">
      <c r="A1737" s="2">
        <v>42503</v>
      </c>
      <c r="B1737" s="70" t="s">
        <v>38</v>
      </c>
      <c r="C1737" s="10">
        <v>76</v>
      </c>
      <c r="D1737" s="10">
        <v>352</v>
      </c>
      <c r="E1737" s="10" t="s">
        <v>37</v>
      </c>
    </row>
    <row r="1738" spans="1:9" x14ac:dyDescent="0.35">
      <c r="A1738" s="2">
        <v>42503</v>
      </c>
      <c r="B1738" s="70" t="s">
        <v>38</v>
      </c>
      <c r="C1738" s="10">
        <v>74</v>
      </c>
      <c r="D1738" s="10">
        <v>328</v>
      </c>
      <c r="E1738" s="10" t="s">
        <v>32</v>
      </c>
    </row>
    <row r="1739" spans="1:9" x14ac:dyDescent="0.35">
      <c r="A1739" s="2">
        <v>42503</v>
      </c>
      <c r="B1739" s="70" t="s">
        <v>38</v>
      </c>
      <c r="C1739" s="10">
        <v>71</v>
      </c>
      <c r="D1739" s="10">
        <v>275</v>
      </c>
      <c r="E1739" s="10" t="s">
        <v>32</v>
      </c>
    </row>
    <row r="1740" spans="1:9" x14ac:dyDescent="0.35">
      <c r="A1740" s="2">
        <v>42503</v>
      </c>
      <c r="B1740" s="70" t="s">
        <v>38</v>
      </c>
      <c r="C1740" s="10">
        <v>72</v>
      </c>
      <c r="D1740" s="10">
        <v>349</v>
      </c>
      <c r="E1740" s="10" t="s">
        <v>159</v>
      </c>
    </row>
    <row r="1741" spans="1:9" x14ac:dyDescent="0.35">
      <c r="A1741" s="2">
        <v>42503</v>
      </c>
      <c r="B1741" s="70" t="s">
        <v>38</v>
      </c>
      <c r="C1741" s="10">
        <v>72</v>
      </c>
      <c r="D1741" s="10">
        <v>306</v>
      </c>
      <c r="E1741" s="10" t="s">
        <v>32</v>
      </c>
      <c r="H1741" s="8"/>
      <c r="I1741" s="8"/>
    </row>
    <row r="1742" spans="1:9" x14ac:dyDescent="0.35">
      <c r="A1742" s="2">
        <v>42503</v>
      </c>
      <c r="B1742" s="70" t="s">
        <v>38</v>
      </c>
      <c r="C1742" s="10">
        <v>146</v>
      </c>
      <c r="D1742" s="10">
        <v>4200</v>
      </c>
      <c r="E1742" s="10" t="s">
        <v>98</v>
      </c>
    </row>
    <row r="1743" spans="1:9" x14ac:dyDescent="0.35">
      <c r="A1743" s="2">
        <v>42503</v>
      </c>
      <c r="B1743" s="70" t="s">
        <v>38</v>
      </c>
      <c r="C1743" s="10">
        <v>97</v>
      </c>
      <c r="D1743" s="10">
        <v>1126</v>
      </c>
      <c r="E1743" s="10" t="s">
        <v>98</v>
      </c>
    </row>
    <row r="1744" spans="1:9" x14ac:dyDescent="0.35">
      <c r="A1744" s="2">
        <v>42503</v>
      </c>
      <c r="B1744" s="70" t="s">
        <v>38</v>
      </c>
      <c r="C1744" s="10">
        <v>98</v>
      </c>
      <c r="D1744" s="10">
        <v>1073</v>
      </c>
      <c r="E1744" s="10" t="s">
        <v>98</v>
      </c>
    </row>
    <row r="1745" spans="1:5" x14ac:dyDescent="0.35">
      <c r="A1745" s="2">
        <v>42503</v>
      </c>
      <c r="B1745" s="70" t="s">
        <v>38</v>
      </c>
      <c r="C1745" s="10">
        <v>97</v>
      </c>
      <c r="D1745" s="10">
        <v>1016</v>
      </c>
      <c r="E1745" s="10" t="s">
        <v>98</v>
      </c>
    </row>
    <row r="1746" spans="1:5" x14ac:dyDescent="0.35">
      <c r="A1746" s="2">
        <v>42503</v>
      </c>
      <c r="B1746" s="70" t="s">
        <v>38</v>
      </c>
      <c r="C1746" s="10">
        <v>98</v>
      </c>
      <c r="D1746" s="10">
        <v>828</v>
      </c>
      <c r="E1746" s="10" t="s">
        <v>98</v>
      </c>
    </row>
    <row r="1747" spans="1:5" x14ac:dyDescent="0.35">
      <c r="A1747" s="2">
        <v>42503</v>
      </c>
      <c r="B1747" s="70" t="s">
        <v>38</v>
      </c>
      <c r="C1747" s="10">
        <v>93</v>
      </c>
      <c r="D1747" s="10">
        <v>819</v>
      </c>
      <c r="E1747" s="10" t="s">
        <v>98</v>
      </c>
    </row>
    <row r="1748" spans="1:5" x14ac:dyDescent="0.35">
      <c r="A1748" s="2">
        <v>42503</v>
      </c>
      <c r="B1748" s="70" t="s">
        <v>38</v>
      </c>
      <c r="C1748" s="10">
        <v>93</v>
      </c>
      <c r="D1748" s="10">
        <v>832</v>
      </c>
      <c r="E1748" s="10" t="s">
        <v>98</v>
      </c>
    </row>
    <row r="1749" spans="1:5" x14ac:dyDescent="0.35">
      <c r="A1749" s="2">
        <v>42503</v>
      </c>
      <c r="B1749" s="70" t="s">
        <v>38</v>
      </c>
      <c r="C1749" s="10">
        <v>109</v>
      </c>
      <c r="D1749" s="10">
        <v>1852</v>
      </c>
      <c r="E1749" s="10" t="s">
        <v>98</v>
      </c>
    </row>
    <row r="1750" spans="1:5" x14ac:dyDescent="0.35">
      <c r="A1750" s="2">
        <v>42503</v>
      </c>
      <c r="B1750" s="70" t="s">
        <v>38</v>
      </c>
      <c r="C1750" s="10">
        <v>107</v>
      </c>
      <c r="D1750" s="10">
        <v>1230</v>
      </c>
      <c r="E1750" s="10" t="s">
        <v>98</v>
      </c>
    </row>
    <row r="1751" spans="1:5" x14ac:dyDescent="0.35">
      <c r="A1751" s="2">
        <v>42503</v>
      </c>
      <c r="B1751" s="70" t="s">
        <v>38</v>
      </c>
      <c r="C1751" s="10">
        <v>92</v>
      </c>
      <c r="D1751" s="10">
        <v>944</v>
      </c>
      <c r="E1751" s="10" t="s">
        <v>98</v>
      </c>
    </row>
    <row r="1752" spans="1:5" x14ac:dyDescent="0.35">
      <c r="A1752" s="2">
        <v>42503</v>
      </c>
      <c r="B1752" s="70" t="s">
        <v>38</v>
      </c>
      <c r="C1752" s="10">
        <v>89</v>
      </c>
      <c r="D1752" s="10">
        <v>704</v>
      </c>
      <c r="E1752" s="10" t="s">
        <v>98</v>
      </c>
    </row>
    <row r="1753" spans="1:5" x14ac:dyDescent="0.35">
      <c r="A1753" s="2">
        <v>42503</v>
      </c>
      <c r="B1753" s="70" t="s">
        <v>38</v>
      </c>
      <c r="C1753" s="10">
        <v>103</v>
      </c>
      <c r="D1753" s="10">
        <v>1268</v>
      </c>
      <c r="E1753" s="10" t="s">
        <v>98</v>
      </c>
    </row>
    <row r="1754" spans="1:5" x14ac:dyDescent="0.35">
      <c r="A1754" s="2">
        <v>42503</v>
      </c>
      <c r="B1754" s="70" t="s">
        <v>38</v>
      </c>
      <c r="C1754" s="10">
        <v>107</v>
      </c>
      <c r="D1754" s="10">
        <v>1539</v>
      </c>
      <c r="E1754" s="10" t="s">
        <v>98</v>
      </c>
    </row>
    <row r="1755" spans="1:5" x14ac:dyDescent="0.35">
      <c r="A1755" s="2">
        <v>42503</v>
      </c>
      <c r="B1755" s="70" t="s">
        <v>38</v>
      </c>
      <c r="C1755" s="10">
        <v>102</v>
      </c>
      <c r="D1755" s="10">
        <v>980</v>
      </c>
      <c r="E1755" s="10" t="s">
        <v>98</v>
      </c>
    </row>
    <row r="1756" spans="1:5" x14ac:dyDescent="0.35">
      <c r="A1756" s="2">
        <v>42503</v>
      </c>
      <c r="B1756" s="70" t="s">
        <v>38</v>
      </c>
      <c r="C1756" s="10">
        <v>103</v>
      </c>
      <c r="D1756" s="10">
        <v>1179</v>
      </c>
      <c r="E1756" s="10" t="s">
        <v>98</v>
      </c>
    </row>
    <row r="1757" spans="1:5" x14ac:dyDescent="0.35">
      <c r="A1757" s="2">
        <v>42503</v>
      </c>
      <c r="B1757" s="70" t="s">
        <v>38</v>
      </c>
      <c r="C1757" s="10">
        <v>96</v>
      </c>
      <c r="D1757" s="10">
        <v>1025</v>
      </c>
      <c r="E1757" s="10" t="s">
        <v>98</v>
      </c>
    </row>
    <row r="1758" spans="1:5" x14ac:dyDescent="0.35">
      <c r="A1758" s="2">
        <v>42503</v>
      </c>
      <c r="B1758" s="70" t="s">
        <v>38</v>
      </c>
      <c r="C1758" s="10">
        <v>98</v>
      </c>
      <c r="D1758" s="10">
        <v>1065</v>
      </c>
      <c r="E1758" s="10" t="s">
        <v>98</v>
      </c>
    </row>
    <row r="1759" spans="1:5" x14ac:dyDescent="0.35">
      <c r="A1759" s="2">
        <v>42503</v>
      </c>
      <c r="B1759" s="70" t="s">
        <v>38</v>
      </c>
      <c r="C1759" s="10">
        <v>100</v>
      </c>
      <c r="D1759" s="10">
        <v>1204</v>
      </c>
      <c r="E1759" s="10" t="s">
        <v>98</v>
      </c>
    </row>
    <row r="1760" spans="1:5" x14ac:dyDescent="0.35">
      <c r="A1760" s="2">
        <v>42503</v>
      </c>
      <c r="B1760" s="70" t="s">
        <v>38</v>
      </c>
      <c r="C1760" s="10">
        <v>87</v>
      </c>
      <c r="D1760" s="10">
        <v>708</v>
      </c>
      <c r="E1760" s="10" t="s">
        <v>98</v>
      </c>
    </row>
    <row r="1761" spans="1:5" x14ac:dyDescent="0.35">
      <c r="A1761" s="2">
        <v>42503</v>
      </c>
      <c r="B1761" s="70" t="s">
        <v>38</v>
      </c>
      <c r="C1761" s="10">
        <v>103</v>
      </c>
      <c r="D1761" s="10">
        <v>1364</v>
      </c>
      <c r="E1761" s="10" t="s">
        <v>98</v>
      </c>
    </row>
    <row r="1762" spans="1:5" x14ac:dyDescent="0.35">
      <c r="A1762" s="2">
        <v>42503</v>
      </c>
      <c r="B1762" s="70" t="s">
        <v>38</v>
      </c>
      <c r="C1762" s="10">
        <v>94</v>
      </c>
      <c r="D1762" s="10">
        <v>1100</v>
      </c>
      <c r="E1762" s="10" t="s">
        <v>98</v>
      </c>
    </row>
    <row r="1763" spans="1:5" x14ac:dyDescent="0.35">
      <c r="A1763" s="2">
        <v>42503</v>
      </c>
      <c r="B1763" s="70" t="s">
        <v>38</v>
      </c>
      <c r="C1763" s="10">
        <v>172</v>
      </c>
      <c r="D1763" s="10">
        <v>5074</v>
      </c>
      <c r="E1763" s="10" t="s">
        <v>98</v>
      </c>
    </row>
    <row r="1764" spans="1:5" x14ac:dyDescent="0.35">
      <c r="A1764" s="2">
        <v>42503</v>
      </c>
      <c r="B1764" s="70" t="s">
        <v>38</v>
      </c>
      <c r="C1764" s="10">
        <v>117</v>
      </c>
      <c r="D1764" s="10">
        <v>1988</v>
      </c>
      <c r="E1764" s="10" t="s">
        <v>98</v>
      </c>
    </row>
    <row r="1765" spans="1:5" x14ac:dyDescent="0.35">
      <c r="A1765" s="2">
        <v>42503</v>
      </c>
      <c r="B1765" s="70" t="s">
        <v>38</v>
      </c>
      <c r="C1765" s="10">
        <v>109</v>
      </c>
      <c r="D1765" s="10">
        <v>1536</v>
      </c>
      <c r="E1765" s="10" t="s">
        <v>98</v>
      </c>
    </row>
    <row r="1766" spans="1:5" x14ac:dyDescent="0.35">
      <c r="A1766" s="2">
        <v>42503</v>
      </c>
      <c r="B1766" s="70" t="s">
        <v>38</v>
      </c>
      <c r="C1766" s="10">
        <v>92</v>
      </c>
      <c r="D1766" s="10">
        <v>883</v>
      </c>
      <c r="E1766" s="10" t="s">
        <v>98</v>
      </c>
    </row>
    <row r="1767" spans="1:5" x14ac:dyDescent="0.35">
      <c r="A1767" s="2">
        <v>42503</v>
      </c>
      <c r="B1767" s="70" t="s">
        <v>38</v>
      </c>
      <c r="C1767" s="10">
        <v>91</v>
      </c>
      <c r="D1767" s="10">
        <v>922</v>
      </c>
      <c r="E1767" s="10" t="s">
        <v>98</v>
      </c>
    </row>
    <row r="1768" spans="1:5" x14ac:dyDescent="0.35">
      <c r="A1768" s="2">
        <v>42503</v>
      </c>
      <c r="B1768" s="70" t="s">
        <v>38</v>
      </c>
      <c r="C1768" s="10">
        <v>97</v>
      </c>
      <c r="D1768" s="10">
        <v>977</v>
      </c>
      <c r="E1768" s="10" t="s">
        <v>98</v>
      </c>
    </row>
    <row r="1769" spans="1:5" x14ac:dyDescent="0.35">
      <c r="A1769" s="2">
        <v>42503</v>
      </c>
      <c r="B1769" s="70" t="s">
        <v>38</v>
      </c>
      <c r="C1769" s="10">
        <v>97</v>
      </c>
      <c r="D1769" s="10">
        <v>1374</v>
      </c>
      <c r="E1769" s="10" t="s">
        <v>98</v>
      </c>
    </row>
    <row r="1770" spans="1:5" x14ac:dyDescent="0.35">
      <c r="A1770" s="2">
        <v>42503</v>
      </c>
      <c r="B1770" s="70" t="s">
        <v>38</v>
      </c>
      <c r="C1770" s="10">
        <v>137</v>
      </c>
      <c r="D1770" s="10">
        <v>2446</v>
      </c>
      <c r="E1770" s="10" t="s">
        <v>98</v>
      </c>
    </row>
    <row r="1771" spans="1:5" x14ac:dyDescent="0.35">
      <c r="A1771" s="2">
        <v>42503</v>
      </c>
      <c r="B1771" s="70" t="s">
        <v>38</v>
      </c>
      <c r="C1771" s="10">
        <v>135</v>
      </c>
      <c r="D1771" s="10">
        <v>2448</v>
      </c>
      <c r="E1771" s="10" t="s">
        <v>98</v>
      </c>
    </row>
    <row r="1772" spans="1:5" x14ac:dyDescent="0.35">
      <c r="A1772" s="2">
        <v>42503</v>
      </c>
      <c r="B1772" s="70" t="s">
        <v>38</v>
      </c>
      <c r="C1772" s="10">
        <v>111</v>
      </c>
      <c r="D1772" s="10">
        <v>1476</v>
      </c>
      <c r="E1772" s="10" t="s">
        <v>98</v>
      </c>
    </row>
    <row r="1773" spans="1:5" x14ac:dyDescent="0.35">
      <c r="A1773" s="2">
        <v>42503</v>
      </c>
      <c r="B1773" s="70" t="s">
        <v>38</v>
      </c>
      <c r="C1773" s="10">
        <v>88</v>
      </c>
      <c r="D1773" s="10">
        <v>806</v>
      </c>
      <c r="E1773" s="10" t="s">
        <v>98</v>
      </c>
    </row>
    <row r="1774" spans="1:5" x14ac:dyDescent="0.35">
      <c r="A1774" s="2">
        <v>42503</v>
      </c>
      <c r="B1774" s="70" t="s">
        <v>38</v>
      </c>
      <c r="C1774" s="10">
        <v>97</v>
      </c>
      <c r="D1774" s="10">
        <v>957</v>
      </c>
      <c r="E1774" s="10" t="s">
        <v>98</v>
      </c>
    </row>
    <row r="1775" spans="1:5" x14ac:dyDescent="0.35">
      <c r="A1775" s="2">
        <v>42503</v>
      </c>
      <c r="B1775" s="70" t="s">
        <v>38</v>
      </c>
      <c r="C1775" s="10">
        <v>103</v>
      </c>
      <c r="D1775" s="10">
        <v>1062</v>
      </c>
      <c r="E1775" s="10" t="s">
        <v>98</v>
      </c>
    </row>
    <row r="1776" spans="1:5" x14ac:dyDescent="0.35">
      <c r="A1776" s="2">
        <v>42503</v>
      </c>
      <c r="B1776" s="70" t="s">
        <v>38</v>
      </c>
      <c r="C1776" s="10">
        <v>98</v>
      </c>
      <c r="D1776" s="10">
        <v>823</v>
      </c>
      <c r="E1776" s="10" t="s">
        <v>98</v>
      </c>
    </row>
    <row r="1777" spans="1:7" x14ac:dyDescent="0.35">
      <c r="A1777" s="2">
        <v>42503</v>
      </c>
      <c r="B1777" s="70" t="s">
        <v>38</v>
      </c>
      <c r="C1777" s="10">
        <v>97</v>
      </c>
      <c r="D1777" s="10">
        <v>1289</v>
      </c>
      <c r="E1777" s="10" t="s">
        <v>98</v>
      </c>
    </row>
    <row r="1778" spans="1:7" x14ac:dyDescent="0.35">
      <c r="A1778" s="2">
        <v>42503</v>
      </c>
      <c r="B1778" s="70" t="s">
        <v>38</v>
      </c>
      <c r="C1778" s="10">
        <v>103</v>
      </c>
      <c r="D1778" s="10">
        <v>1000</v>
      </c>
      <c r="E1778" s="10" t="s">
        <v>98</v>
      </c>
    </row>
    <row r="1779" spans="1:7" x14ac:dyDescent="0.35">
      <c r="A1779" s="2">
        <v>42503</v>
      </c>
      <c r="B1779" s="70" t="s">
        <v>38</v>
      </c>
      <c r="C1779" s="10">
        <v>104</v>
      </c>
      <c r="D1779" s="10">
        <v>1215</v>
      </c>
      <c r="E1779" s="10" t="s">
        <v>98</v>
      </c>
    </row>
    <row r="1780" spans="1:7" x14ac:dyDescent="0.35">
      <c r="A1780" s="2">
        <v>42503</v>
      </c>
      <c r="B1780" s="70" t="s">
        <v>38</v>
      </c>
      <c r="C1780" s="10">
        <v>124</v>
      </c>
      <c r="D1780" s="10">
        <v>2057</v>
      </c>
      <c r="E1780" s="10" t="s">
        <v>98</v>
      </c>
    </row>
    <row r="1781" spans="1:7" x14ac:dyDescent="0.35">
      <c r="A1781" s="2">
        <v>42503</v>
      </c>
      <c r="B1781" s="70" t="s">
        <v>38</v>
      </c>
      <c r="C1781" s="10">
        <v>119</v>
      </c>
      <c r="D1781" s="10">
        <v>2018</v>
      </c>
      <c r="E1781" s="10" t="s">
        <v>98</v>
      </c>
    </row>
    <row r="1782" spans="1:7" x14ac:dyDescent="0.35">
      <c r="A1782" s="2">
        <v>42503</v>
      </c>
      <c r="B1782" s="70" t="s">
        <v>38</v>
      </c>
      <c r="C1782" s="10">
        <v>104</v>
      </c>
      <c r="D1782" s="10">
        <v>1317</v>
      </c>
      <c r="E1782" s="10" t="s">
        <v>98</v>
      </c>
    </row>
    <row r="1783" spans="1:7" x14ac:dyDescent="0.35">
      <c r="A1783" s="2">
        <v>42503</v>
      </c>
      <c r="B1783" s="70" t="s">
        <v>38</v>
      </c>
      <c r="C1783" s="10">
        <v>94</v>
      </c>
      <c r="D1783" s="10">
        <v>1056</v>
      </c>
      <c r="E1783" s="10" t="s">
        <v>98</v>
      </c>
    </row>
    <row r="1784" spans="1:7" x14ac:dyDescent="0.35">
      <c r="A1784" s="2">
        <v>42503</v>
      </c>
      <c r="B1784" s="70" t="s">
        <v>38</v>
      </c>
      <c r="C1784" s="10">
        <v>119</v>
      </c>
      <c r="D1784" s="10">
        <v>1976</v>
      </c>
      <c r="E1784" s="10" t="s">
        <v>98</v>
      </c>
    </row>
    <row r="1785" spans="1:7" x14ac:dyDescent="0.35">
      <c r="A1785" s="2">
        <v>42503</v>
      </c>
      <c r="B1785" s="70" t="s">
        <v>38</v>
      </c>
      <c r="C1785" s="10">
        <v>102</v>
      </c>
      <c r="D1785" s="10">
        <v>1014</v>
      </c>
      <c r="E1785" s="10" t="s">
        <v>98</v>
      </c>
      <c r="G1785" s="42" t="e">
        <f>AVERAGE(#REF!)</f>
        <v>#REF!</v>
      </c>
    </row>
    <row r="1786" spans="1:7" x14ac:dyDescent="0.35">
      <c r="A1786" s="2">
        <v>42503</v>
      </c>
      <c r="B1786" s="70" t="s">
        <v>38</v>
      </c>
      <c r="C1786" s="10">
        <v>88</v>
      </c>
      <c r="D1786" s="10">
        <v>753</v>
      </c>
      <c r="E1786" s="10" t="s">
        <v>98</v>
      </c>
    </row>
    <row r="1787" spans="1:7" s="4" customFormat="1" x14ac:dyDescent="0.35">
      <c r="A1787" s="3">
        <v>42503</v>
      </c>
      <c r="B1787" s="44" t="s">
        <v>38</v>
      </c>
      <c r="C1787" s="11">
        <v>94</v>
      </c>
      <c r="D1787" s="11">
        <v>864</v>
      </c>
      <c r="E1787" s="11" t="s">
        <v>98</v>
      </c>
      <c r="G1787" s="51" t="e">
        <f>AVERAGE(#REF!)</f>
        <v>#REF!</v>
      </c>
    </row>
    <row r="1788" spans="1:7" x14ac:dyDescent="0.35">
      <c r="A1788" s="2">
        <v>42503</v>
      </c>
      <c r="B1788" s="70" t="s">
        <v>29</v>
      </c>
      <c r="C1788" s="10">
        <v>73</v>
      </c>
      <c r="D1788" s="10">
        <v>291</v>
      </c>
      <c r="E1788" s="10" t="s">
        <v>32</v>
      </c>
    </row>
    <row r="1789" spans="1:7" x14ac:dyDescent="0.35">
      <c r="A1789" s="2">
        <v>42503</v>
      </c>
      <c r="B1789" s="70" t="s">
        <v>29</v>
      </c>
      <c r="C1789" s="10">
        <v>69</v>
      </c>
      <c r="D1789" s="10">
        <v>265</v>
      </c>
      <c r="E1789" s="10" t="s">
        <v>32</v>
      </c>
    </row>
    <row r="1790" spans="1:7" x14ac:dyDescent="0.35">
      <c r="A1790" s="2">
        <v>42503</v>
      </c>
      <c r="B1790" s="70" t="s">
        <v>29</v>
      </c>
      <c r="C1790" s="10">
        <v>68</v>
      </c>
      <c r="D1790" s="10">
        <v>288</v>
      </c>
      <c r="E1790" s="10" t="s">
        <v>32</v>
      </c>
    </row>
    <row r="1791" spans="1:7" x14ac:dyDescent="0.35">
      <c r="A1791" s="2">
        <v>42503</v>
      </c>
      <c r="B1791" s="70" t="s">
        <v>29</v>
      </c>
      <c r="C1791" s="10">
        <v>72</v>
      </c>
      <c r="D1791" s="10">
        <v>275</v>
      </c>
      <c r="E1791" s="10" t="s">
        <v>32</v>
      </c>
    </row>
    <row r="1792" spans="1:7" x14ac:dyDescent="0.35">
      <c r="A1792" s="2">
        <v>42503</v>
      </c>
      <c r="B1792" s="70" t="s">
        <v>29</v>
      </c>
      <c r="C1792" s="10">
        <v>68</v>
      </c>
      <c r="D1792" s="10">
        <v>269</v>
      </c>
      <c r="E1792" s="10" t="s">
        <v>37</v>
      </c>
    </row>
    <row r="1793" spans="1:5" x14ac:dyDescent="0.35">
      <c r="A1793" s="2">
        <v>42503</v>
      </c>
      <c r="B1793" s="70" t="s">
        <v>29</v>
      </c>
      <c r="C1793" s="10">
        <v>72</v>
      </c>
      <c r="D1793" s="10">
        <v>317</v>
      </c>
      <c r="E1793" s="10" t="s">
        <v>37</v>
      </c>
    </row>
    <row r="1794" spans="1:5" x14ac:dyDescent="0.35">
      <c r="A1794" s="2">
        <v>42503</v>
      </c>
      <c r="B1794" s="70" t="s">
        <v>29</v>
      </c>
      <c r="C1794" s="10">
        <v>78</v>
      </c>
      <c r="D1794" s="10">
        <v>390</v>
      </c>
      <c r="E1794" s="10" t="s">
        <v>159</v>
      </c>
    </row>
    <row r="1795" spans="1:5" x14ac:dyDescent="0.35">
      <c r="A1795" s="2">
        <v>42503</v>
      </c>
      <c r="B1795" s="70" t="s">
        <v>29</v>
      </c>
      <c r="C1795" s="10">
        <v>68</v>
      </c>
      <c r="D1795" s="10">
        <v>265</v>
      </c>
      <c r="E1795" s="10" t="s">
        <v>32</v>
      </c>
    </row>
    <row r="1796" spans="1:5" x14ac:dyDescent="0.35">
      <c r="A1796" s="2">
        <v>42503</v>
      </c>
      <c r="B1796" s="70" t="s">
        <v>29</v>
      </c>
      <c r="C1796" s="10">
        <v>70</v>
      </c>
      <c r="D1796" s="10">
        <v>288</v>
      </c>
      <c r="E1796" s="10" t="s">
        <v>32</v>
      </c>
    </row>
    <row r="1797" spans="1:5" x14ac:dyDescent="0.35">
      <c r="A1797" s="2">
        <v>42503</v>
      </c>
      <c r="B1797" s="70" t="s">
        <v>29</v>
      </c>
      <c r="C1797" s="10">
        <v>70</v>
      </c>
      <c r="D1797" s="10">
        <v>233</v>
      </c>
      <c r="E1797" s="10" t="s">
        <v>32</v>
      </c>
    </row>
    <row r="1798" spans="1:5" x14ac:dyDescent="0.35">
      <c r="A1798" s="2">
        <v>42503</v>
      </c>
      <c r="B1798" s="70" t="s">
        <v>29</v>
      </c>
      <c r="C1798" s="10">
        <v>73</v>
      </c>
      <c r="D1798" s="10">
        <v>358</v>
      </c>
      <c r="E1798" s="10" t="s">
        <v>37</v>
      </c>
    </row>
    <row r="1799" spans="1:5" x14ac:dyDescent="0.35">
      <c r="A1799" s="2">
        <v>42503</v>
      </c>
      <c r="B1799" s="70" t="s">
        <v>29</v>
      </c>
      <c r="C1799" s="10">
        <v>72</v>
      </c>
      <c r="D1799" s="10">
        <v>236</v>
      </c>
      <c r="E1799" s="10" t="s">
        <v>32</v>
      </c>
    </row>
    <row r="1800" spans="1:5" x14ac:dyDescent="0.35">
      <c r="A1800" s="2">
        <v>42503</v>
      </c>
      <c r="B1800" s="70" t="s">
        <v>29</v>
      </c>
      <c r="C1800" s="10">
        <v>71</v>
      </c>
      <c r="D1800" s="10">
        <v>219</v>
      </c>
      <c r="E1800" s="10" t="s">
        <v>32</v>
      </c>
    </row>
    <row r="1801" spans="1:5" x14ac:dyDescent="0.35">
      <c r="A1801" s="2">
        <v>42503</v>
      </c>
      <c r="B1801" s="70" t="s">
        <v>29</v>
      </c>
      <c r="C1801" s="10">
        <v>64</v>
      </c>
      <c r="D1801" s="10">
        <v>215</v>
      </c>
      <c r="E1801" s="10" t="s">
        <v>32</v>
      </c>
    </row>
    <row r="1802" spans="1:5" x14ac:dyDescent="0.35">
      <c r="A1802" s="2">
        <v>42503</v>
      </c>
      <c r="B1802" s="70" t="s">
        <v>29</v>
      </c>
      <c r="C1802" s="10">
        <v>68</v>
      </c>
      <c r="D1802" s="10">
        <v>294</v>
      </c>
      <c r="E1802" s="10" t="s">
        <v>37</v>
      </c>
    </row>
    <row r="1803" spans="1:5" x14ac:dyDescent="0.35">
      <c r="A1803" s="2">
        <v>42503</v>
      </c>
      <c r="B1803" s="70" t="s">
        <v>29</v>
      </c>
      <c r="C1803" s="10">
        <v>69</v>
      </c>
      <c r="D1803" s="10">
        <v>239</v>
      </c>
      <c r="E1803" s="10" t="s">
        <v>37</v>
      </c>
    </row>
    <row r="1804" spans="1:5" x14ac:dyDescent="0.35">
      <c r="A1804" s="2">
        <v>42503</v>
      </c>
      <c r="B1804" s="70" t="s">
        <v>29</v>
      </c>
      <c r="C1804" s="10">
        <v>66</v>
      </c>
      <c r="D1804" s="10">
        <v>231</v>
      </c>
      <c r="E1804" s="10" t="s">
        <v>32</v>
      </c>
    </row>
    <row r="1805" spans="1:5" x14ac:dyDescent="0.35">
      <c r="A1805" s="2">
        <v>42503</v>
      </c>
      <c r="B1805" s="70" t="s">
        <v>29</v>
      </c>
      <c r="C1805" s="10">
        <v>67</v>
      </c>
      <c r="D1805" s="10">
        <v>203</v>
      </c>
      <c r="E1805" s="10" t="s">
        <v>37</v>
      </c>
    </row>
    <row r="1806" spans="1:5" x14ac:dyDescent="0.35">
      <c r="A1806" s="2">
        <v>42503</v>
      </c>
      <c r="B1806" s="70" t="s">
        <v>29</v>
      </c>
      <c r="C1806" s="10">
        <v>59</v>
      </c>
      <c r="D1806" s="10">
        <v>183</v>
      </c>
      <c r="E1806" s="10" t="s">
        <v>32</v>
      </c>
    </row>
    <row r="1807" spans="1:5" x14ac:dyDescent="0.35">
      <c r="A1807" s="2">
        <v>42503</v>
      </c>
      <c r="B1807" s="70" t="s">
        <v>29</v>
      </c>
      <c r="C1807" s="10">
        <v>70</v>
      </c>
      <c r="D1807" s="10">
        <v>280</v>
      </c>
      <c r="E1807" s="10" t="s">
        <v>32</v>
      </c>
    </row>
    <row r="1808" spans="1:5" x14ac:dyDescent="0.35">
      <c r="A1808" s="2">
        <v>42503</v>
      </c>
      <c r="B1808" s="70" t="s">
        <v>29</v>
      </c>
      <c r="C1808" s="10">
        <v>73</v>
      </c>
      <c r="D1808" s="10">
        <v>341</v>
      </c>
      <c r="E1808" s="10" t="s">
        <v>32</v>
      </c>
    </row>
    <row r="1809" spans="1:6" x14ac:dyDescent="0.35">
      <c r="A1809" s="2">
        <v>42503</v>
      </c>
      <c r="B1809" s="70" t="s">
        <v>29</v>
      </c>
      <c r="C1809" s="10">
        <v>72</v>
      </c>
      <c r="D1809" s="10">
        <v>260</v>
      </c>
      <c r="E1809" s="10" t="s">
        <v>159</v>
      </c>
    </row>
    <row r="1810" spans="1:6" x14ac:dyDescent="0.35">
      <c r="A1810" s="2">
        <v>42503</v>
      </c>
      <c r="B1810" s="70" t="s">
        <v>29</v>
      </c>
      <c r="C1810" s="10">
        <v>67</v>
      </c>
      <c r="D1810" s="10">
        <v>246</v>
      </c>
      <c r="E1810" s="10" t="s">
        <v>32</v>
      </c>
    </row>
    <row r="1811" spans="1:6" x14ac:dyDescent="0.35">
      <c r="A1811" s="2">
        <v>42503</v>
      </c>
      <c r="B1811" s="70" t="s">
        <v>29</v>
      </c>
      <c r="C1811" s="10">
        <v>73</v>
      </c>
      <c r="D1811" s="10">
        <v>296</v>
      </c>
      <c r="E1811" s="10" t="s">
        <v>159</v>
      </c>
    </row>
    <row r="1812" spans="1:6" x14ac:dyDescent="0.35">
      <c r="A1812" s="2">
        <v>42503</v>
      </c>
      <c r="B1812" s="70" t="s">
        <v>29</v>
      </c>
      <c r="C1812" s="10">
        <v>69</v>
      </c>
      <c r="D1812" s="10">
        <v>237</v>
      </c>
      <c r="E1812" s="10" t="s">
        <v>37</v>
      </c>
    </row>
    <row r="1813" spans="1:6" x14ac:dyDescent="0.35">
      <c r="A1813" s="2">
        <v>42503</v>
      </c>
      <c r="B1813" s="70" t="s">
        <v>29</v>
      </c>
      <c r="C1813" s="10">
        <v>62</v>
      </c>
      <c r="D1813" s="10">
        <v>219</v>
      </c>
      <c r="E1813" s="10" t="s">
        <v>37</v>
      </c>
    </row>
    <row r="1814" spans="1:6" x14ac:dyDescent="0.35">
      <c r="A1814" s="2">
        <v>42503</v>
      </c>
      <c r="B1814" s="70" t="s">
        <v>29</v>
      </c>
      <c r="C1814" s="10">
        <v>68</v>
      </c>
      <c r="D1814" s="10">
        <v>254</v>
      </c>
      <c r="E1814" s="10" t="s">
        <v>37</v>
      </c>
    </row>
    <row r="1815" spans="1:6" x14ac:dyDescent="0.35">
      <c r="A1815" s="2">
        <v>42503</v>
      </c>
      <c r="B1815" s="70" t="s">
        <v>29</v>
      </c>
      <c r="C1815" s="10">
        <v>67</v>
      </c>
      <c r="D1815" s="10">
        <v>275</v>
      </c>
      <c r="E1815" s="10" t="s">
        <v>32</v>
      </c>
      <c r="F1815" t="s">
        <v>161</v>
      </c>
    </row>
    <row r="1816" spans="1:6" x14ac:dyDescent="0.35">
      <c r="A1816" s="2">
        <v>42503</v>
      </c>
      <c r="B1816" s="70" t="s">
        <v>29</v>
      </c>
      <c r="C1816" s="10">
        <v>65</v>
      </c>
      <c r="D1816" s="10">
        <v>179</v>
      </c>
      <c r="E1816" s="10" t="s">
        <v>32</v>
      </c>
    </row>
    <row r="1817" spans="1:6" x14ac:dyDescent="0.35">
      <c r="A1817" s="2">
        <v>42503</v>
      </c>
      <c r="B1817" s="70" t="s">
        <v>29</v>
      </c>
      <c r="C1817" s="10">
        <v>68</v>
      </c>
      <c r="D1817" s="10">
        <v>250</v>
      </c>
      <c r="E1817" s="10" t="s">
        <v>159</v>
      </c>
    </row>
    <row r="1818" spans="1:6" x14ac:dyDescent="0.35">
      <c r="A1818" s="2">
        <v>42503</v>
      </c>
      <c r="B1818" s="70" t="s">
        <v>29</v>
      </c>
      <c r="C1818" s="10">
        <v>70</v>
      </c>
      <c r="D1818" s="10">
        <v>245</v>
      </c>
      <c r="E1818" s="10" t="s">
        <v>32</v>
      </c>
    </row>
    <row r="1819" spans="1:6" x14ac:dyDescent="0.35">
      <c r="A1819" s="2">
        <v>42503</v>
      </c>
      <c r="B1819" s="70" t="s">
        <v>29</v>
      </c>
      <c r="C1819" s="10">
        <v>72</v>
      </c>
      <c r="D1819" s="10">
        <v>284</v>
      </c>
      <c r="E1819" s="10" t="s">
        <v>37</v>
      </c>
    </row>
    <row r="1820" spans="1:6" x14ac:dyDescent="0.35">
      <c r="A1820" s="2">
        <v>42503</v>
      </c>
      <c r="B1820" s="70" t="s">
        <v>29</v>
      </c>
      <c r="C1820" s="10">
        <v>74</v>
      </c>
      <c r="D1820" s="10">
        <v>309</v>
      </c>
      <c r="E1820" s="10" t="s">
        <v>37</v>
      </c>
    </row>
    <row r="1821" spans="1:6" x14ac:dyDescent="0.35">
      <c r="A1821" s="2">
        <v>42503</v>
      </c>
      <c r="B1821" s="70" t="s">
        <v>29</v>
      </c>
      <c r="C1821" s="10">
        <v>70</v>
      </c>
      <c r="D1821" s="10">
        <v>279</v>
      </c>
      <c r="E1821" s="10" t="s">
        <v>37</v>
      </c>
    </row>
    <row r="1822" spans="1:6" x14ac:dyDescent="0.35">
      <c r="A1822" s="2">
        <v>42503</v>
      </c>
      <c r="B1822" s="70" t="s">
        <v>29</v>
      </c>
      <c r="C1822" s="10">
        <v>74</v>
      </c>
      <c r="D1822" s="10">
        <v>332</v>
      </c>
      <c r="E1822" s="10" t="s">
        <v>37</v>
      </c>
    </row>
    <row r="1823" spans="1:6" x14ac:dyDescent="0.35">
      <c r="A1823" s="2">
        <v>42503</v>
      </c>
      <c r="B1823" s="70" t="s">
        <v>29</v>
      </c>
      <c r="C1823" s="10">
        <v>68</v>
      </c>
      <c r="D1823" s="10">
        <v>258</v>
      </c>
      <c r="E1823" s="10" t="s">
        <v>37</v>
      </c>
    </row>
    <row r="1824" spans="1:6" x14ac:dyDescent="0.35">
      <c r="A1824" s="2">
        <v>42503</v>
      </c>
      <c r="B1824" s="70" t="s">
        <v>29</v>
      </c>
      <c r="C1824" s="10">
        <v>76</v>
      </c>
      <c r="D1824" s="10">
        <v>353</v>
      </c>
      <c r="E1824" s="10" t="s">
        <v>37</v>
      </c>
    </row>
    <row r="1825" spans="1:17" x14ac:dyDescent="0.35">
      <c r="A1825" s="2">
        <v>42503</v>
      </c>
      <c r="B1825" s="70" t="s">
        <v>29</v>
      </c>
      <c r="C1825" s="10">
        <v>67</v>
      </c>
      <c r="D1825" s="10">
        <v>213</v>
      </c>
      <c r="E1825" s="10" t="s">
        <v>32</v>
      </c>
    </row>
    <row r="1826" spans="1:17" x14ac:dyDescent="0.35">
      <c r="A1826" s="2">
        <v>42503</v>
      </c>
      <c r="B1826" s="70" t="s">
        <v>29</v>
      </c>
      <c r="C1826" s="10">
        <v>68</v>
      </c>
      <c r="D1826" s="10">
        <v>230</v>
      </c>
      <c r="E1826" s="10" t="s">
        <v>37</v>
      </c>
    </row>
    <row r="1827" spans="1:17" x14ac:dyDescent="0.35">
      <c r="A1827" s="2">
        <v>42503</v>
      </c>
      <c r="B1827" s="70" t="s">
        <v>29</v>
      </c>
      <c r="C1827" s="10">
        <v>72</v>
      </c>
      <c r="D1827" s="10">
        <v>292</v>
      </c>
      <c r="E1827" s="10" t="s">
        <v>37</v>
      </c>
    </row>
    <row r="1828" spans="1:17" x14ac:dyDescent="0.35">
      <c r="A1828" s="2">
        <v>42503</v>
      </c>
      <c r="B1828" s="70" t="s">
        <v>29</v>
      </c>
      <c r="C1828" s="10">
        <v>76</v>
      </c>
      <c r="D1828" s="10">
        <v>360</v>
      </c>
      <c r="E1828" s="10" t="s">
        <v>32</v>
      </c>
    </row>
    <row r="1829" spans="1:17" x14ac:dyDescent="0.35">
      <c r="A1829" s="2">
        <v>42503</v>
      </c>
      <c r="B1829" s="70" t="s">
        <v>29</v>
      </c>
      <c r="C1829" s="10">
        <v>77</v>
      </c>
      <c r="D1829" s="10">
        <v>350</v>
      </c>
      <c r="E1829" s="10" t="s">
        <v>159</v>
      </c>
    </row>
    <row r="1830" spans="1:17" x14ac:dyDescent="0.35">
      <c r="A1830" s="2">
        <v>42503</v>
      </c>
      <c r="B1830" s="70" t="s">
        <v>29</v>
      </c>
      <c r="C1830" s="10">
        <v>76</v>
      </c>
      <c r="D1830" s="10">
        <v>310</v>
      </c>
      <c r="E1830" s="10" t="s">
        <v>159</v>
      </c>
    </row>
    <row r="1831" spans="1:17" x14ac:dyDescent="0.35">
      <c r="A1831" s="2">
        <v>42503</v>
      </c>
      <c r="B1831" s="70" t="s">
        <v>29</v>
      </c>
      <c r="C1831" s="10">
        <v>72</v>
      </c>
      <c r="D1831" s="10">
        <v>265</v>
      </c>
      <c r="E1831" s="10" t="s">
        <v>32</v>
      </c>
      <c r="F1831" t="s">
        <v>161</v>
      </c>
    </row>
    <row r="1832" spans="1:17" x14ac:dyDescent="0.35">
      <c r="A1832" s="2">
        <v>42503</v>
      </c>
      <c r="B1832" s="70" t="s">
        <v>29</v>
      </c>
      <c r="C1832" s="10">
        <v>64</v>
      </c>
      <c r="D1832" s="10">
        <v>210</v>
      </c>
      <c r="E1832" s="10" t="s">
        <v>32</v>
      </c>
    </row>
    <row r="1833" spans="1:17" x14ac:dyDescent="0.35">
      <c r="A1833" s="2">
        <v>42503</v>
      </c>
      <c r="B1833" s="70" t="s">
        <v>29</v>
      </c>
      <c r="C1833" s="10">
        <v>73</v>
      </c>
      <c r="D1833" s="10">
        <v>293</v>
      </c>
      <c r="E1833" s="10" t="s">
        <v>32</v>
      </c>
    </row>
    <row r="1834" spans="1:17" x14ac:dyDescent="0.35">
      <c r="A1834" s="2">
        <v>42503</v>
      </c>
      <c r="B1834" s="70" t="s">
        <v>29</v>
      </c>
      <c r="C1834" s="10">
        <v>67</v>
      </c>
      <c r="D1834" s="10">
        <v>169</v>
      </c>
      <c r="E1834" s="10" t="s">
        <v>32</v>
      </c>
    </row>
    <row r="1835" spans="1:17" x14ac:dyDescent="0.35">
      <c r="A1835" s="2">
        <v>42503</v>
      </c>
      <c r="B1835" s="70" t="s">
        <v>29</v>
      </c>
      <c r="C1835" s="10">
        <v>69</v>
      </c>
      <c r="D1835" s="10">
        <v>259</v>
      </c>
      <c r="E1835" s="10" t="s">
        <v>37</v>
      </c>
      <c r="G1835" t="s">
        <v>42</v>
      </c>
      <c r="H1835" t="s">
        <v>39</v>
      </c>
      <c r="I1835" t="s">
        <v>40</v>
      </c>
      <c r="J1835" t="s">
        <v>36</v>
      </c>
      <c r="K1835" t="s">
        <v>33</v>
      </c>
      <c r="L1835" t="s">
        <v>34</v>
      </c>
      <c r="M1835" t="s">
        <v>32</v>
      </c>
      <c r="N1835" t="s">
        <v>37</v>
      </c>
      <c r="O1835" t="s">
        <v>159</v>
      </c>
      <c r="P1835" t="s">
        <v>43</v>
      </c>
      <c r="Q1835" t="s">
        <v>44</v>
      </c>
    </row>
    <row r="1836" spans="1:17" x14ac:dyDescent="0.35">
      <c r="A1836" s="2">
        <v>42503</v>
      </c>
      <c r="B1836" s="70" t="s">
        <v>29</v>
      </c>
      <c r="C1836" s="10">
        <v>70</v>
      </c>
      <c r="D1836" s="10">
        <v>276</v>
      </c>
      <c r="E1836" s="10" t="s">
        <v>37</v>
      </c>
      <c r="G1836" s="5">
        <f>COUNTIF(E1693:E1837,"VA")</f>
        <v>0</v>
      </c>
      <c r="H1836" s="5">
        <f>COUNTIF(E1693:E1837,"VB")</f>
        <v>0</v>
      </c>
      <c r="I1836" s="5">
        <f>COUNTIF(E1693:E1837,"VIA0")</f>
        <v>0</v>
      </c>
      <c r="J1836" s="5">
        <f>COUNTIF(E1693:E1837,"VIA1")</f>
        <v>0</v>
      </c>
      <c r="K1836" s="5">
        <f>COUNTIF(E1693:E1837,"VIA2")</f>
        <v>0</v>
      </c>
      <c r="L1836" s="5">
        <f>COUNTIF(E1693:E1837,"VIA3")</f>
        <v>0</v>
      </c>
      <c r="M1836" s="5">
        <f>COUNTIF(E1693:E1837,"VIA4")</f>
        <v>54</v>
      </c>
      <c r="N1836" s="5">
        <f>COUNTIF(E1693:E1837,"VIB")</f>
        <v>29</v>
      </c>
      <c r="O1836" s="5">
        <f>COUNTIF(E1693:E1837,"VII")</f>
        <v>16</v>
      </c>
      <c r="P1836" s="7">
        <f>AVERAGE(C1788:C1837,C1693:C1741)</f>
        <v>69.969696969696969</v>
      </c>
      <c r="Q1836" s="7">
        <f>AVERAGE(D1788:D1837,D1693:D1741)</f>
        <v>278.71717171717171</v>
      </c>
    </row>
    <row r="1837" spans="1:17" x14ac:dyDescent="0.35">
      <c r="A1837" s="2">
        <v>42503</v>
      </c>
      <c r="B1837" s="70" t="s">
        <v>29</v>
      </c>
      <c r="C1837" s="10">
        <v>62</v>
      </c>
      <c r="D1837" s="10">
        <v>154</v>
      </c>
      <c r="E1837" s="10" t="s">
        <v>32</v>
      </c>
      <c r="G1837" s="6">
        <f>G1836/99*100</f>
        <v>0</v>
      </c>
      <c r="H1837" s="6">
        <f t="shared" ref="H1837:O1837" si="71">H1836/99*100</f>
        <v>0</v>
      </c>
      <c r="I1837" s="6">
        <f t="shared" si="71"/>
        <v>0</v>
      </c>
      <c r="J1837" s="6">
        <f t="shared" si="71"/>
        <v>0</v>
      </c>
      <c r="K1837" s="6">
        <f t="shared" si="71"/>
        <v>0</v>
      </c>
      <c r="L1837" s="6">
        <f t="shared" si="71"/>
        <v>0</v>
      </c>
      <c r="M1837" s="6">
        <f t="shared" si="71"/>
        <v>54.54545454545454</v>
      </c>
      <c r="N1837" s="6">
        <f t="shared" si="71"/>
        <v>29.292929292929294</v>
      </c>
      <c r="O1837" s="6">
        <f t="shared" si="71"/>
        <v>16.161616161616163</v>
      </c>
      <c r="P1837" s="4"/>
      <c r="Q1837" s="4"/>
    </row>
    <row r="1838" spans="1:17" x14ac:dyDescent="0.35">
      <c r="A1838" s="2">
        <v>42503</v>
      </c>
      <c r="B1838" s="70" t="s">
        <v>29</v>
      </c>
      <c r="C1838" s="10">
        <v>128</v>
      </c>
      <c r="D1838" s="10">
        <v>2778</v>
      </c>
      <c r="E1838" s="10" t="s">
        <v>98</v>
      </c>
    </row>
    <row r="1839" spans="1:17" x14ac:dyDescent="0.35">
      <c r="A1839" s="2">
        <v>42503</v>
      </c>
      <c r="B1839" s="70" t="s">
        <v>29</v>
      </c>
      <c r="C1839" s="10">
        <v>107</v>
      </c>
      <c r="D1839" s="10">
        <v>1947</v>
      </c>
      <c r="E1839" s="10" t="s">
        <v>98</v>
      </c>
    </row>
    <row r="1840" spans="1:17" x14ac:dyDescent="0.35">
      <c r="A1840" s="2">
        <v>42503</v>
      </c>
      <c r="B1840" s="70" t="s">
        <v>29</v>
      </c>
      <c r="C1840" s="10">
        <v>99</v>
      </c>
      <c r="D1840" s="10">
        <v>1110</v>
      </c>
      <c r="E1840" s="10" t="s">
        <v>98</v>
      </c>
    </row>
    <row r="1841" spans="1:5" x14ac:dyDescent="0.35">
      <c r="A1841" s="2">
        <v>42503</v>
      </c>
      <c r="B1841" s="70" t="s">
        <v>29</v>
      </c>
      <c r="C1841" s="10">
        <v>92</v>
      </c>
      <c r="D1841" s="10">
        <v>823</v>
      </c>
      <c r="E1841" s="10" t="s">
        <v>98</v>
      </c>
    </row>
    <row r="1842" spans="1:5" x14ac:dyDescent="0.35">
      <c r="A1842" s="2">
        <v>42503</v>
      </c>
      <c r="B1842" s="70" t="s">
        <v>29</v>
      </c>
      <c r="C1842" s="10">
        <v>102</v>
      </c>
      <c r="D1842" s="10">
        <v>872</v>
      </c>
      <c r="E1842" s="10" t="s">
        <v>98</v>
      </c>
    </row>
    <row r="1843" spans="1:5" x14ac:dyDescent="0.35">
      <c r="A1843" s="2">
        <v>42503</v>
      </c>
      <c r="B1843" s="70" t="s">
        <v>29</v>
      </c>
      <c r="C1843" s="10">
        <v>118</v>
      </c>
      <c r="D1843" s="10">
        <v>1708</v>
      </c>
      <c r="E1843" s="10" t="s">
        <v>98</v>
      </c>
    </row>
    <row r="1844" spans="1:5" x14ac:dyDescent="0.35">
      <c r="A1844" s="2">
        <v>42503</v>
      </c>
      <c r="B1844" s="70" t="s">
        <v>29</v>
      </c>
      <c r="C1844" s="10">
        <v>111</v>
      </c>
      <c r="D1844" s="10">
        <v>1579</v>
      </c>
      <c r="E1844" s="10" t="s">
        <v>98</v>
      </c>
    </row>
    <row r="1845" spans="1:5" x14ac:dyDescent="0.35">
      <c r="A1845" s="2">
        <v>42503</v>
      </c>
      <c r="B1845" s="70" t="s">
        <v>29</v>
      </c>
      <c r="C1845" s="10">
        <v>113</v>
      </c>
      <c r="D1845" s="10">
        <v>1387</v>
      </c>
      <c r="E1845" s="10" t="s">
        <v>98</v>
      </c>
    </row>
    <row r="1846" spans="1:5" x14ac:dyDescent="0.35">
      <c r="A1846" s="2">
        <v>42503</v>
      </c>
      <c r="B1846" s="70" t="s">
        <v>29</v>
      </c>
      <c r="C1846" s="10">
        <v>112</v>
      </c>
      <c r="D1846" s="10">
        <v>1700</v>
      </c>
      <c r="E1846" s="10" t="s">
        <v>98</v>
      </c>
    </row>
    <row r="1847" spans="1:5" x14ac:dyDescent="0.35">
      <c r="A1847" s="2">
        <v>42503</v>
      </c>
      <c r="B1847" s="70" t="s">
        <v>29</v>
      </c>
      <c r="C1847" s="10">
        <v>102</v>
      </c>
      <c r="D1847" s="10">
        <v>1506</v>
      </c>
      <c r="E1847" s="10" t="s">
        <v>98</v>
      </c>
    </row>
    <row r="1848" spans="1:5" x14ac:dyDescent="0.35">
      <c r="A1848" s="2">
        <v>42503</v>
      </c>
      <c r="B1848" s="70" t="s">
        <v>29</v>
      </c>
      <c r="C1848" s="10">
        <v>103</v>
      </c>
      <c r="D1848" s="10">
        <v>1389</v>
      </c>
      <c r="E1848" s="10" t="s">
        <v>98</v>
      </c>
    </row>
    <row r="1849" spans="1:5" x14ac:dyDescent="0.35">
      <c r="A1849" s="2">
        <v>42503</v>
      </c>
      <c r="B1849" s="70" t="s">
        <v>29</v>
      </c>
      <c r="C1849" s="10">
        <v>97</v>
      </c>
      <c r="D1849" s="10">
        <v>938</v>
      </c>
      <c r="E1849" s="10" t="s">
        <v>98</v>
      </c>
    </row>
    <row r="1850" spans="1:5" x14ac:dyDescent="0.35">
      <c r="A1850" s="2">
        <v>42503</v>
      </c>
      <c r="B1850" s="70" t="s">
        <v>29</v>
      </c>
      <c r="C1850" s="10">
        <v>120</v>
      </c>
      <c r="D1850" s="10">
        <v>2289</v>
      </c>
      <c r="E1850" s="10" t="s">
        <v>98</v>
      </c>
    </row>
    <row r="1851" spans="1:5" x14ac:dyDescent="0.35">
      <c r="A1851" s="2">
        <v>42503</v>
      </c>
      <c r="B1851" s="70" t="s">
        <v>29</v>
      </c>
      <c r="C1851" s="10">
        <v>106</v>
      </c>
      <c r="D1851" s="10">
        <v>1390</v>
      </c>
      <c r="E1851" s="10" t="s">
        <v>98</v>
      </c>
    </row>
    <row r="1852" spans="1:5" x14ac:dyDescent="0.35">
      <c r="A1852" s="2">
        <v>42503</v>
      </c>
      <c r="B1852" s="70" t="s">
        <v>29</v>
      </c>
      <c r="C1852" s="10">
        <v>85</v>
      </c>
      <c r="D1852" s="10">
        <v>613</v>
      </c>
      <c r="E1852" s="10" t="s">
        <v>98</v>
      </c>
    </row>
    <row r="1853" spans="1:5" x14ac:dyDescent="0.35">
      <c r="A1853" s="2">
        <v>42503</v>
      </c>
      <c r="B1853" s="70" t="s">
        <v>29</v>
      </c>
      <c r="C1853" s="10">
        <v>94</v>
      </c>
      <c r="D1853" s="10">
        <v>970</v>
      </c>
      <c r="E1853" s="10" t="s">
        <v>98</v>
      </c>
    </row>
    <row r="1854" spans="1:5" x14ac:dyDescent="0.35">
      <c r="A1854" s="2">
        <v>42503</v>
      </c>
      <c r="B1854" s="70" t="s">
        <v>29</v>
      </c>
      <c r="C1854" s="10">
        <v>112</v>
      </c>
      <c r="D1854" s="10">
        <v>1567</v>
      </c>
      <c r="E1854" s="10" t="s">
        <v>98</v>
      </c>
    </row>
    <row r="1855" spans="1:5" x14ac:dyDescent="0.35">
      <c r="A1855" s="2">
        <v>42503</v>
      </c>
      <c r="B1855" s="70" t="s">
        <v>29</v>
      </c>
      <c r="C1855" s="10">
        <v>103</v>
      </c>
      <c r="D1855" s="10">
        <v>1368</v>
      </c>
      <c r="E1855" s="10" t="s">
        <v>98</v>
      </c>
    </row>
    <row r="1856" spans="1:5" x14ac:dyDescent="0.35">
      <c r="A1856" s="2">
        <v>42503</v>
      </c>
      <c r="B1856" s="70" t="s">
        <v>29</v>
      </c>
      <c r="C1856" s="10">
        <v>84</v>
      </c>
      <c r="D1856" s="10">
        <v>658</v>
      </c>
      <c r="E1856" s="10" t="s">
        <v>98</v>
      </c>
    </row>
    <row r="1857" spans="1:5" x14ac:dyDescent="0.35">
      <c r="A1857" s="2">
        <v>42503</v>
      </c>
      <c r="B1857" s="70" t="s">
        <v>29</v>
      </c>
      <c r="C1857" s="10">
        <v>102</v>
      </c>
      <c r="D1857" s="10">
        <v>1043</v>
      </c>
      <c r="E1857" s="10" t="s">
        <v>98</v>
      </c>
    </row>
    <row r="1858" spans="1:5" x14ac:dyDescent="0.35">
      <c r="A1858" s="2">
        <v>42503</v>
      </c>
      <c r="B1858" s="70" t="s">
        <v>29</v>
      </c>
      <c r="C1858" s="10">
        <v>97</v>
      </c>
      <c r="D1858" s="10">
        <v>971</v>
      </c>
      <c r="E1858" s="10" t="s">
        <v>98</v>
      </c>
    </row>
    <row r="1859" spans="1:5" x14ac:dyDescent="0.35">
      <c r="A1859" s="2">
        <v>42503</v>
      </c>
      <c r="B1859" s="70" t="s">
        <v>29</v>
      </c>
      <c r="C1859" s="10">
        <v>87</v>
      </c>
      <c r="D1859" s="10">
        <v>708</v>
      </c>
      <c r="E1859" s="10" t="s">
        <v>98</v>
      </c>
    </row>
    <row r="1860" spans="1:5" x14ac:dyDescent="0.35">
      <c r="A1860" s="2">
        <v>42503</v>
      </c>
      <c r="B1860" s="70" t="s">
        <v>29</v>
      </c>
      <c r="C1860" s="10">
        <v>99</v>
      </c>
      <c r="D1860" s="10">
        <v>993</v>
      </c>
      <c r="E1860" s="10" t="s">
        <v>98</v>
      </c>
    </row>
    <row r="1861" spans="1:5" x14ac:dyDescent="0.35">
      <c r="A1861" s="2">
        <v>42503</v>
      </c>
      <c r="B1861" s="70" t="s">
        <v>29</v>
      </c>
      <c r="C1861" s="10">
        <v>108</v>
      </c>
      <c r="D1861" s="10">
        <v>1638</v>
      </c>
      <c r="E1861" s="10" t="s">
        <v>98</v>
      </c>
    </row>
    <row r="1862" spans="1:5" x14ac:dyDescent="0.35">
      <c r="A1862" s="2">
        <v>42503</v>
      </c>
      <c r="B1862" s="70" t="s">
        <v>29</v>
      </c>
      <c r="C1862" s="10">
        <v>93</v>
      </c>
      <c r="D1862" s="10">
        <v>876</v>
      </c>
      <c r="E1862" s="10" t="s">
        <v>98</v>
      </c>
    </row>
    <row r="1863" spans="1:5" x14ac:dyDescent="0.35">
      <c r="A1863" s="2">
        <v>42503</v>
      </c>
      <c r="B1863" s="70" t="s">
        <v>29</v>
      </c>
      <c r="C1863" s="10">
        <v>104</v>
      </c>
      <c r="D1863" s="10">
        <v>1246</v>
      </c>
      <c r="E1863" s="10" t="s">
        <v>98</v>
      </c>
    </row>
    <row r="1864" spans="1:5" x14ac:dyDescent="0.35">
      <c r="A1864" s="2">
        <v>42503</v>
      </c>
      <c r="B1864" s="70" t="s">
        <v>29</v>
      </c>
      <c r="C1864" s="10">
        <v>87</v>
      </c>
      <c r="D1864" s="10">
        <v>692</v>
      </c>
      <c r="E1864" s="10" t="s">
        <v>98</v>
      </c>
    </row>
    <row r="1865" spans="1:5" x14ac:dyDescent="0.35">
      <c r="A1865" s="2">
        <v>42503</v>
      </c>
      <c r="B1865" s="70" t="s">
        <v>29</v>
      </c>
      <c r="C1865" s="10">
        <v>97</v>
      </c>
      <c r="D1865" s="10">
        <v>1253</v>
      </c>
      <c r="E1865" s="10" t="s">
        <v>98</v>
      </c>
    </row>
    <row r="1866" spans="1:5" x14ac:dyDescent="0.35">
      <c r="A1866" s="2">
        <v>42503</v>
      </c>
      <c r="B1866" s="70" t="s">
        <v>29</v>
      </c>
      <c r="C1866" s="10">
        <v>94</v>
      </c>
      <c r="D1866" s="10">
        <v>1000</v>
      </c>
      <c r="E1866" s="10" t="s">
        <v>98</v>
      </c>
    </row>
    <row r="1867" spans="1:5" x14ac:dyDescent="0.35">
      <c r="A1867" s="2">
        <v>42503</v>
      </c>
      <c r="B1867" s="70" t="s">
        <v>29</v>
      </c>
      <c r="C1867" s="10">
        <v>97</v>
      </c>
      <c r="D1867" s="10">
        <v>947</v>
      </c>
      <c r="E1867" s="10" t="s">
        <v>98</v>
      </c>
    </row>
    <row r="1868" spans="1:5" x14ac:dyDescent="0.35">
      <c r="A1868" s="2">
        <v>42503</v>
      </c>
      <c r="B1868" s="70" t="s">
        <v>29</v>
      </c>
      <c r="C1868" s="10">
        <v>94</v>
      </c>
      <c r="D1868" s="10">
        <v>975</v>
      </c>
      <c r="E1868" s="10" t="s">
        <v>98</v>
      </c>
    </row>
    <row r="1869" spans="1:5" x14ac:dyDescent="0.35">
      <c r="A1869" s="2">
        <v>42503</v>
      </c>
      <c r="B1869" s="70" t="s">
        <v>29</v>
      </c>
      <c r="C1869" s="10">
        <v>103</v>
      </c>
      <c r="D1869" s="10">
        <v>1002</v>
      </c>
      <c r="E1869" s="10" t="s">
        <v>98</v>
      </c>
    </row>
    <row r="1870" spans="1:5" x14ac:dyDescent="0.35">
      <c r="A1870" s="2">
        <v>42503</v>
      </c>
      <c r="B1870" s="70" t="s">
        <v>29</v>
      </c>
      <c r="C1870" s="10">
        <v>107</v>
      </c>
      <c r="D1870" s="10">
        <v>1378</v>
      </c>
      <c r="E1870" s="10" t="s">
        <v>98</v>
      </c>
    </row>
    <row r="1871" spans="1:5" x14ac:dyDescent="0.35">
      <c r="A1871" s="2">
        <v>42503</v>
      </c>
      <c r="B1871" s="70" t="s">
        <v>29</v>
      </c>
      <c r="C1871" s="10">
        <v>96</v>
      </c>
      <c r="D1871" s="10">
        <v>1040</v>
      </c>
      <c r="E1871" s="10" t="s">
        <v>98</v>
      </c>
    </row>
    <row r="1872" spans="1:5" x14ac:dyDescent="0.35">
      <c r="A1872" s="2">
        <v>42503</v>
      </c>
      <c r="B1872" s="70" t="s">
        <v>29</v>
      </c>
      <c r="C1872" s="10">
        <v>89</v>
      </c>
      <c r="D1872" s="10">
        <v>762</v>
      </c>
      <c r="E1872" s="10" t="s">
        <v>98</v>
      </c>
    </row>
    <row r="1873" spans="1:8" x14ac:dyDescent="0.35">
      <c r="A1873" s="2">
        <v>42503</v>
      </c>
      <c r="B1873" s="70" t="s">
        <v>29</v>
      </c>
      <c r="C1873" s="10">
        <v>94</v>
      </c>
      <c r="D1873" s="10">
        <v>912</v>
      </c>
      <c r="E1873" s="10" t="s">
        <v>98</v>
      </c>
    </row>
    <row r="1874" spans="1:8" x14ac:dyDescent="0.35">
      <c r="A1874" s="2">
        <v>42503</v>
      </c>
      <c r="B1874" s="70" t="s">
        <v>29</v>
      </c>
      <c r="C1874" s="10">
        <v>98</v>
      </c>
      <c r="D1874" s="10">
        <v>995</v>
      </c>
      <c r="E1874" s="10" t="s">
        <v>98</v>
      </c>
    </row>
    <row r="1875" spans="1:8" x14ac:dyDescent="0.35">
      <c r="A1875" s="2">
        <v>42503</v>
      </c>
      <c r="B1875" s="70" t="s">
        <v>29</v>
      </c>
      <c r="C1875" s="10">
        <v>92</v>
      </c>
      <c r="D1875" s="10">
        <v>987</v>
      </c>
      <c r="E1875" s="10" t="s">
        <v>98</v>
      </c>
    </row>
    <row r="1876" spans="1:8" x14ac:dyDescent="0.35">
      <c r="A1876" s="2">
        <v>42503</v>
      </c>
      <c r="B1876" s="70" t="s">
        <v>29</v>
      </c>
      <c r="C1876" s="10">
        <v>92</v>
      </c>
      <c r="D1876" s="10">
        <v>854</v>
      </c>
      <c r="E1876" s="10" t="s">
        <v>98</v>
      </c>
    </row>
    <row r="1877" spans="1:8" x14ac:dyDescent="0.35">
      <c r="A1877" s="2">
        <v>42503</v>
      </c>
      <c r="B1877" s="70" t="s">
        <v>29</v>
      </c>
      <c r="C1877" s="10">
        <v>103</v>
      </c>
      <c r="D1877" s="10">
        <v>1287</v>
      </c>
      <c r="E1877" s="10" t="s">
        <v>98</v>
      </c>
      <c r="G1877" s="42" t="e">
        <f>AVERAGE(#REF!)</f>
        <v>#REF!</v>
      </c>
    </row>
    <row r="1878" spans="1:8" x14ac:dyDescent="0.35">
      <c r="A1878" s="2">
        <v>42503</v>
      </c>
      <c r="B1878" s="70" t="s">
        <v>29</v>
      </c>
      <c r="C1878" s="10">
        <v>110</v>
      </c>
      <c r="D1878" s="10">
        <v>1365</v>
      </c>
      <c r="E1878" s="10" t="s">
        <v>98</v>
      </c>
      <c r="G1878" s="42" t="e">
        <f>AVERAGE(#REF!)</f>
        <v>#REF!</v>
      </c>
      <c r="H1878" s="42" t="e">
        <f>AVERAGE(#REF!,#REF!)</f>
        <v>#REF!</v>
      </c>
    </row>
    <row r="1879" spans="1:8" x14ac:dyDescent="0.35">
      <c r="A1879" s="2">
        <v>42503</v>
      </c>
      <c r="B1879" s="70" t="s">
        <v>29</v>
      </c>
      <c r="C1879" s="55">
        <v>82</v>
      </c>
      <c r="D1879" s="55">
        <v>616</v>
      </c>
      <c r="E1879" s="55" t="s">
        <v>159</v>
      </c>
    </row>
    <row r="1880" spans="1:8" s="4" customFormat="1" x14ac:dyDescent="0.35">
      <c r="A1880" s="3">
        <v>42503</v>
      </c>
      <c r="B1880" s="44" t="s">
        <v>29</v>
      </c>
      <c r="C1880" s="35">
        <v>80</v>
      </c>
      <c r="D1880" s="35">
        <v>584</v>
      </c>
      <c r="E1880" s="35" t="s">
        <v>159</v>
      </c>
      <c r="G1880" s="4">
        <f>AVERAGE(C1838:C1880,C1742:C1787)</f>
        <v>102.21348314606742</v>
      </c>
      <c r="H1880" s="4">
        <f>AVERAGE(D1838:D1880,D1742:D1787)</f>
        <v>1282.056179775281</v>
      </c>
    </row>
    <row r="1881" spans="1:8" x14ac:dyDescent="0.35">
      <c r="A1881" s="2">
        <v>42510</v>
      </c>
      <c r="B1881" s="70" t="s">
        <v>29</v>
      </c>
      <c r="C1881">
        <v>62</v>
      </c>
      <c r="D1881">
        <v>146</v>
      </c>
      <c r="E1881" t="s">
        <v>32</v>
      </c>
    </row>
    <row r="1882" spans="1:8" x14ac:dyDescent="0.35">
      <c r="A1882" s="2">
        <v>42510</v>
      </c>
      <c r="B1882" s="70" t="s">
        <v>29</v>
      </c>
      <c r="C1882">
        <v>67</v>
      </c>
      <c r="D1882">
        <v>280</v>
      </c>
      <c r="E1882" t="s">
        <v>159</v>
      </c>
    </row>
    <row r="1883" spans="1:8" x14ac:dyDescent="0.35">
      <c r="A1883" s="2">
        <v>42510</v>
      </c>
      <c r="B1883" s="70" t="s">
        <v>29</v>
      </c>
      <c r="C1883">
        <v>60</v>
      </c>
      <c r="D1883">
        <v>206</v>
      </c>
      <c r="E1883" t="s">
        <v>159</v>
      </c>
    </row>
    <row r="1884" spans="1:8" x14ac:dyDescent="0.35">
      <c r="A1884" s="2">
        <v>42510</v>
      </c>
      <c r="B1884" s="70" t="s">
        <v>29</v>
      </c>
      <c r="C1884">
        <v>69</v>
      </c>
      <c r="D1884">
        <v>223</v>
      </c>
      <c r="E1884" t="s">
        <v>37</v>
      </c>
    </row>
    <row r="1885" spans="1:8" x14ac:dyDescent="0.35">
      <c r="A1885" s="2">
        <v>42510</v>
      </c>
      <c r="B1885" s="70" t="s">
        <v>29</v>
      </c>
      <c r="C1885">
        <v>71</v>
      </c>
      <c r="D1885">
        <v>282</v>
      </c>
      <c r="E1885" t="s">
        <v>37</v>
      </c>
    </row>
    <row r="1886" spans="1:8" x14ac:dyDescent="0.35">
      <c r="A1886" s="2">
        <v>42510</v>
      </c>
      <c r="B1886" s="70" t="s">
        <v>29</v>
      </c>
      <c r="C1886">
        <v>74</v>
      </c>
      <c r="D1886">
        <v>338</v>
      </c>
      <c r="E1886" t="s">
        <v>159</v>
      </c>
    </row>
    <row r="1887" spans="1:8" x14ac:dyDescent="0.35">
      <c r="A1887" s="2">
        <v>42510</v>
      </c>
      <c r="B1887" s="70" t="s">
        <v>29</v>
      </c>
      <c r="C1887">
        <v>67</v>
      </c>
      <c r="D1887">
        <v>299</v>
      </c>
      <c r="E1887" t="s">
        <v>159</v>
      </c>
    </row>
    <row r="1888" spans="1:8" x14ac:dyDescent="0.35">
      <c r="A1888" s="2">
        <v>42510</v>
      </c>
      <c r="B1888" s="70" t="s">
        <v>29</v>
      </c>
      <c r="C1888">
        <v>68</v>
      </c>
      <c r="D1888">
        <v>283</v>
      </c>
      <c r="E1888" t="s">
        <v>159</v>
      </c>
    </row>
    <row r="1889" spans="1:5" x14ac:dyDescent="0.35">
      <c r="A1889" s="2">
        <v>42510</v>
      </c>
      <c r="B1889" s="70" t="s">
        <v>29</v>
      </c>
      <c r="C1889">
        <v>72</v>
      </c>
      <c r="D1889">
        <v>287</v>
      </c>
      <c r="E1889" t="s">
        <v>159</v>
      </c>
    </row>
    <row r="1890" spans="1:5" x14ac:dyDescent="0.35">
      <c r="A1890" s="2">
        <v>42510</v>
      </c>
      <c r="B1890" s="70" t="s">
        <v>29</v>
      </c>
      <c r="C1890">
        <v>67</v>
      </c>
      <c r="D1890">
        <v>242</v>
      </c>
      <c r="E1890" t="s">
        <v>159</v>
      </c>
    </row>
    <row r="1891" spans="1:5" x14ac:dyDescent="0.35">
      <c r="A1891" s="2">
        <v>42510</v>
      </c>
      <c r="B1891" s="70" t="s">
        <v>29</v>
      </c>
      <c r="C1891">
        <v>63</v>
      </c>
      <c r="D1891">
        <v>218</v>
      </c>
      <c r="E1891" t="s">
        <v>159</v>
      </c>
    </row>
    <row r="1892" spans="1:5" x14ac:dyDescent="0.35">
      <c r="A1892" s="2">
        <v>42510</v>
      </c>
      <c r="B1892" s="70" t="s">
        <v>29</v>
      </c>
      <c r="C1892">
        <v>66</v>
      </c>
      <c r="D1892">
        <v>303</v>
      </c>
      <c r="E1892" t="s">
        <v>159</v>
      </c>
    </row>
    <row r="1893" spans="1:5" x14ac:dyDescent="0.35">
      <c r="A1893" s="2">
        <v>42510</v>
      </c>
      <c r="B1893" s="70" t="s">
        <v>29</v>
      </c>
      <c r="C1893">
        <v>66</v>
      </c>
      <c r="D1893">
        <v>223</v>
      </c>
      <c r="E1893" t="s">
        <v>159</v>
      </c>
    </row>
    <row r="1894" spans="1:5" x14ac:dyDescent="0.35">
      <c r="A1894" s="2">
        <v>42510</v>
      </c>
      <c r="B1894" s="70" t="s">
        <v>29</v>
      </c>
      <c r="C1894">
        <v>72</v>
      </c>
      <c r="D1894">
        <v>363</v>
      </c>
      <c r="E1894" t="s">
        <v>159</v>
      </c>
    </row>
    <row r="1895" spans="1:5" x14ac:dyDescent="0.35">
      <c r="A1895" s="2">
        <v>42510</v>
      </c>
      <c r="B1895" s="70" t="s">
        <v>29</v>
      </c>
      <c r="C1895">
        <v>74</v>
      </c>
      <c r="D1895">
        <v>354</v>
      </c>
      <c r="E1895" t="s">
        <v>32</v>
      </c>
    </row>
    <row r="1896" spans="1:5" x14ac:dyDescent="0.35">
      <c r="A1896" s="2">
        <v>42510</v>
      </c>
      <c r="B1896" s="70" t="s">
        <v>29</v>
      </c>
      <c r="C1896">
        <v>67</v>
      </c>
      <c r="D1896">
        <v>276</v>
      </c>
      <c r="E1896" t="s">
        <v>159</v>
      </c>
    </row>
    <row r="1897" spans="1:5" x14ac:dyDescent="0.35">
      <c r="A1897" s="2">
        <v>42510</v>
      </c>
      <c r="B1897" s="70" t="s">
        <v>29</v>
      </c>
      <c r="C1897">
        <v>77</v>
      </c>
      <c r="D1897">
        <v>421</v>
      </c>
      <c r="E1897" t="s">
        <v>37</v>
      </c>
    </row>
    <row r="1898" spans="1:5" x14ac:dyDescent="0.35">
      <c r="A1898" s="2">
        <v>42510</v>
      </c>
      <c r="B1898" s="70" t="s">
        <v>29</v>
      </c>
      <c r="C1898">
        <v>72</v>
      </c>
      <c r="D1898">
        <v>380</v>
      </c>
      <c r="E1898" t="s">
        <v>159</v>
      </c>
    </row>
    <row r="1899" spans="1:5" x14ac:dyDescent="0.35">
      <c r="A1899" s="2">
        <v>42510</v>
      </c>
      <c r="B1899" s="70" t="s">
        <v>29</v>
      </c>
      <c r="C1899">
        <v>68</v>
      </c>
      <c r="D1899">
        <v>311</v>
      </c>
      <c r="E1899" t="s">
        <v>37</v>
      </c>
    </row>
    <row r="1900" spans="1:5" x14ac:dyDescent="0.35">
      <c r="A1900" s="2">
        <v>42510</v>
      </c>
      <c r="B1900" s="70" t="s">
        <v>29</v>
      </c>
      <c r="C1900">
        <v>69</v>
      </c>
      <c r="D1900">
        <v>300</v>
      </c>
      <c r="E1900" t="s">
        <v>159</v>
      </c>
    </row>
    <row r="1901" spans="1:5" x14ac:dyDescent="0.35">
      <c r="A1901" s="2">
        <v>42510</v>
      </c>
      <c r="B1901" s="70" t="s">
        <v>29</v>
      </c>
      <c r="C1901">
        <v>72</v>
      </c>
      <c r="D1901">
        <v>328</v>
      </c>
      <c r="E1901" t="s">
        <v>159</v>
      </c>
    </row>
    <row r="1902" spans="1:5" x14ac:dyDescent="0.35">
      <c r="A1902" s="2">
        <v>42510</v>
      </c>
      <c r="B1902" s="70" t="s">
        <v>29</v>
      </c>
      <c r="C1902">
        <v>68</v>
      </c>
      <c r="D1902">
        <v>253</v>
      </c>
      <c r="E1902" t="s">
        <v>32</v>
      </c>
    </row>
    <row r="1903" spans="1:5" x14ac:dyDescent="0.35">
      <c r="A1903" s="2">
        <v>42510</v>
      </c>
      <c r="B1903" s="70" t="s">
        <v>29</v>
      </c>
      <c r="C1903">
        <v>68</v>
      </c>
      <c r="D1903">
        <v>300</v>
      </c>
      <c r="E1903" t="s">
        <v>32</v>
      </c>
    </row>
    <row r="1904" spans="1:5" x14ac:dyDescent="0.35">
      <c r="A1904" s="2">
        <v>42510</v>
      </c>
      <c r="B1904" s="70" t="s">
        <v>29</v>
      </c>
      <c r="C1904">
        <v>67</v>
      </c>
      <c r="D1904">
        <v>249</v>
      </c>
      <c r="E1904" t="s">
        <v>159</v>
      </c>
    </row>
    <row r="1905" spans="1:5" x14ac:dyDescent="0.35">
      <c r="A1905" s="2">
        <v>42510</v>
      </c>
      <c r="B1905" s="70" t="s">
        <v>29</v>
      </c>
      <c r="C1905">
        <v>68</v>
      </c>
      <c r="D1905">
        <v>304</v>
      </c>
      <c r="E1905" t="s">
        <v>37</v>
      </c>
    </row>
    <row r="1906" spans="1:5" x14ac:dyDescent="0.35">
      <c r="A1906" s="2">
        <v>42510</v>
      </c>
      <c r="B1906" s="70" t="s">
        <v>29</v>
      </c>
      <c r="C1906">
        <v>68</v>
      </c>
      <c r="D1906">
        <v>248</v>
      </c>
      <c r="E1906" t="s">
        <v>37</v>
      </c>
    </row>
    <row r="1907" spans="1:5" x14ac:dyDescent="0.35">
      <c r="A1907" s="2">
        <v>42510</v>
      </c>
      <c r="B1907" s="70" t="s">
        <v>29</v>
      </c>
      <c r="C1907">
        <v>70</v>
      </c>
      <c r="D1907">
        <v>257</v>
      </c>
      <c r="E1907" t="s">
        <v>32</v>
      </c>
    </row>
    <row r="1908" spans="1:5" x14ac:dyDescent="0.35">
      <c r="A1908" s="2">
        <v>42510</v>
      </c>
      <c r="B1908" s="70" t="s">
        <v>29</v>
      </c>
      <c r="C1908">
        <v>68</v>
      </c>
      <c r="D1908">
        <v>264</v>
      </c>
      <c r="E1908" t="s">
        <v>159</v>
      </c>
    </row>
    <row r="1909" spans="1:5" x14ac:dyDescent="0.35">
      <c r="A1909" s="2">
        <v>42510</v>
      </c>
      <c r="B1909" s="70" t="s">
        <v>29</v>
      </c>
      <c r="C1909">
        <v>72</v>
      </c>
      <c r="D1909">
        <v>308</v>
      </c>
      <c r="E1909" t="s">
        <v>37</v>
      </c>
    </row>
    <row r="1910" spans="1:5" x14ac:dyDescent="0.35">
      <c r="A1910" s="2">
        <v>42510</v>
      </c>
      <c r="B1910" s="70" t="s">
        <v>29</v>
      </c>
      <c r="C1910">
        <v>68</v>
      </c>
      <c r="D1910">
        <v>231</v>
      </c>
      <c r="E1910" t="s">
        <v>37</v>
      </c>
    </row>
    <row r="1911" spans="1:5" x14ac:dyDescent="0.35">
      <c r="A1911" s="2">
        <v>42510</v>
      </c>
      <c r="B1911" s="70" t="s">
        <v>29</v>
      </c>
      <c r="C1911">
        <v>69</v>
      </c>
      <c r="D1911">
        <v>291</v>
      </c>
      <c r="E1911" t="s">
        <v>37</v>
      </c>
    </row>
    <row r="1912" spans="1:5" x14ac:dyDescent="0.35">
      <c r="A1912" s="2">
        <v>42510</v>
      </c>
      <c r="B1912" s="70" t="s">
        <v>29</v>
      </c>
      <c r="C1912">
        <v>62</v>
      </c>
      <c r="D1912">
        <v>182</v>
      </c>
      <c r="E1912" t="s">
        <v>37</v>
      </c>
    </row>
    <row r="1913" spans="1:5" x14ac:dyDescent="0.35">
      <c r="A1913" s="2">
        <v>42510</v>
      </c>
      <c r="B1913" s="70" t="s">
        <v>29</v>
      </c>
      <c r="C1913">
        <v>72</v>
      </c>
      <c r="D1913">
        <v>299</v>
      </c>
      <c r="E1913" t="s">
        <v>159</v>
      </c>
    </row>
    <row r="1914" spans="1:5" x14ac:dyDescent="0.35">
      <c r="A1914" s="2">
        <v>42510</v>
      </c>
      <c r="B1914" s="70" t="s">
        <v>29</v>
      </c>
      <c r="C1914">
        <v>75</v>
      </c>
      <c r="D1914">
        <v>362</v>
      </c>
      <c r="E1914" t="s">
        <v>159</v>
      </c>
    </row>
    <row r="1915" spans="1:5" x14ac:dyDescent="0.35">
      <c r="A1915" s="2">
        <v>42510</v>
      </c>
      <c r="B1915" s="70" t="s">
        <v>29</v>
      </c>
      <c r="C1915">
        <v>76</v>
      </c>
      <c r="D1915">
        <v>378</v>
      </c>
      <c r="E1915" t="s">
        <v>159</v>
      </c>
    </row>
    <row r="1916" spans="1:5" x14ac:dyDescent="0.35">
      <c r="A1916" s="2">
        <v>42510</v>
      </c>
      <c r="B1916" s="70" t="s">
        <v>29</v>
      </c>
      <c r="C1916">
        <v>69</v>
      </c>
      <c r="D1916">
        <v>274</v>
      </c>
      <c r="E1916" t="s">
        <v>159</v>
      </c>
    </row>
    <row r="1917" spans="1:5" x14ac:dyDescent="0.35">
      <c r="A1917" s="2">
        <v>42510</v>
      </c>
      <c r="B1917" s="70" t="s">
        <v>29</v>
      </c>
      <c r="C1917">
        <v>69</v>
      </c>
      <c r="D1917">
        <v>271</v>
      </c>
      <c r="E1917" t="s">
        <v>159</v>
      </c>
    </row>
    <row r="1918" spans="1:5" x14ac:dyDescent="0.35">
      <c r="A1918" s="2">
        <v>42510</v>
      </c>
      <c r="B1918" s="70" t="s">
        <v>29</v>
      </c>
      <c r="C1918">
        <v>63</v>
      </c>
      <c r="D1918">
        <v>208</v>
      </c>
      <c r="E1918" t="s">
        <v>37</v>
      </c>
    </row>
    <row r="1919" spans="1:5" x14ac:dyDescent="0.35">
      <c r="A1919" s="2">
        <v>42510</v>
      </c>
      <c r="B1919" s="70" t="s">
        <v>29</v>
      </c>
      <c r="C1919">
        <v>68</v>
      </c>
      <c r="D1919">
        <v>286</v>
      </c>
      <c r="E1919" t="s">
        <v>159</v>
      </c>
    </row>
    <row r="1920" spans="1:5" x14ac:dyDescent="0.35">
      <c r="A1920" s="2">
        <v>42510</v>
      </c>
      <c r="B1920" s="70" t="s">
        <v>29</v>
      </c>
      <c r="C1920">
        <v>63</v>
      </c>
      <c r="D1920">
        <v>234</v>
      </c>
      <c r="E1920" t="s">
        <v>159</v>
      </c>
    </row>
    <row r="1921" spans="1:9" x14ac:dyDescent="0.35">
      <c r="A1921" s="2">
        <v>42510</v>
      </c>
      <c r="B1921" s="70" t="s">
        <v>29</v>
      </c>
      <c r="C1921">
        <v>78</v>
      </c>
      <c r="D1921">
        <v>315</v>
      </c>
      <c r="E1921" t="s">
        <v>159</v>
      </c>
    </row>
    <row r="1922" spans="1:9" x14ac:dyDescent="0.35">
      <c r="A1922" s="2">
        <v>42510</v>
      </c>
      <c r="B1922" s="70" t="s">
        <v>29</v>
      </c>
      <c r="C1922">
        <v>69</v>
      </c>
      <c r="D1922">
        <v>382</v>
      </c>
      <c r="E1922" t="s">
        <v>37</v>
      </c>
    </row>
    <row r="1923" spans="1:9" x14ac:dyDescent="0.35">
      <c r="A1923" s="2">
        <v>42510</v>
      </c>
      <c r="B1923" s="70" t="s">
        <v>29</v>
      </c>
      <c r="C1923">
        <v>73</v>
      </c>
      <c r="D1923">
        <v>400</v>
      </c>
      <c r="E1923" t="s">
        <v>159</v>
      </c>
    </row>
    <row r="1924" spans="1:9" x14ac:dyDescent="0.35">
      <c r="A1924" s="2">
        <v>42510</v>
      </c>
      <c r="B1924" s="70" t="s">
        <v>29</v>
      </c>
      <c r="C1924">
        <v>70</v>
      </c>
      <c r="D1924">
        <v>361</v>
      </c>
      <c r="E1924" t="s">
        <v>37</v>
      </c>
    </row>
    <row r="1925" spans="1:9" x14ac:dyDescent="0.35">
      <c r="A1925" s="2">
        <v>42510</v>
      </c>
      <c r="B1925" s="70" t="s">
        <v>29</v>
      </c>
      <c r="C1925">
        <v>77</v>
      </c>
      <c r="D1925">
        <v>469</v>
      </c>
      <c r="E1925" t="s">
        <v>159</v>
      </c>
      <c r="H1925" s="8"/>
      <c r="I1925" s="8"/>
    </row>
    <row r="1926" spans="1:9" x14ac:dyDescent="0.35">
      <c r="A1926" s="2">
        <v>42510</v>
      </c>
      <c r="B1926" s="70" t="s">
        <v>29</v>
      </c>
      <c r="C1926">
        <v>93</v>
      </c>
      <c r="D1926">
        <v>937</v>
      </c>
      <c r="E1926" t="s">
        <v>98</v>
      </c>
    </row>
    <row r="1927" spans="1:9" x14ac:dyDescent="0.35">
      <c r="A1927" s="2">
        <v>42510</v>
      </c>
      <c r="B1927" s="70" t="s">
        <v>29</v>
      </c>
      <c r="C1927">
        <v>88</v>
      </c>
      <c r="D1927">
        <v>860</v>
      </c>
      <c r="E1927" t="s">
        <v>98</v>
      </c>
    </row>
    <row r="1928" spans="1:9" x14ac:dyDescent="0.35">
      <c r="A1928" s="2">
        <v>42510</v>
      </c>
      <c r="B1928" s="70" t="s">
        <v>29</v>
      </c>
      <c r="C1928">
        <v>92</v>
      </c>
      <c r="D1928">
        <v>838</v>
      </c>
      <c r="E1928" t="s">
        <v>98</v>
      </c>
    </row>
    <row r="1929" spans="1:9" x14ac:dyDescent="0.35">
      <c r="A1929" s="2">
        <v>42510</v>
      </c>
      <c r="B1929" s="70" t="s">
        <v>29</v>
      </c>
      <c r="C1929">
        <v>92</v>
      </c>
      <c r="D1929">
        <v>754</v>
      </c>
      <c r="E1929" t="s">
        <v>98</v>
      </c>
    </row>
    <row r="1930" spans="1:9" x14ac:dyDescent="0.35">
      <c r="A1930" s="2">
        <v>42510</v>
      </c>
      <c r="B1930" s="70" t="s">
        <v>29</v>
      </c>
      <c r="C1930">
        <v>112</v>
      </c>
      <c r="D1930">
        <v>1621</v>
      </c>
      <c r="E1930" t="s">
        <v>98</v>
      </c>
    </row>
    <row r="1931" spans="1:9" x14ac:dyDescent="0.35">
      <c r="A1931" s="2">
        <v>42510</v>
      </c>
      <c r="B1931" s="70" t="s">
        <v>29</v>
      </c>
      <c r="C1931">
        <v>84</v>
      </c>
      <c r="D1931">
        <v>857</v>
      </c>
      <c r="E1931" t="s">
        <v>98</v>
      </c>
    </row>
    <row r="1932" spans="1:9" x14ac:dyDescent="0.35">
      <c r="A1932" s="2">
        <v>42510</v>
      </c>
      <c r="B1932" s="70" t="s">
        <v>29</v>
      </c>
      <c r="C1932">
        <v>92</v>
      </c>
      <c r="D1932">
        <v>1072</v>
      </c>
      <c r="E1932" t="s">
        <v>98</v>
      </c>
    </row>
    <row r="1933" spans="1:9" x14ac:dyDescent="0.35">
      <c r="A1933" s="2">
        <v>42510</v>
      </c>
      <c r="B1933" s="70" t="s">
        <v>29</v>
      </c>
      <c r="C1933">
        <v>103</v>
      </c>
      <c r="D1933">
        <v>1331</v>
      </c>
      <c r="E1933" t="s">
        <v>98</v>
      </c>
    </row>
    <row r="1934" spans="1:9" x14ac:dyDescent="0.35">
      <c r="A1934" s="2">
        <v>42510</v>
      </c>
      <c r="B1934" s="70" t="s">
        <v>29</v>
      </c>
      <c r="C1934">
        <v>104</v>
      </c>
      <c r="D1934">
        <v>1310</v>
      </c>
      <c r="E1934" t="s">
        <v>98</v>
      </c>
    </row>
    <row r="1935" spans="1:9" x14ac:dyDescent="0.35">
      <c r="A1935" s="2">
        <v>42510</v>
      </c>
      <c r="B1935" s="70" t="s">
        <v>29</v>
      </c>
      <c r="C1935">
        <v>94</v>
      </c>
      <c r="D1935">
        <v>993</v>
      </c>
      <c r="E1935" t="s">
        <v>98</v>
      </c>
    </row>
    <row r="1936" spans="1:9" x14ac:dyDescent="0.35">
      <c r="A1936" s="2">
        <v>42510</v>
      </c>
      <c r="B1936" s="70" t="s">
        <v>29</v>
      </c>
      <c r="C1936">
        <v>97</v>
      </c>
      <c r="D1936">
        <v>1265</v>
      </c>
      <c r="E1936" t="s">
        <v>98</v>
      </c>
      <c r="G1936" s="42" t="e">
        <f>AVERAGE(#REF!)</f>
        <v>#REF!</v>
      </c>
      <c r="H1936" s="42" t="e">
        <f>AVERAGE(#REF!)</f>
        <v>#REF!</v>
      </c>
    </row>
    <row r="1937" spans="1:6" s="4" customFormat="1" x14ac:dyDescent="0.35">
      <c r="A1937" s="3">
        <v>42510</v>
      </c>
      <c r="B1937" s="44" t="s">
        <v>29</v>
      </c>
      <c r="C1937" s="4">
        <v>144</v>
      </c>
      <c r="D1937" s="4">
        <v>4307</v>
      </c>
      <c r="E1937" s="4" t="s">
        <v>98</v>
      </c>
      <c r="F1937" s="4" t="s">
        <v>111</v>
      </c>
    </row>
    <row r="1938" spans="1:6" x14ac:dyDescent="0.35">
      <c r="A1938" s="2">
        <v>42510</v>
      </c>
      <c r="B1938" s="70" t="s">
        <v>38</v>
      </c>
      <c r="C1938" s="10">
        <v>68</v>
      </c>
      <c r="D1938" s="10">
        <v>280</v>
      </c>
      <c r="E1938" s="10" t="s">
        <v>37</v>
      </c>
    </row>
    <row r="1939" spans="1:6" x14ac:dyDescent="0.35">
      <c r="A1939" s="2">
        <v>42510</v>
      </c>
      <c r="B1939" s="70" t="s">
        <v>38</v>
      </c>
      <c r="C1939" s="10">
        <v>65</v>
      </c>
      <c r="D1939" s="10">
        <v>212</v>
      </c>
      <c r="E1939" s="10" t="s">
        <v>37</v>
      </c>
    </row>
    <row r="1940" spans="1:6" x14ac:dyDescent="0.35">
      <c r="A1940" s="2">
        <v>42510</v>
      </c>
      <c r="B1940" s="70" t="s">
        <v>38</v>
      </c>
      <c r="C1940" s="10">
        <v>74</v>
      </c>
      <c r="D1940" s="10">
        <v>399</v>
      </c>
      <c r="E1940" s="10" t="s">
        <v>159</v>
      </c>
    </row>
    <row r="1941" spans="1:6" x14ac:dyDescent="0.35">
      <c r="A1941" s="2">
        <v>42510</v>
      </c>
      <c r="B1941" s="70" t="s">
        <v>38</v>
      </c>
      <c r="C1941" s="10">
        <v>66</v>
      </c>
      <c r="D1941" s="10">
        <v>208</v>
      </c>
      <c r="E1941" s="10" t="s">
        <v>32</v>
      </c>
    </row>
    <row r="1942" spans="1:6" x14ac:dyDescent="0.35">
      <c r="A1942" s="2">
        <v>42510</v>
      </c>
      <c r="B1942" s="70" t="s">
        <v>38</v>
      </c>
      <c r="C1942" s="10">
        <v>68</v>
      </c>
      <c r="D1942" s="10">
        <v>314</v>
      </c>
      <c r="E1942" s="10" t="s">
        <v>159</v>
      </c>
    </row>
    <row r="1943" spans="1:6" x14ac:dyDescent="0.35">
      <c r="A1943" s="2">
        <v>42510</v>
      </c>
      <c r="B1943" s="70" t="s">
        <v>38</v>
      </c>
      <c r="C1943" s="10">
        <v>69</v>
      </c>
      <c r="D1943" s="10">
        <v>351</v>
      </c>
      <c r="E1943" s="10" t="s">
        <v>159</v>
      </c>
    </row>
    <row r="1944" spans="1:6" x14ac:dyDescent="0.35">
      <c r="A1944" s="2">
        <v>42510</v>
      </c>
      <c r="B1944" s="70" t="s">
        <v>38</v>
      </c>
      <c r="C1944" s="10">
        <v>74</v>
      </c>
      <c r="D1944" s="10">
        <v>336</v>
      </c>
      <c r="E1944" s="10" t="s">
        <v>37</v>
      </c>
    </row>
    <row r="1945" spans="1:6" x14ac:dyDescent="0.35">
      <c r="A1945" s="2">
        <v>42510</v>
      </c>
      <c r="B1945" s="70" t="s">
        <v>38</v>
      </c>
      <c r="C1945" s="10">
        <v>70</v>
      </c>
      <c r="D1945" s="10">
        <v>341</v>
      </c>
      <c r="E1945" s="10" t="s">
        <v>37</v>
      </c>
    </row>
    <row r="1946" spans="1:6" x14ac:dyDescent="0.35">
      <c r="A1946" s="2">
        <v>42510</v>
      </c>
      <c r="B1946" s="70" t="s">
        <v>38</v>
      </c>
      <c r="C1946" s="10">
        <v>62</v>
      </c>
      <c r="D1946" s="10">
        <v>257</v>
      </c>
      <c r="E1946" s="10" t="s">
        <v>159</v>
      </c>
    </row>
    <row r="1947" spans="1:6" x14ac:dyDescent="0.35">
      <c r="A1947" s="2">
        <v>42510</v>
      </c>
      <c r="B1947" s="70" t="s">
        <v>38</v>
      </c>
      <c r="C1947" s="10">
        <v>66</v>
      </c>
      <c r="D1947" s="10">
        <v>258</v>
      </c>
      <c r="E1947" s="10" t="s">
        <v>159</v>
      </c>
    </row>
    <row r="1948" spans="1:6" x14ac:dyDescent="0.35">
      <c r="A1948" s="2">
        <v>42510</v>
      </c>
      <c r="B1948" s="70" t="s">
        <v>38</v>
      </c>
      <c r="C1948" s="10">
        <v>69</v>
      </c>
      <c r="D1948" s="10">
        <v>290</v>
      </c>
      <c r="E1948" s="10" t="s">
        <v>37</v>
      </c>
    </row>
    <row r="1949" spans="1:6" x14ac:dyDescent="0.35">
      <c r="A1949" s="2">
        <v>42510</v>
      </c>
      <c r="B1949" s="70" t="s">
        <v>38</v>
      </c>
      <c r="C1949" s="10">
        <v>72</v>
      </c>
      <c r="D1949" s="10">
        <v>334</v>
      </c>
      <c r="E1949" s="10" t="s">
        <v>159</v>
      </c>
    </row>
    <row r="1950" spans="1:6" x14ac:dyDescent="0.35">
      <c r="A1950" s="2">
        <v>42510</v>
      </c>
      <c r="B1950" s="70" t="s">
        <v>38</v>
      </c>
      <c r="C1950" s="10">
        <v>73</v>
      </c>
      <c r="D1950" s="10">
        <v>312</v>
      </c>
      <c r="E1950" s="10" t="s">
        <v>37</v>
      </c>
    </row>
    <row r="1951" spans="1:6" x14ac:dyDescent="0.35">
      <c r="A1951" s="2">
        <v>42510</v>
      </c>
      <c r="B1951" s="70" t="s">
        <v>38</v>
      </c>
      <c r="C1951" s="10">
        <v>71</v>
      </c>
      <c r="D1951" s="10">
        <v>279</v>
      </c>
      <c r="E1951" s="10" t="s">
        <v>37</v>
      </c>
    </row>
    <row r="1952" spans="1:6" x14ac:dyDescent="0.35">
      <c r="A1952" s="2">
        <v>42510</v>
      </c>
      <c r="B1952" s="70" t="s">
        <v>38</v>
      </c>
      <c r="C1952" s="10">
        <v>72</v>
      </c>
      <c r="D1952" s="10">
        <v>309</v>
      </c>
      <c r="E1952" s="10" t="s">
        <v>32</v>
      </c>
    </row>
    <row r="1953" spans="1:5" x14ac:dyDescent="0.35">
      <c r="A1953" s="2">
        <v>42510</v>
      </c>
      <c r="B1953" s="70" t="s">
        <v>38</v>
      </c>
      <c r="C1953" s="10">
        <v>74</v>
      </c>
      <c r="D1953" s="10">
        <v>332</v>
      </c>
      <c r="E1953" s="10" t="s">
        <v>159</v>
      </c>
    </row>
    <row r="1954" spans="1:5" x14ac:dyDescent="0.35">
      <c r="A1954" s="2">
        <v>42510</v>
      </c>
      <c r="B1954" s="70" t="s">
        <v>38</v>
      </c>
      <c r="C1954" s="10">
        <v>70</v>
      </c>
      <c r="D1954" s="10">
        <v>262</v>
      </c>
      <c r="E1954" s="10" t="s">
        <v>159</v>
      </c>
    </row>
    <row r="1955" spans="1:5" x14ac:dyDescent="0.35">
      <c r="A1955" s="2">
        <v>42510</v>
      </c>
      <c r="B1955" s="70" t="s">
        <v>38</v>
      </c>
      <c r="C1955" s="10">
        <v>72</v>
      </c>
      <c r="D1955" s="10">
        <v>336</v>
      </c>
      <c r="E1955" s="10" t="s">
        <v>159</v>
      </c>
    </row>
    <row r="1956" spans="1:5" x14ac:dyDescent="0.35">
      <c r="A1956" s="2">
        <v>42510</v>
      </c>
      <c r="B1956" s="70" t="s">
        <v>38</v>
      </c>
      <c r="C1956" s="10">
        <v>75</v>
      </c>
      <c r="D1956" s="10">
        <v>415</v>
      </c>
      <c r="E1956" s="10" t="s">
        <v>159</v>
      </c>
    </row>
    <row r="1957" spans="1:5" x14ac:dyDescent="0.35">
      <c r="A1957" s="2">
        <v>42510</v>
      </c>
      <c r="B1957" s="70" t="s">
        <v>38</v>
      </c>
      <c r="C1957" s="10">
        <v>71</v>
      </c>
      <c r="D1957" s="10">
        <v>335</v>
      </c>
      <c r="E1957" s="10" t="s">
        <v>159</v>
      </c>
    </row>
    <row r="1958" spans="1:5" x14ac:dyDescent="0.35">
      <c r="A1958" s="2">
        <v>42510</v>
      </c>
      <c r="B1958" s="70" t="s">
        <v>38</v>
      </c>
      <c r="C1958" s="10">
        <v>66</v>
      </c>
      <c r="D1958" s="10">
        <v>194</v>
      </c>
      <c r="E1958" s="10" t="s">
        <v>37</v>
      </c>
    </row>
    <row r="1959" spans="1:5" x14ac:dyDescent="0.35">
      <c r="A1959" s="2">
        <v>42510</v>
      </c>
      <c r="B1959" s="70" t="s">
        <v>38</v>
      </c>
      <c r="C1959" s="10">
        <v>65</v>
      </c>
      <c r="D1959" s="10">
        <v>292</v>
      </c>
      <c r="E1959" s="10" t="s">
        <v>159</v>
      </c>
    </row>
    <row r="1960" spans="1:5" x14ac:dyDescent="0.35">
      <c r="A1960" s="2">
        <v>42510</v>
      </c>
      <c r="B1960" s="70" t="s">
        <v>38</v>
      </c>
      <c r="C1960" s="10">
        <v>72</v>
      </c>
      <c r="D1960" s="10">
        <v>335</v>
      </c>
      <c r="E1960" s="10" t="s">
        <v>159</v>
      </c>
    </row>
    <row r="1961" spans="1:5" x14ac:dyDescent="0.35">
      <c r="A1961" s="2">
        <v>42510</v>
      </c>
      <c r="B1961" s="70" t="s">
        <v>38</v>
      </c>
      <c r="C1961" s="10">
        <v>66</v>
      </c>
      <c r="D1961" s="10">
        <v>274</v>
      </c>
      <c r="E1961" s="10" t="s">
        <v>159</v>
      </c>
    </row>
    <row r="1962" spans="1:5" x14ac:dyDescent="0.35">
      <c r="A1962" s="2">
        <v>42510</v>
      </c>
      <c r="B1962" s="70" t="s">
        <v>38</v>
      </c>
      <c r="C1962" s="10">
        <v>67</v>
      </c>
      <c r="D1962" s="10">
        <v>240</v>
      </c>
      <c r="E1962" s="10" t="s">
        <v>37</v>
      </c>
    </row>
    <row r="1963" spans="1:5" x14ac:dyDescent="0.35">
      <c r="A1963" s="2">
        <v>42510</v>
      </c>
      <c r="B1963" s="70" t="s">
        <v>38</v>
      </c>
      <c r="C1963" s="10">
        <v>67</v>
      </c>
      <c r="D1963" s="10">
        <v>242</v>
      </c>
      <c r="E1963" s="10" t="s">
        <v>159</v>
      </c>
    </row>
    <row r="1964" spans="1:5" x14ac:dyDescent="0.35">
      <c r="A1964" s="2">
        <v>42510</v>
      </c>
      <c r="B1964" s="70" t="s">
        <v>38</v>
      </c>
      <c r="C1964" s="10">
        <v>68</v>
      </c>
      <c r="D1964" s="10">
        <v>257</v>
      </c>
      <c r="E1964" s="10" t="s">
        <v>159</v>
      </c>
    </row>
    <row r="1965" spans="1:5" x14ac:dyDescent="0.35">
      <c r="A1965" s="2">
        <v>42510</v>
      </c>
      <c r="B1965" s="70" t="s">
        <v>38</v>
      </c>
      <c r="C1965" s="10">
        <v>68</v>
      </c>
      <c r="D1965" s="10">
        <v>291</v>
      </c>
      <c r="E1965" s="10" t="s">
        <v>159</v>
      </c>
    </row>
    <row r="1966" spans="1:5" x14ac:dyDescent="0.35">
      <c r="A1966" s="2">
        <v>42510</v>
      </c>
      <c r="B1966" s="70" t="s">
        <v>38</v>
      </c>
      <c r="C1966" s="10">
        <v>65</v>
      </c>
      <c r="D1966" s="10">
        <v>251</v>
      </c>
      <c r="E1966" s="10" t="s">
        <v>159</v>
      </c>
    </row>
    <row r="1967" spans="1:5" x14ac:dyDescent="0.35">
      <c r="A1967" s="2">
        <v>42510</v>
      </c>
      <c r="B1967" s="70" t="s">
        <v>38</v>
      </c>
      <c r="C1967" s="10">
        <v>72</v>
      </c>
      <c r="D1967" s="10">
        <v>363</v>
      </c>
      <c r="E1967" s="10" t="s">
        <v>159</v>
      </c>
    </row>
    <row r="1968" spans="1:5" x14ac:dyDescent="0.35">
      <c r="A1968" s="2">
        <v>42510</v>
      </c>
      <c r="B1968" s="70" t="s">
        <v>38</v>
      </c>
      <c r="C1968" s="10">
        <v>76</v>
      </c>
      <c r="D1968" s="10">
        <v>455</v>
      </c>
      <c r="E1968" s="10" t="s">
        <v>159</v>
      </c>
    </row>
    <row r="1969" spans="1:5" x14ac:dyDescent="0.35">
      <c r="A1969" s="2">
        <v>42510</v>
      </c>
      <c r="B1969" s="70" t="s">
        <v>38</v>
      </c>
      <c r="C1969" s="10">
        <v>68</v>
      </c>
      <c r="D1969" s="10">
        <v>286</v>
      </c>
      <c r="E1969" s="10" t="s">
        <v>37</v>
      </c>
    </row>
    <row r="1970" spans="1:5" x14ac:dyDescent="0.35">
      <c r="A1970" s="2">
        <v>42510</v>
      </c>
      <c r="B1970" s="70" t="s">
        <v>38</v>
      </c>
      <c r="C1970" s="10">
        <v>71</v>
      </c>
      <c r="D1970" s="10">
        <v>369</v>
      </c>
      <c r="E1970" s="10" t="s">
        <v>159</v>
      </c>
    </row>
    <row r="1971" spans="1:5" x14ac:dyDescent="0.35">
      <c r="A1971" s="2">
        <v>42510</v>
      </c>
      <c r="B1971" s="70" t="s">
        <v>38</v>
      </c>
      <c r="C1971" s="10">
        <v>67</v>
      </c>
      <c r="D1971" s="10">
        <v>245</v>
      </c>
      <c r="E1971" s="10" t="s">
        <v>159</v>
      </c>
    </row>
    <row r="1972" spans="1:5" x14ac:dyDescent="0.35">
      <c r="A1972" s="2">
        <v>42510</v>
      </c>
      <c r="B1972" s="70" t="s">
        <v>38</v>
      </c>
      <c r="C1972" s="10">
        <v>68</v>
      </c>
      <c r="D1972" s="10">
        <v>214</v>
      </c>
      <c r="E1972" s="10" t="s">
        <v>37</v>
      </c>
    </row>
    <row r="1973" spans="1:5" x14ac:dyDescent="0.35">
      <c r="A1973" s="2">
        <v>42510</v>
      </c>
      <c r="B1973" s="70" t="s">
        <v>38</v>
      </c>
      <c r="C1973" s="10">
        <v>70</v>
      </c>
      <c r="D1973" s="10">
        <v>287</v>
      </c>
      <c r="E1973" s="10" t="s">
        <v>37</v>
      </c>
    </row>
    <row r="1974" spans="1:5" x14ac:dyDescent="0.35">
      <c r="A1974" s="2">
        <v>42510</v>
      </c>
      <c r="B1974" s="70" t="s">
        <v>38</v>
      </c>
      <c r="C1974" s="10">
        <v>73</v>
      </c>
      <c r="D1974" s="10">
        <v>324</v>
      </c>
      <c r="E1974" s="10" t="s">
        <v>159</v>
      </c>
    </row>
    <row r="1975" spans="1:5" x14ac:dyDescent="0.35">
      <c r="A1975" s="2">
        <v>42510</v>
      </c>
      <c r="B1975" s="70" t="s">
        <v>38</v>
      </c>
      <c r="C1975" s="10">
        <v>68</v>
      </c>
      <c r="D1975" s="10">
        <v>261</v>
      </c>
      <c r="E1975" s="10" t="s">
        <v>159</v>
      </c>
    </row>
    <row r="1976" spans="1:5" x14ac:dyDescent="0.35">
      <c r="A1976" s="2">
        <v>42510</v>
      </c>
      <c r="B1976" s="70" t="s">
        <v>38</v>
      </c>
      <c r="C1976" s="10">
        <v>73</v>
      </c>
      <c r="D1976" s="10">
        <v>384</v>
      </c>
      <c r="E1976" s="10" t="s">
        <v>159</v>
      </c>
    </row>
    <row r="1977" spans="1:5" x14ac:dyDescent="0.35">
      <c r="A1977" s="2">
        <v>42510</v>
      </c>
      <c r="B1977" s="70" t="s">
        <v>38</v>
      </c>
      <c r="C1977" s="10">
        <v>74</v>
      </c>
      <c r="D1977" s="10">
        <v>335</v>
      </c>
      <c r="E1977" s="10" t="s">
        <v>159</v>
      </c>
    </row>
    <row r="1978" spans="1:5" x14ac:dyDescent="0.35">
      <c r="A1978" s="2">
        <v>42510</v>
      </c>
      <c r="B1978" s="70" t="s">
        <v>38</v>
      </c>
      <c r="C1978" s="10">
        <v>73</v>
      </c>
      <c r="D1978" s="10">
        <v>383</v>
      </c>
      <c r="E1978" s="10" t="s">
        <v>159</v>
      </c>
    </row>
    <row r="1979" spans="1:5" x14ac:dyDescent="0.35">
      <c r="A1979" s="2">
        <v>42510</v>
      </c>
      <c r="B1979" s="70" t="s">
        <v>38</v>
      </c>
      <c r="C1979" s="10">
        <v>71</v>
      </c>
      <c r="D1979" s="10">
        <v>367</v>
      </c>
      <c r="E1979" s="10" t="s">
        <v>159</v>
      </c>
    </row>
    <row r="1980" spans="1:5" x14ac:dyDescent="0.35">
      <c r="A1980" s="2">
        <v>42510</v>
      </c>
      <c r="B1980" s="70" t="s">
        <v>38</v>
      </c>
      <c r="C1980" s="10">
        <v>69</v>
      </c>
      <c r="D1980" s="10">
        <v>299</v>
      </c>
      <c r="E1980" s="10" t="s">
        <v>159</v>
      </c>
    </row>
    <row r="1981" spans="1:5" x14ac:dyDescent="0.35">
      <c r="A1981" s="2">
        <v>42510</v>
      </c>
      <c r="B1981" s="70" t="s">
        <v>38</v>
      </c>
      <c r="C1981" s="10">
        <v>68</v>
      </c>
      <c r="D1981" s="10">
        <v>265</v>
      </c>
      <c r="E1981" s="10" t="s">
        <v>159</v>
      </c>
    </row>
    <row r="1982" spans="1:5" x14ac:dyDescent="0.35">
      <c r="A1982" s="2">
        <v>42510</v>
      </c>
      <c r="B1982" s="70" t="s">
        <v>38</v>
      </c>
      <c r="C1982" s="10">
        <v>72</v>
      </c>
      <c r="D1982" s="10">
        <v>361</v>
      </c>
      <c r="E1982" s="10" t="s">
        <v>159</v>
      </c>
    </row>
    <row r="1983" spans="1:5" x14ac:dyDescent="0.35">
      <c r="A1983" s="2">
        <v>42510</v>
      </c>
      <c r="B1983" s="70" t="s">
        <v>38</v>
      </c>
      <c r="C1983" s="10">
        <v>72</v>
      </c>
      <c r="D1983" s="10">
        <v>242</v>
      </c>
      <c r="E1983" s="10" t="s">
        <v>37</v>
      </c>
    </row>
    <row r="1984" spans="1:5" x14ac:dyDescent="0.35">
      <c r="A1984" s="2">
        <v>42510</v>
      </c>
      <c r="B1984" s="70" t="s">
        <v>38</v>
      </c>
      <c r="C1984" s="10">
        <v>62</v>
      </c>
      <c r="D1984" s="10">
        <v>239</v>
      </c>
      <c r="E1984" s="10" t="s">
        <v>32</v>
      </c>
    </row>
    <row r="1985" spans="1:17" x14ac:dyDescent="0.35">
      <c r="A1985" s="2">
        <v>42510</v>
      </c>
      <c r="B1985" s="70" t="s">
        <v>38</v>
      </c>
      <c r="C1985" s="10">
        <v>72</v>
      </c>
      <c r="D1985" s="10">
        <v>373</v>
      </c>
      <c r="E1985" s="10" t="s">
        <v>159</v>
      </c>
    </row>
    <row r="1986" spans="1:17" x14ac:dyDescent="0.35">
      <c r="A1986" s="2">
        <v>42510</v>
      </c>
      <c r="B1986" s="70" t="s">
        <v>38</v>
      </c>
      <c r="C1986" s="10">
        <v>75</v>
      </c>
      <c r="D1986" s="10">
        <v>368</v>
      </c>
      <c r="E1986" s="10" t="s">
        <v>159</v>
      </c>
      <c r="G1986" s="42" t="e">
        <f>AVERAGE(#REF!)</f>
        <v>#REF!</v>
      </c>
      <c r="H1986" s="42" t="e">
        <f>AVERAGE(#REF!)</f>
        <v>#REF!</v>
      </c>
      <c r="I1986" s="42" t="e">
        <f>AVERAGE(#REF!,#REF!)</f>
        <v>#REF!</v>
      </c>
    </row>
    <row r="1987" spans="1:17" x14ac:dyDescent="0.35">
      <c r="A1987" s="13">
        <v>42510</v>
      </c>
      <c r="B1987" s="40" t="s">
        <v>38</v>
      </c>
      <c r="C1987" s="10">
        <v>71</v>
      </c>
      <c r="D1987" s="10">
        <v>358</v>
      </c>
      <c r="E1987" s="10" t="s">
        <v>159</v>
      </c>
      <c r="N1987">
        <f>AVERAGE(C1988:C1993,C1926:C1937)</f>
        <v>102.38888888888889</v>
      </c>
      <c r="O1987">
        <f>AVERAGE(D1988:D1993,D1926:D1937)</f>
        <v>1469.5555555555557</v>
      </c>
    </row>
    <row r="1988" spans="1:17" x14ac:dyDescent="0.35">
      <c r="A1988" s="2">
        <v>42510</v>
      </c>
      <c r="B1988" s="70" t="s">
        <v>38</v>
      </c>
      <c r="C1988" s="55">
        <v>82</v>
      </c>
      <c r="D1988" s="55">
        <v>672</v>
      </c>
      <c r="E1988" s="55" t="s">
        <v>159</v>
      </c>
      <c r="F1988">
        <f>AVERAGE(C1988:C1993)</f>
        <v>108</v>
      </c>
      <c r="G1988">
        <f>AVERAGE(D1988:D1993)</f>
        <v>1717.8333333333333</v>
      </c>
    </row>
    <row r="1989" spans="1:17" x14ac:dyDescent="0.35">
      <c r="A1989" s="13">
        <v>42510</v>
      </c>
      <c r="B1989" s="40" t="s">
        <v>38</v>
      </c>
      <c r="C1989" s="10">
        <v>108</v>
      </c>
      <c r="D1989" s="10">
        <v>1702</v>
      </c>
      <c r="E1989" s="10" t="s">
        <v>98</v>
      </c>
    </row>
    <row r="1990" spans="1:17" x14ac:dyDescent="0.35">
      <c r="A1990" s="2">
        <v>42510</v>
      </c>
      <c r="B1990" s="70" t="s">
        <v>38</v>
      </c>
      <c r="C1990" s="10">
        <v>106</v>
      </c>
      <c r="D1990" s="10">
        <v>1566</v>
      </c>
      <c r="E1990" s="10" t="s">
        <v>98</v>
      </c>
    </row>
    <row r="1991" spans="1:17" x14ac:dyDescent="0.35">
      <c r="A1991" s="13">
        <v>42510</v>
      </c>
      <c r="B1991" s="40" t="s">
        <v>38</v>
      </c>
      <c r="C1991" s="10">
        <v>137</v>
      </c>
      <c r="D1991" s="10">
        <v>3418</v>
      </c>
      <c r="E1991" s="10" t="s">
        <v>98</v>
      </c>
      <c r="G1991" t="s">
        <v>42</v>
      </c>
      <c r="H1991" t="s">
        <v>39</v>
      </c>
      <c r="I1991" t="s">
        <v>40</v>
      </c>
      <c r="J1991" t="s">
        <v>36</v>
      </c>
      <c r="K1991" t="s">
        <v>33</v>
      </c>
      <c r="L1991" t="s">
        <v>34</v>
      </c>
      <c r="M1991" t="s">
        <v>32</v>
      </c>
      <c r="N1991" t="s">
        <v>37</v>
      </c>
      <c r="O1991" t="s">
        <v>159</v>
      </c>
      <c r="P1991" t="s">
        <v>43</v>
      </c>
      <c r="Q1991" t="s">
        <v>44</v>
      </c>
    </row>
    <row r="1992" spans="1:17" x14ac:dyDescent="0.35">
      <c r="A1992" s="2">
        <v>42510</v>
      </c>
      <c r="B1992" s="70" t="s">
        <v>38</v>
      </c>
      <c r="C1992" s="10">
        <v>128</v>
      </c>
      <c r="D1992" s="10">
        <v>2153</v>
      </c>
      <c r="E1992" s="10" t="s">
        <v>98</v>
      </c>
      <c r="G1992" s="5">
        <f>COUNTIF(E1849:E1993,"VA")</f>
        <v>0</v>
      </c>
      <c r="H1992" s="5">
        <f>COUNTIF(E1849:E1993,"VB")</f>
        <v>0</v>
      </c>
      <c r="I1992" s="5">
        <f>COUNTIF(E1849:E1993,"VIA0")</f>
        <v>0</v>
      </c>
      <c r="J1992" s="5">
        <f>COUNTIF(E1849:E1993,"VIA1")</f>
        <v>0</v>
      </c>
      <c r="K1992" s="5">
        <f>COUNTIF(E1849:E1993,"VIA2")</f>
        <v>0</v>
      </c>
      <c r="L1992" s="5">
        <f>COUNTIF(E1849:E1993,"VIA3")</f>
        <v>0</v>
      </c>
      <c r="M1992" s="5">
        <f>COUNTIF(E1881:E1993,"VIA4")</f>
        <v>8</v>
      </c>
      <c r="N1992" s="5">
        <f>COUNTIF(E1849:E1993,"VIB")</f>
        <v>26</v>
      </c>
      <c r="O1992" s="5">
        <f>COUNTIF(E1849:E1993,"VII")</f>
        <v>64</v>
      </c>
      <c r="P1992" s="7">
        <f>AVERAGE(C1938:C1987,C1881:C1925)</f>
        <v>69.505263157894731</v>
      </c>
      <c r="Q1992" s="7">
        <f>AVERAGE(D1938:D1987,D1881:D1925)</f>
        <v>300.03157894736842</v>
      </c>
    </row>
    <row r="1993" spans="1:17" s="4" customFormat="1" x14ac:dyDescent="0.35">
      <c r="A1993" s="3">
        <v>42510</v>
      </c>
      <c r="B1993" s="44" t="s">
        <v>38</v>
      </c>
      <c r="C1993" s="4">
        <v>87</v>
      </c>
      <c r="D1993" s="4">
        <v>796</v>
      </c>
      <c r="E1993" s="11" t="s">
        <v>98</v>
      </c>
      <c r="G1993" s="6">
        <f>G1992/99*100</f>
        <v>0</v>
      </c>
      <c r="H1993" s="6">
        <f t="shared" ref="H1993:L1993" si="72">H1992/99*100</f>
        <v>0</v>
      </c>
      <c r="I1993" s="6">
        <f t="shared" si="72"/>
        <v>0</v>
      </c>
      <c r="J1993" s="6">
        <f t="shared" si="72"/>
        <v>0</v>
      </c>
      <c r="K1993" s="6">
        <f t="shared" si="72"/>
        <v>0</v>
      </c>
      <c r="L1993" s="6">
        <f t="shared" si="72"/>
        <v>0</v>
      </c>
      <c r="M1993" s="6">
        <f>M1992/95*100</f>
        <v>8.4210526315789469</v>
      </c>
      <c r="N1993" s="6">
        <f t="shared" ref="N1993:O1993" si="73">N1992/95*100</f>
        <v>27.368421052631582</v>
      </c>
      <c r="O1993" s="6">
        <f t="shared" si="73"/>
        <v>67.368421052631575</v>
      </c>
    </row>
    <row r="1994" spans="1:17" x14ac:dyDescent="0.35">
      <c r="A1994" s="2">
        <v>42510</v>
      </c>
      <c r="B1994" s="40" t="s">
        <v>113</v>
      </c>
      <c r="C1994" s="10">
        <v>69</v>
      </c>
      <c r="D1994" s="10">
        <v>283</v>
      </c>
      <c r="E1994" s="10" t="s">
        <v>37</v>
      </c>
    </row>
    <row r="1995" spans="1:17" x14ac:dyDescent="0.35">
      <c r="A1995" s="2">
        <v>42510</v>
      </c>
      <c r="B1995" s="40" t="s">
        <v>113</v>
      </c>
      <c r="C1995" s="10">
        <v>69</v>
      </c>
      <c r="D1995" s="10">
        <v>338</v>
      </c>
      <c r="E1995" s="10" t="s">
        <v>159</v>
      </c>
    </row>
    <row r="1996" spans="1:17" x14ac:dyDescent="0.35">
      <c r="A1996" s="2">
        <v>42510</v>
      </c>
      <c r="B1996" s="40" t="s">
        <v>113</v>
      </c>
      <c r="C1996" s="10">
        <v>72</v>
      </c>
      <c r="D1996" s="10">
        <v>309</v>
      </c>
      <c r="E1996" s="10" t="s">
        <v>159</v>
      </c>
    </row>
    <row r="1997" spans="1:17" x14ac:dyDescent="0.35">
      <c r="A1997" s="2">
        <v>42510</v>
      </c>
      <c r="B1997" s="40" t="s">
        <v>113</v>
      </c>
      <c r="C1997" s="10">
        <v>68</v>
      </c>
      <c r="D1997" s="10">
        <v>313</v>
      </c>
      <c r="E1997" s="10" t="s">
        <v>37</v>
      </c>
    </row>
    <row r="1998" spans="1:17" x14ac:dyDescent="0.35">
      <c r="A1998" s="2">
        <v>42510</v>
      </c>
      <c r="B1998" s="40" t="s">
        <v>113</v>
      </c>
      <c r="C1998" s="10">
        <v>61</v>
      </c>
      <c r="D1998" s="10">
        <v>233</v>
      </c>
      <c r="E1998" s="10" t="s">
        <v>37</v>
      </c>
    </row>
    <row r="1999" spans="1:17" x14ac:dyDescent="0.35">
      <c r="A1999" s="2">
        <v>42510</v>
      </c>
      <c r="B1999" s="40" t="s">
        <v>113</v>
      </c>
      <c r="C1999" s="10">
        <v>73</v>
      </c>
      <c r="D1999" s="10">
        <v>439</v>
      </c>
      <c r="E1999" s="10" t="s">
        <v>159</v>
      </c>
    </row>
    <row r="2000" spans="1:17" x14ac:dyDescent="0.35">
      <c r="A2000" s="2">
        <v>42510</v>
      </c>
      <c r="B2000" s="40" t="s">
        <v>113</v>
      </c>
      <c r="C2000" s="10">
        <v>71</v>
      </c>
      <c r="D2000" s="10">
        <v>266</v>
      </c>
      <c r="E2000" s="10" t="s">
        <v>159</v>
      </c>
    </row>
    <row r="2001" spans="1:5" x14ac:dyDescent="0.35">
      <c r="A2001" s="2">
        <v>42510</v>
      </c>
      <c r="B2001" s="40" t="s">
        <v>113</v>
      </c>
      <c r="C2001" s="10">
        <v>72</v>
      </c>
      <c r="D2001" s="10">
        <v>380</v>
      </c>
      <c r="E2001" s="10" t="s">
        <v>159</v>
      </c>
    </row>
    <row r="2002" spans="1:5" x14ac:dyDescent="0.35">
      <c r="A2002" s="2">
        <v>42510</v>
      </c>
      <c r="B2002" s="40" t="s">
        <v>113</v>
      </c>
      <c r="C2002" s="10">
        <v>76</v>
      </c>
      <c r="D2002" s="10">
        <v>474</v>
      </c>
      <c r="E2002" s="10" t="s">
        <v>159</v>
      </c>
    </row>
    <row r="2003" spans="1:5" x14ac:dyDescent="0.35">
      <c r="A2003" s="2">
        <v>42510</v>
      </c>
      <c r="B2003" s="40" t="s">
        <v>113</v>
      </c>
      <c r="C2003" s="10">
        <v>68</v>
      </c>
      <c r="D2003" s="10">
        <v>350</v>
      </c>
      <c r="E2003" s="10" t="s">
        <v>159</v>
      </c>
    </row>
    <row r="2004" spans="1:5" x14ac:dyDescent="0.35">
      <c r="A2004" s="2">
        <v>42510</v>
      </c>
      <c r="B2004" s="40" t="s">
        <v>113</v>
      </c>
      <c r="C2004" s="10">
        <v>69</v>
      </c>
      <c r="D2004" s="10">
        <v>332</v>
      </c>
      <c r="E2004" s="10" t="s">
        <v>159</v>
      </c>
    </row>
    <row r="2005" spans="1:5" x14ac:dyDescent="0.35">
      <c r="A2005" s="2">
        <v>42510</v>
      </c>
      <c r="B2005" s="40" t="s">
        <v>113</v>
      </c>
      <c r="C2005" s="10">
        <v>132</v>
      </c>
      <c r="D2005" s="10">
        <v>4382</v>
      </c>
      <c r="E2005" s="10" t="s">
        <v>98</v>
      </c>
    </row>
    <row r="2006" spans="1:5" s="4" customFormat="1" x14ac:dyDescent="0.35">
      <c r="A2006" s="3">
        <v>42510</v>
      </c>
      <c r="B2006" s="44" t="s">
        <v>113</v>
      </c>
      <c r="C2006" s="11">
        <v>112</v>
      </c>
      <c r="D2006" s="11">
        <v>2345</v>
      </c>
      <c r="E2006" s="11" t="s">
        <v>98</v>
      </c>
    </row>
    <row r="2007" spans="1:5" x14ac:dyDescent="0.35">
      <c r="A2007" s="2">
        <v>42510</v>
      </c>
      <c r="B2007" s="40" t="s">
        <v>102</v>
      </c>
      <c r="C2007" s="10">
        <v>74</v>
      </c>
      <c r="D2007" s="10">
        <v>361</v>
      </c>
      <c r="E2007" s="10" t="s">
        <v>159</v>
      </c>
    </row>
    <row r="2008" spans="1:5" x14ac:dyDescent="0.35">
      <c r="A2008" s="2">
        <v>42510</v>
      </c>
      <c r="B2008" s="40" t="s">
        <v>102</v>
      </c>
      <c r="C2008" s="10">
        <v>68</v>
      </c>
      <c r="D2008" s="10">
        <v>325</v>
      </c>
      <c r="E2008" s="10" t="s">
        <v>159</v>
      </c>
    </row>
    <row r="2009" spans="1:5" x14ac:dyDescent="0.35">
      <c r="A2009" s="2">
        <v>42510</v>
      </c>
      <c r="B2009" s="40" t="s">
        <v>102</v>
      </c>
      <c r="C2009" s="10">
        <v>72</v>
      </c>
      <c r="D2009" s="10">
        <v>417</v>
      </c>
      <c r="E2009" s="10" t="s">
        <v>159</v>
      </c>
    </row>
    <row r="2010" spans="1:5" x14ac:dyDescent="0.35">
      <c r="A2010" s="2">
        <v>42510</v>
      </c>
      <c r="B2010" s="40" t="s">
        <v>102</v>
      </c>
      <c r="C2010" s="10">
        <v>65</v>
      </c>
      <c r="D2010" s="10">
        <v>282</v>
      </c>
      <c r="E2010" s="10" t="s">
        <v>159</v>
      </c>
    </row>
    <row r="2011" spans="1:5" x14ac:dyDescent="0.35">
      <c r="A2011" s="2">
        <v>42510</v>
      </c>
      <c r="B2011" s="40" t="s">
        <v>102</v>
      </c>
      <c r="C2011" s="10">
        <v>69</v>
      </c>
      <c r="D2011" s="10">
        <v>353</v>
      </c>
      <c r="E2011" s="10" t="s">
        <v>159</v>
      </c>
    </row>
    <row r="2012" spans="1:5" x14ac:dyDescent="0.35">
      <c r="A2012" s="2">
        <v>42510</v>
      </c>
      <c r="B2012" s="40" t="s">
        <v>102</v>
      </c>
      <c r="C2012" s="10">
        <v>79</v>
      </c>
      <c r="D2012" s="10">
        <v>479</v>
      </c>
      <c r="E2012" s="10" t="s">
        <v>159</v>
      </c>
    </row>
    <row r="2013" spans="1:5" x14ac:dyDescent="0.35">
      <c r="A2013" s="2">
        <v>42510</v>
      </c>
      <c r="B2013" s="40" t="s">
        <v>102</v>
      </c>
      <c r="C2013" s="10">
        <v>72</v>
      </c>
      <c r="D2013" s="10">
        <v>382</v>
      </c>
      <c r="E2013" s="10" t="s">
        <v>159</v>
      </c>
    </row>
    <row r="2014" spans="1:5" x14ac:dyDescent="0.35">
      <c r="A2014" s="2">
        <v>42510</v>
      </c>
      <c r="B2014" s="40" t="s">
        <v>102</v>
      </c>
      <c r="C2014" s="10">
        <v>66</v>
      </c>
      <c r="D2014" s="10">
        <v>287</v>
      </c>
      <c r="E2014" s="10" t="s">
        <v>159</v>
      </c>
    </row>
    <row r="2015" spans="1:5" x14ac:dyDescent="0.35">
      <c r="A2015" s="2">
        <v>42510</v>
      </c>
      <c r="B2015" s="40" t="s">
        <v>102</v>
      </c>
      <c r="C2015" s="10">
        <v>72</v>
      </c>
      <c r="D2015" s="10">
        <v>438</v>
      </c>
      <c r="E2015" s="10" t="s">
        <v>159</v>
      </c>
    </row>
    <row r="2016" spans="1:5" x14ac:dyDescent="0.35">
      <c r="A2016" s="2">
        <v>42510</v>
      </c>
      <c r="B2016" s="40" t="s">
        <v>102</v>
      </c>
      <c r="C2016" s="10">
        <v>94</v>
      </c>
      <c r="D2016" s="10">
        <v>822</v>
      </c>
      <c r="E2016" s="10" t="s">
        <v>98</v>
      </c>
    </row>
    <row r="2017" spans="1:5" x14ac:dyDescent="0.35">
      <c r="A2017" s="2">
        <v>42510</v>
      </c>
      <c r="B2017" s="40" t="s">
        <v>102</v>
      </c>
      <c r="C2017" s="10">
        <v>106</v>
      </c>
      <c r="D2017" s="10">
        <v>1880</v>
      </c>
      <c r="E2017" s="10" t="s">
        <v>98</v>
      </c>
    </row>
    <row r="2018" spans="1:5" s="4" customFormat="1" x14ac:dyDescent="0.35">
      <c r="A2018" s="3">
        <v>42510</v>
      </c>
      <c r="B2018" s="44" t="s">
        <v>102</v>
      </c>
      <c r="C2018" s="11">
        <v>88</v>
      </c>
      <c r="D2018" s="11">
        <v>950</v>
      </c>
      <c r="E2018" s="11" t="s">
        <v>98</v>
      </c>
    </row>
    <row r="2019" spans="1:5" x14ac:dyDescent="0.35">
      <c r="A2019" s="2">
        <v>42510</v>
      </c>
      <c r="B2019" s="40" t="s">
        <v>103</v>
      </c>
      <c r="C2019" s="10">
        <v>69</v>
      </c>
      <c r="D2019" s="10">
        <v>253</v>
      </c>
      <c r="E2019" s="10" t="s">
        <v>32</v>
      </c>
    </row>
    <row r="2020" spans="1:5" x14ac:dyDescent="0.35">
      <c r="A2020" s="2">
        <v>42510</v>
      </c>
      <c r="B2020" s="40" t="s">
        <v>103</v>
      </c>
      <c r="C2020" s="10">
        <v>72</v>
      </c>
      <c r="D2020" s="10">
        <v>473</v>
      </c>
      <c r="E2020" s="10" t="s">
        <v>159</v>
      </c>
    </row>
    <row r="2021" spans="1:5" x14ac:dyDescent="0.35">
      <c r="A2021" s="2">
        <v>42510</v>
      </c>
      <c r="B2021" s="40" t="s">
        <v>103</v>
      </c>
      <c r="C2021" s="10">
        <v>71</v>
      </c>
      <c r="D2021" s="10">
        <v>385</v>
      </c>
      <c r="E2021" s="10" t="s">
        <v>37</v>
      </c>
    </row>
    <row r="2022" spans="1:5" x14ac:dyDescent="0.35">
      <c r="A2022" s="2">
        <v>42510</v>
      </c>
      <c r="B2022" s="40" t="s">
        <v>103</v>
      </c>
      <c r="C2022" s="10">
        <v>68</v>
      </c>
      <c r="D2022" s="10">
        <v>280</v>
      </c>
      <c r="E2022" s="10" t="s">
        <v>37</v>
      </c>
    </row>
    <row r="2023" spans="1:5" x14ac:dyDescent="0.35">
      <c r="A2023" s="2">
        <v>42510</v>
      </c>
      <c r="B2023" s="40" t="s">
        <v>103</v>
      </c>
      <c r="C2023" s="10">
        <v>69</v>
      </c>
      <c r="D2023" s="10">
        <v>359</v>
      </c>
      <c r="E2023" s="10" t="s">
        <v>37</v>
      </c>
    </row>
    <row r="2024" spans="1:5" x14ac:dyDescent="0.35">
      <c r="A2024" s="2">
        <v>42510</v>
      </c>
      <c r="B2024" s="40" t="s">
        <v>103</v>
      </c>
      <c r="C2024" s="10">
        <v>72</v>
      </c>
      <c r="D2024" s="10">
        <v>372</v>
      </c>
      <c r="E2024" s="10" t="s">
        <v>159</v>
      </c>
    </row>
    <row r="2025" spans="1:5" x14ac:dyDescent="0.35">
      <c r="A2025" s="2">
        <v>42510</v>
      </c>
      <c r="B2025" s="40" t="s">
        <v>103</v>
      </c>
      <c r="C2025" s="10">
        <v>71</v>
      </c>
      <c r="D2025" s="10">
        <v>347</v>
      </c>
      <c r="E2025" s="10" t="s">
        <v>159</v>
      </c>
    </row>
    <row r="2026" spans="1:5" x14ac:dyDescent="0.35">
      <c r="A2026" s="2">
        <v>42510</v>
      </c>
      <c r="B2026" s="40" t="s">
        <v>103</v>
      </c>
      <c r="C2026" s="10">
        <v>67</v>
      </c>
      <c r="D2026" s="10">
        <v>346</v>
      </c>
      <c r="E2026" s="10" t="s">
        <v>159</v>
      </c>
    </row>
    <row r="2027" spans="1:5" x14ac:dyDescent="0.35">
      <c r="A2027" s="2">
        <v>42510</v>
      </c>
      <c r="B2027" s="40" t="s">
        <v>103</v>
      </c>
      <c r="C2027" s="10">
        <v>75</v>
      </c>
      <c r="D2027" s="10">
        <v>413</v>
      </c>
      <c r="E2027" s="10" t="s">
        <v>159</v>
      </c>
    </row>
    <row r="2028" spans="1:5" x14ac:dyDescent="0.35">
      <c r="A2028" s="2">
        <v>42510</v>
      </c>
      <c r="B2028" s="40" t="s">
        <v>103</v>
      </c>
      <c r="C2028" s="10">
        <v>72</v>
      </c>
      <c r="D2028" s="10">
        <v>343</v>
      </c>
      <c r="E2028" s="10" t="s">
        <v>37</v>
      </c>
    </row>
    <row r="2029" spans="1:5" x14ac:dyDescent="0.35">
      <c r="A2029" s="2">
        <v>42510</v>
      </c>
      <c r="B2029" s="40" t="s">
        <v>103</v>
      </c>
      <c r="C2029" s="10">
        <v>68</v>
      </c>
      <c r="D2029" s="10">
        <v>260</v>
      </c>
      <c r="E2029" s="10" t="s">
        <v>159</v>
      </c>
    </row>
    <row r="2030" spans="1:5" x14ac:dyDescent="0.35">
      <c r="A2030" s="2">
        <v>42510</v>
      </c>
      <c r="B2030" s="40" t="s">
        <v>103</v>
      </c>
      <c r="C2030" s="10">
        <v>64</v>
      </c>
      <c r="D2030" s="10">
        <v>255</v>
      </c>
      <c r="E2030" s="10" t="s">
        <v>159</v>
      </c>
    </row>
    <row r="2031" spans="1:5" x14ac:dyDescent="0.35">
      <c r="A2031" s="2">
        <v>42510</v>
      </c>
      <c r="B2031" s="40" t="s">
        <v>103</v>
      </c>
      <c r="C2031" s="10">
        <v>67</v>
      </c>
      <c r="D2031" s="10">
        <v>268</v>
      </c>
      <c r="E2031" s="10" t="s">
        <v>159</v>
      </c>
    </row>
    <row r="2032" spans="1:5" x14ac:dyDescent="0.35">
      <c r="A2032" s="2">
        <v>42510</v>
      </c>
      <c r="B2032" s="40" t="s">
        <v>103</v>
      </c>
      <c r="C2032" s="10">
        <v>77</v>
      </c>
      <c r="D2032" s="10">
        <v>464</v>
      </c>
      <c r="E2032" s="10" t="s">
        <v>159</v>
      </c>
    </row>
    <row r="2033" spans="1:5" x14ac:dyDescent="0.35">
      <c r="A2033" s="2">
        <v>42510</v>
      </c>
      <c r="B2033" s="40" t="s">
        <v>103</v>
      </c>
      <c r="C2033" s="10">
        <v>65</v>
      </c>
      <c r="D2033" s="10">
        <v>241</v>
      </c>
      <c r="E2033" s="10" t="s">
        <v>159</v>
      </c>
    </row>
    <row r="2034" spans="1:5" x14ac:dyDescent="0.35">
      <c r="A2034" s="2">
        <v>42510</v>
      </c>
      <c r="B2034" s="40" t="s">
        <v>103</v>
      </c>
      <c r="C2034" s="10">
        <v>71</v>
      </c>
      <c r="D2034" s="10">
        <v>359</v>
      </c>
      <c r="E2034" s="10" t="s">
        <v>159</v>
      </c>
    </row>
    <row r="2035" spans="1:5" x14ac:dyDescent="0.35">
      <c r="A2035" s="2">
        <v>42510</v>
      </c>
      <c r="B2035" s="40" t="s">
        <v>103</v>
      </c>
      <c r="C2035" s="10">
        <v>60</v>
      </c>
      <c r="D2035" s="10">
        <v>182</v>
      </c>
      <c r="E2035" s="10" t="s">
        <v>37</v>
      </c>
    </row>
    <row r="2036" spans="1:5" x14ac:dyDescent="0.35">
      <c r="A2036" s="2">
        <v>42510</v>
      </c>
      <c r="B2036" s="40" t="s">
        <v>103</v>
      </c>
      <c r="C2036" s="10">
        <v>72</v>
      </c>
      <c r="D2036" s="10">
        <v>364</v>
      </c>
      <c r="E2036" s="10" t="s">
        <v>159</v>
      </c>
    </row>
    <row r="2037" spans="1:5" x14ac:dyDescent="0.35">
      <c r="A2037" s="2">
        <v>42510</v>
      </c>
      <c r="B2037" s="40" t="s">
        <v>103</v>
      </c>
      <c r="C2037" s="10">
        <v>68</v>
      </c>
      <c r="D2037" s="10">
        <v>346</v>
      </c>
      <c r="E2037" s="10" t="s">
        <v>159</v>
      </c>
    </row>
    <row r="2038" spans="1:5" x14ac:dyDescent="0.35">
      <c r="A2038" s="2">
        <v>42510</v>
      </c>
      <c r="B2038" s="40" t="s">
        <v>103</v>
      </c>
      <c r="C2038" s="10">
        <v>69</v>
      </c>
      <c r="D2038" s="10">
        <v>302</v>
      </c>
      <c r="E2038" s="10" t="s">
        <v>159</v>
      </c>
    </row>
    <row r="2039" spans="1:5" x14ac:dyDescent="0.35">
      <c r="A2039" s="2">
        <v>42510</v>
      </c>
      <c r="B2039" s="40" t="s">
        <v>103</v>
      </c>
      <c r="C2039" s="10">
        <v>70</v>
      </c>
      <c r="D2039" s="10">
        <v>357</v>
      </c>
      <c r="E2039" s="10" t="s">
        <v>159</v>
      </c>
    </row>
    <row r="2040" spans="1:5" x14ac:dyDescent="0.35">
      <c r="A2040" s="2">
        <v>42510</v>
      </c>
      <c r="B2040" s="40" t="s">
        <v>103</v>
      </c>
      <c r="C2040" s="10">
        <v>71</v>
      </c>
      <c r="D2040" s="10">
        <v>371</v>
      </c>
      <c r="E2040" s="10" t="s">
        <v>159</v>
      </c>
    </row>
    <row r="2041" spans="1:5" x14ac:dyDescent="0.35">
      <c r="A2041" s="2">
        <v>42510</v>
      </c>
      <c r="B2041" s="40" t="s">
        <v>103</v>
      </c>
      <c r="C2041" s="10">
        <v>70</v>
      </c>
      <c r="D2041" s="10">
        <v>317</v>
      </c>
      <c r="E2041" s="10" t="s">
        <v>37</v>
      </c>
    </row>
    <row r="2042" spans="1:5" x14ac:dyDescent="0.35">
      <c r="A2042" s="2">
        <v>42510</v>
      </c>
      <c r="B2042" s="40" t="s">
        <v>103</v>
      </c>
      <c r="C2042" s="10">
        <v>72</v>
      </c>
      <c r="D2042" s="10">
        <v>368</v>
      </c>
      <c r="E2042" s="10" t="s">
        <v>159</v>
      </c>
    </row>
    <row r="2043" spans="1:5" x14ac:dyDescent="0.35">
      <c r="A2043" s="2">
        <v>42510</v>
      </c>
      <c r="B2043" s="40" t="s">
        <v>103</v>
      </c>
      <c r="C2043" s="10">
        <v>70</v>
      </c>
      <c r="D2043" s="10">
        <v>264</v>
      </c>
      <c r="E2043" s="10" t="s">
        <v>159</v>
      </c>
    </row>
    <row r="2044" spans="1:5" x14ac:dyDescent="0.35">
      <c r="A2044" s="2">
        <v>42510</v>
      </c>
      <c r="B2044" s="40" t="s">
        <v>103</v>
      </c>
      <c r="C2044" s="10">
        <v>68</v>
      </c>
      <c r="D2044" s="10">
        <v>374</v>
      </c>
      <c r="E2044" s="10" t="s">
        <v>159</v>
      </c>
    </row>
    <row r="2045" spans="1:5" x14ac:dyDescent="0.35">
      <c r="A2045" s="2">
        <v>42510</v>
      </c>
      <c r="B2045" s="40" t="s">
        <v>103</v>
      </c>
      <c r="C2045" s="55">
        <v>79</v>
      </c>
      <c r="D2045" s="55">
        <v>560</v>
      </c>
      <c r="E2045" s="55" t="s">
        <v>159</v>
      </c>
    </row>
    <row r="2046" spans="1:5" x14ac:dyDescent="0.35">
      <c r="A2046" s="2">
        <v>42510</v>
      </c>
      <c r="B2046" s="40" t="s">
        <v>103</v>
      </c>
      <c r="C2046" s="55">
        <v>79</v>
      </c>
      <c r="D2046" s="55">
        <v>509</v>
      </c>
      <c r="E2046" s="55" t="s">
        <v>159</v>
      </c>
    </row>
    <row r="2047" spans="1:5" x14ac:dyDescent="0.35">
      <c r="A2047" s="2">
        <v>42510</v>
      </c>
      <c r="B2047" s="40" t="s">
        <v>103</v>
      </c>
      <c r="C2047" s="55">
        <v>78</v>
      </c>
      <c r="D2047" s="55">
        <v>544</v>
      </c>
      <c r="E2047" s="55" t="s">
        <v>159</v>
      </c>
    </row>
    <row r="2048" spans="1:5" x14ac:dyDescent="0.35">
      <c r="A2048" s="2">
        <v>42510</v>
      </c>
      <c r="B2048" s="40" t="s">
        <v>103</v>
      </c>
      <c r="C2048" s="10">
        <v>96</v>
      </c>
      <c r="D2048" s="10">
        <v>1442</v>
      </c>
      <c r="E2048" s="10" t="s">
        <v>98</v>
      </c>
    </row>
    <row r="2049" spans="1:5" x14ac:dyDescent="0.35">
      <c r="A2049" s="2">
        <v>42510</v>
      </c>
      <c r="B2049" s="40" t="s">
        <v>103</v>
      </c>
      <c r="C2049" s="10">
        <v>115</v>
      </c>
      <c r="D2049" s="10">
        <v>1880</v>
      </c>
      <c r="E2049" s="10" t="s">
        <v>98</v>
      </c>
    </row>
    <row r="2050" spans="1:5" x14ac:dyDescent="0.35">
      <c r="A2050" s="2">
        <v>42510</v>
      </c>
      <c r="B2050" s="40" t="s">
        <v>103</v>
      </c>
      <c r="C2050" s="10">
        <v>95</v>
      </c>
      <c r="D2050" s="10">
        <v>1183</v>
      </c>
      <c r="E2050" s="10" t="s">
        <v>98</v>
      </c>
    </row>
    <row r="2051" spans="1:5" s="4" customFormat="1" x14ac:dyDescent="0.35">
      <c r="A2051" s="3">
        <v>42510</v>
      </c>
      <c r="B2051" s="44" t="s">
        <v>103</v>
      </c>
      <c r="C2051" s="11">
        <v>97</v>
      </c>
      <c r="D2051" s="11">
        <v>1391</v>
      </c>
      <c r="E2051" s="11" t="s">
        <v>98</v>
      </c>
    </row>
    <row r="2052" spans="1:5" x14ac:dyDescent="0.35">
      <c r="A2052" s="2">
        <v>42510</v>
      </c>
      <c r="B2052" s="40" t="s">
        <v>104</v>
      </c>
      <c r="C2052" s="10">
        <v>67</v>
      </c>
      <c r="D2052" s="10">
        <v>217</v>
      </c>
      <c r="E2052" s="10" t="s">
        <v>32</v>
      </c>
    </row>
    <row r="2053" spans="1:5" x14ac:dyDescent="0.35">
      <c r="A2053" s="2">
        <v>42510</v>
      </c>
      <c r="B2053" s="40" t="s">
        <v>104</v>
      </c>
      <c r="C2053" s="10">
        <v>68</v>
      </c>
      <c r="D2053" s="10">
        <v>383</v>
      </c>
      <c r="E2053" s="10" t="s">
        <v>159</v>
      </c>
    </row>
    <row r="2054" spans="1:5" x14ac:dyDescent="0.35">
      <c r="A2054" s="2">
        <v>42510</v>
      </c>
      <c r="B2054" s="40" t="s">
        <v>104</v>
      </c>
      <c r="C2054" s="10">
        <v>71</v>
      </c>
      <c r="D2054" s="10">
        <v>310</v>
      </c>
      <c r="E2054" s="10" t="s">
        <v>159</v>
      </c>
    </row>
    <row r="2055" spans="1:5" x14ac:dyDescent="0.35">
      <c r="A2055" s="2">
        <v>42510</v>
      </c>
      <c r="B2055" s="40" t="s">
        <v>104</v>
      </c>
      <c r="C2055" s="10">
        <v>64</v>
      </c>
      <c r="D2055" s="10">
        <v>273</v>
      </c>
      <c r="E2055" s="10" t="s">
        <v>37</v>
      </c>
    </row>
    <row r="2056" spans="1:5" x14ac:dyDescent="0.35">
      <c r="A2056" s="2">
        <v>42510</v>
      </c>
      <c r="B2056" s="40" t="s">
        <v>104</v>
      </c>
      <c r="C2056" s="10">
        <v>71</v>
      </c>
      <c r="D2056" s="10">
        <v>320</v>
      </c>
      <c r="E2056" s="10" t="s">
        <v>159</v>
      </c>
    </row>
    <row r="2057" spans="1:5" x14ac:dyDescent="0.35">
      <c r="A2057" s="2">
        <v>42510</v>
      </c>
      <c r="B2057" s="40" t="s">
        <v>104</v>
      </c>
      <c r="C2057" s="10">
        <v>71</v>
      </c>
      <c r="D2057" s="10">
        <v>310</v>
      </c>
      <c r="E2057" s="10" t="s">
        <v>37</v>
      </c>
    </row>
    <row r="2058" spans="1:5" x14ac:dyDescent="0.35">
      <c r="A2058" s="2">
        <v>42510</v>
      </c>
      <c r="B2058" s="40" t="s">
        <v>104</v>
      </c>
      <c r="C2058" s="10">
        <v>73</v>
      </c>
      <c r="D2058" s="10">
        <v>412</v>
      </c>
      <c r="E2058" s="10" t="s">
        <v>159</v>
      </c>
    </row>
    <row r="2059" spans="1:5" x14ac:dyDescent="0.35">
      <c r="A2059" s="2">
        <v>42510</v>
      </c>
      <c r="B2059" s="40" t="s">
        <v>104</v>
      </c>
      <c r="C2059" s="10">
        <v>68</v>
      </c>
      <c r="D2059" s="10">
        <v>389</v>
      </c>
      <c r="E2059" s="10" t="s">
        <v>159</v>
      </c>
    </row>
    <row r="2060" spans="1:5" x14ac:dyDescent="0.35">
      <c r="A2060" s="2">
        <v>42510</v>
      </c>
      <c r="B2060" s="40" t="s">
        <v>104</v>
      </c>
      <c r="C2060" s="10">
        <v>69</v>
      </c>
      <c r="D2060" s="10">
        <v>272</v>
      </c>
      <c r="E2060" s="10" t="s">
        <v>32</v>
      </c>
    </row>
    <row r="2061" spans="1:5" x14ac:dyDescent="0.35">
      <c r="A2061" s="2">
        <v>42510</v>
      </c>
      <c r="B2061" s="40" t="s">
        <v>104</v>
      </c>
      <c r="C2061" s="10">
        <v>74</v>
      </c>
      <c r="D2061" s="10">
        <v>393</v>
      </c>
      <c r="E2061" s="10" t="s">
        <v>159</v>
      </c>
    </row>
    <row r="2062" spans="1:5" x14ac:dyDescent="0.35">
      <c r="A2062" s="2">
        <v>42510</v>
      </c>
      <c r="B2062" s="40" t="s">
        <v>104</v>
      </c>
      <c r="C2062" s="10">
        <v>72</v>
      </c>
      <c r="D2062" s="10">
        <v>386</v>
      </c>
      <c r="E2062" s="10" t="s">
        <v>159</v>
      </c>
    </row>
    <row r="2063" spans="1:5" x14ac:dyDescent="0.35">
      <c r="A2063" s="2">
        <v>42510</v>
      </c>
      <c r="B2063" s="40" t="s">
        <v>104</v>
      </c>
      <c r="C2063" s="10">
        <v>73</v>
      </c>
      <c r="D2063" s="10">
        <v>500</v>
      </c>
      <c r="E2063" s="10" t="s">
        <v>159</v>
      </c>
    </row>
    <row r="2064" spans="1:5" x14ac:dyDescent="0.35">
      <c r="A2064" s="2">
        <v>42510</v>
      </c>
      <c r="B2064" s="40" t="s">
        <v>104</v>
      </c>
      <c r="C2064" s="10">
        <v>70</v>
      </c>
      <c r="D2064" s="10">
        <v>313</v>
      </c>
      <c r="E2064" s="10" t="s">
        <v>159</v>
      </c>
    </row>
    <row r="2065" spans="1:6" x14ac:dyDescent="0.35">
      <c r="A2065" s="2">
        <v>42510</v>
      </c>
      <c r="B2065" s="40" t="s">
        <v>104</v>
      </c>
      <c r="C2065" s="10">
        <v>65</v>
      </c>
      <c r="D2065" s="10">
        <v>305</v>
      </c>
      <c r="E2065" s="10" t="s">
        <v>159</v>
      </c>
    </row>
    <row r="2066" spans="1:6" x14ac:dyDescent="0.35">
      <c r="A2066" s="2">
        <v>42510</v>
      </c>
      <c r="B2066" s="40" t="s">
        <v>104</v>
      </c>
      <c r="C2066" s="10">
        <v>71</v>
      </c>
      <c r="D2066" s="10">
        <v>300</v>
      </c>
      <c r="E2066" s="10" t="s">
        <v>159</v>
      </c>
    </row>
    <row r="2067" spans="1:6" x14ac:dyDescent="0.35">
      <c r="A2067" s="2">
        <v>42510</v>
      </c>
      <c r="B2067" s="40" t="s">
        <v>104</v>
      </c>
      <c r="C2067" s="10">
        <v>62</v>
      </c>
      <c r="D2067" s="10">
        <v>229</v>
      </c>
      <c r="E2067" s="10" t="s">
        <v>37</v>
      </c>
    </row>
    <row r="2068" spans="1:6" x14ac:dyDescent="0.35">
      <c r="A2068" s="2">
        <v>42510</v>
      </c>
      <c r="B2068" s="40" t="s">
        <v>104</v>
      </c>
      <c r="C2068" s="10">
        <v>68</v>
      </c>
      <c r="D2068" s="10">
        <v>297</v>
      </c>
      <c r="E2068" s="10" t="s">
        <v>159</v>
      </c>
    </row>
    <row r="2069" spans="1:6" x14ac:dyDescent="0.35">
      <c r="A2069" s="2">
        <v>42510</v>
      </c>
      <c r="B2069" s="40" t="s">
        <v>104</v>
      </c>
      <c r="C2069" s="10">
        <v>67</v>
      </c>
      <c r="D2069" s="10">
        <v>322</v>
      </c>
      <c r="E2069" s="10" t="s">
        <v>159</v>
      </c>
    </row>
    <row r="2070" spans="1:6" x14ac:dyDescent="0.35">
      <c r="A2070" s="2">
        <v>42510</v>
      </c>
      <c r="B2070" s="40" t="s">
        <v>104</v>
      </c>
      <c r="C2070" s="10">
        <v>62</v>
      </c>
      <c r="D2070" s="10">
        <v>205</v>
      </c>
      <c r="E2070" s="10" t="s">
        <v>32</v>
      </c>
    </row>
    <row r="2071" spans="1:6" x14ac:dyDescent="0.35">
      <c r="A2071" s="2">
        <v>42510</v>
      </c>
      <c r="B2071" s="40" t="s">
        <v>104</v>
      </c>
      <c r="C2071" s="10">
        <v>73</v>
      </c>
      <c r="D2071" s="10">
        <v>451</v>
      </c>
      <c r="E2071" s="10" t="s">
        <v>159</v>
      </c>
    </row>
    <row r="2072" spans="1:6" x14ac:dyDescent="0.35">
      <c r="A2072" s="2">
        <v>42510</v>
      </c>
      <c r="B2072" s="40" t="s">
        <v>104</v>
      </c>
      <c r="C2072" s="10">
        <v>66</v>
      </c>
      <c r="D2072" s="10">
        <v>297</v>
      </c>
      <c r="E2072" s="10" t="s">
        <v>159</v>
      </c>
    </row>
    <row r="2073" spans="1:6" x14ac:dyDescent="0.35">
      <c r="A2073" s="2">
        <v>42510</v>
      </c>
      <c r="B2073" s="40" t="s">
        <v>104</v>
      </c>
      <c r="C2073" s="55">
        <v>77</v>
      </c>
      <c r="D2073" s="55">
        <v>514</v>
      </c>
      <c r="E2073" s="55" t="s">
        <v>159</v>
      </c>
    </row>
    <row r="2074" spans="1:6" x14ac:dyDescent="0.35">
      <c r="A2074" s="2">
        <v>42510</v>
      </c>
      <c r="B2074" s="40" t="s">
        <v>104</v>
      </c>
      <c r="C2074" s="55">
        <v>77</v>
      </c>
      <c r="D2074" s="55">
        <v>535</v>
      </c>
      <c r="E2074" s="55" t="s">
        <v>159</v>
      </c>
    </row>
    <row r="2075" spans="1:6" s="4" customFormat="1" x14ac:dyDescent="0.35">
      <c r="A2075" s="3">
        <v>42510</v>
      </c>
      <c r="B2075" s="44" t="s">
        <v>104</v>
      </c>
      <c r="C2075" s="11">
        <v>107</v>
      </c>
      <c r="D2075" s="11">
        <v>1744</v>
      </c>
      <c r="E2075" s="11" t="s">
        <v>98</v>
      </c>
    </row>
    <row r="2076" spans="1:6" x14ac:dyDescent="0.35">
      <c r="A2076" s="2">
        <v>42510</v>
      </c>
      <c r="B2076" s="40" t="s">
        <v>63</v>
      </c>
      <c r="C2076" s="10">
        <v>71</v>
      </c>
      <c r="D2076" s="10">
        <v>406</v>
      </c>
      <c r="E2076" s="10" t="s">
        <v>159</v>
      </c>
      <c r="F2076" t="s">
        <v>163</v>
      </c>
    </row>
    <row r="2077" spans="1:6" x14ac:dyDescent="0.35">
      <c r="A2077" s="2">
        <v>42510</v>
      </c>
      <c r="B2077" s="40" t="s">
        <v>63</v>
      </c>
      <c r="C2077" s="10">
        <v>68</v>
      </c>
      <c r="D2077" s="10">
        <v>284</v>
      </c>
      <c r="E2077" s="10" t="s">
        <v>37</v>
      </c>
    </row>
    <row r="2078" spans="1:6" x14ac:dyDescent="0.35">
      <c r="A2078" s="2">
        <v>42510</v>
      </c>
      <c r="B2078" s="40" t="s">
        <v>63</v>
      </c>
      <c r="C2078" s="10">
        <v>73</v>
      </c>
      <c r="D2078" s="10">
        <v>422</v>
      </c>
      <c r="E2078" s="10" t="s">
        <v>159</v>
      </c>
    </row>
    <row r="2079" spans="1:6" x14ac:dyDescent="0.35">
      <c r="A2079" s="2">
        <v>42510</v>
      </c>
      <c r="B2079" s="40" t="s">
        <v>63</v>
      </c>
      <c r="C2079" s="10">
        <v>72</v>
      </c>
      <c r="D2079" s="10">
        <v>338</v>
      </c>
      <c r="E2079" s="10" t="s">
        <v>159</v>
      </c>
    </row>
    <row r="2080" spans="1:6" x14ac:dyDescent="0.35">
      <c r="A2080" s="2">
        <v>42510</v>
      </c>
      <c r="B2080" s="40" t="s">
        <v>63</v>
      </c>
      <c r="C2080" s="10">
        <v>70</v>
      </c>
      <c r="D2080" s="10">
        <v>304</v>
      </c>
      <c r="E2080" s="10" t="s">
        <v>32</v>
      </c>
    </row>
    <row r="2081" spans="1:6" x14ac:dyDescent="0.35">
      <c r="A2081" s="2">
        <v>42510</v>
      </c>
      <c r="B2081" s="40" t="s">
        <v>63</v>
      </c>
      <c r="C2081" s="10">
        <v>71</v>
      </c>
      <c r="D2081" s="10">
        <v>339</v>
      </c>
      <c r="E2081" s="10" t="s">
        <v>159</v>
      </c>
    </row>
    <row r="2082" spans="1:6" x14ac:dyDescent="0.35">
      <c r="A2082" s="2">
        <v>42510</v>
      </c>
      <c r="B2082" s="40" t="s">
        <v>63</v>
      </c>
      <c r="C2082" s="10">
        <v>72</v>
      </c>
      <c r="D2082" s="10">
        <v>467</v>
      </c>
      <c r="E2082" s="10" t="s">
        <v>159</v>
      </c>
    </row>
    <row r="2083" spans="1:6" x14ac:dyDescent="0.35">
      <c r="A2083" s="2">
        <v>42510</v>
      </c>
      <c r="B2083" s="40" t="s">
        <v>63</v>
      </c>
      <c r="C2083" s="10">
        <v>64</v>
      </c>
      <c r="D2083" s="10">
        <v>277</v>
      </c>
      <c r="E2083" s="10" t="s">
        <v>159</v>
      </c>
    </row>
    <row r="2084" spans="1:6" x14ac:dyDescent="0.35">
      <c r="A2084" s="2">
        <v>42510</v>
      </c>
      <c r="B2084" s="40" t="s">
        <v>63</v>
      </c>
      <c r="C2084" s="10">
        <v>76</v>
      </c>
      <c r="D2084" s="10">
        <v>392</v>
      </c>
      <c r="E2084" s="10" t="s">
        <v>159</v>
      </c>
    </row>
    <row r="2085" spans="1:6" x14ac:dyDescent="0.35">
      <c r="A2085" s="2">
        <v>42510</v>
      </c>
      <c r="B2085" s="40" t="s">
        <v>63</v>
      </c>
      <c r="C2085" s="10">
        <v>64</v>
      </c>
      <c r="D2085" s="10">
        <v>239</v>
      </c>
      <c r="E2085" s="10" t="s">
        <v>159</v>
      </c>
    </row>
    <row r="2086" spans="1:6" x14ac:dyDescent="0.35">
      <c r="A2086" s="2">
        <v>42510</v>
      </c>
      <c r="B2086" s="40" t="s">
        <v>63</v>
      </c>
      <c r="C2086" s="10">
        <v>70</v>
      </c>
      <c r="D2086" s="10">
        <v>215</v>
      </c>
      <c r="E2086" s="10" t="s">
        <v>32</v>
      </c>
    </row>
    <row r="2087" spans="1:6" x14ac:dyDescent="0.35">
      <c r="A2087" s="2">
        <v>42510</v>
      </c>
      <c r="B2087" s="40" t="s">
        <v>63</v>
      </c>
      <c r="C2087" s="10">
        <v>67</v>
      </c>
      <c r="D2087" s="10">
        <v>292</v>
      </c>
      <c r="E2087" s="10" t="s">
        <v>37</v>
      </c>
    </row>
    <row r="2088" spans="1:6" x14ac:dyDescent="0.35">
      <c r="A2088" s="2">
        <v>42510</v>
      </c>
      <c r="B2088" s="40" t="s">
        <v>63</v>
      </c>
      <c r="C2088" s="10">
        <v>64</v>
      </c>
      <c r="D2088" s="10">
        <v>225</v>
      </c>
      <c r="E2088" s="10" t="s">
        <v>159</v>
      </c>
    </row>
    <row r="2089" spans="1:6" x14ac:dyDescent="0.35">
      <c r="A2089" s="2">
        <v>42510</v>
      </c>
      <c r="B2089" s="40" t="s">
        <v>63</v>
      </c>
      <c r="C2089" s="10">
        <v>73</v>
      </c>
      <c r="D2089" s="10">
        <v>462</v>
      </c>
      <c r="E2089" s="10" t="s">
        <v>159</v>
      </c>
    </row>
    <row r="2090" spans="1:6" x14ac:dyDescent="0.35">
      <c r="A2090" s="2">
        <v>42510</v>
      </c>
      <c r="B2090" s="40" t="s">
        <v>63</v>
      </c>
      <c r="C2090" s="10">
        <v>68</v>
      </c>
      <c r="D2090" s="10">
        <v>305</v>
      </c>
      <c r="E2090" s="10" t="s">
        <v>159</v>
      </c>
    </row>
    <row r="2091" spans="1:6" x14ac:dyDescent="0.35">
      <c r="A2091" s="2">
        <v>42510</v>
      </c>
      <c r="B2091" s="40" t="s">
        <v>63</v>
      </c>
      <c r="C2091" s="10">
        <v>62</v>
      </c>
      <c r="D2091" s="10">
        <v>232</v>
      </c>
      <c r="E2091" s="10" t="s">
        <v>32</v>
      </c>
    </row>
    <row r="2092" spans="1:6" x14ac:dyDescent="0.35">
      <c r="A2092" s="2">
        <v>42510</v>
      </c>
      <c r="B2092" s="40" t="s">
        <v>63</v>
      </c>
      <c r="C2092" s="10">
        <v>68</v>
      </c>
      <c r="D2092" s="10">
        <v>374</v>
      </c>
      <c r="E2092" s="10" t="s">
        <v>159</v>
      </c>
    </row>
    <row r="2093" spans="1:6" x14ac:dyDescent="0.35">
      <c r="A2093" s="2">
        <v>42510</v>
      </c>
      <c r="B2093" s="40" t="s">
        <v>63</v>
      </c>
      <c r="C2093" s="10">
        <v>63</v>
      </c>
      <c r="D2093" s="10">
        <v>305</v>
      </c>
      <c r="E2093" s="10" t="s">
        <v>159</v>
      </c>
      <c r="F2093" t="s">
        <v>163</v>
      </c>
    </row>
    <row r="2094" spans="1:6" x14ac:dyDescent="0.35">
      <c r="A2094" s="2">
        <v>42510</v>
      </c>
      <c r="B2094" s="40" t="s">
        <v>63</v>
      </c>
      <c r="C2094" s="10">
        <v>70</v>
      </c>
      <c r="D2094" s="10">
        <v>304</v>
      </c>
      <c r="E2094" s="10" t="s">
        <v>37</v>
      </c>
    </row>
    <row r="2095" spans="1:6" x14ac:dyDescent="0.35">
      <c r="A2095" s="2">
        <v>42510</v>
      </c>
      <c r="B2095" s="40" t="s">
        <v>63</v>
      </c>
      <c r="C2095" s="10">
        <v>104</v>
      </c>
      <c r="D2095" s="10">
        <v>1845</v>
      </c>
      <c r="E2095" s="10" t="s">
        <v>98</v>
      </c>
    </row>
    <row r="2096" spans="1:6" x14ac:dyDescent="0.35">
      <c r="A2096" s="2">
        <v>42510</v>
      </c>
      <c r="B2096" s="40" t="s">
        <v>63</v>
      </c>
      <c r="C2096" s="10">
        <v>107</v>
      </c>
      <c r="D2096" s="10">
        <v>1802</v>
      </c>
      <c r="E2096" s="10" t="s">
        <v>98</v>
      </c>
    </row>
    <row r="2097" spans="1:5" x14ac:dyDescent="0.35">
      <c r="A2097" s="2">
        <v>42510</v>
      </c>
      <c r="B2097" s="40" t="s">
        <v>63</v>
      </c>
      <c r="C2097" s="10">
        <v>107</v>
      </c>
      <c r="D2097" s="10">
        <v>1807</v>
      </c>
      <c r="E2097" s="10" t="s">
        <v>98</v>
      </c>
    </row>
    <row r="2098" spans="1:5" x14ac:dyDescent="0.35">
      <c r="A2098" s="2">
        <v>42510</v>
      </c>
      <c r="B2098" s="40" t="s">
        <v>63</v>
      </c>
      <c r="C2098" s="10">
        <v>97</v>
      </c>
      <c r="D2098" s="10">
        <v>1243</v>
      </c>
      <c r="E2098" s="10" t="s">
        <v>98</v>
      </c>
    </row>
    <row r="2099" spans="1:5" x14ac:dyDescent="0.35">
      <c r="A2099" s="2">
        <v>42510</v>
      </c>
      <c r="B2099" s="40" t="s">
        <v>63</v>
      </c>
      <c r="C2099" s="10">
        <v>104</v>
      </c>
      <c r="D2099" s="10">
        <v>1590</v>
      </c>
      <c r="E2099" s="10" t="s">
        <v>98</v>
      </c>
    </row>
    <row r="2100" spans="1:5" x14ac:dyDescent="0.35">
      <c r="A2100" s="2">
        <v>42510</v>
      </c>
      <c r="B2100" s="40" t="s">
        <v>63</v>
      </c>
      <c r="C2100" s="10">
        <v>103</v>
      </c>
      <c r="D2100" s="10">
        <v>1473</v>
      </c>
      <c r="E2100" s="10" t="s">
        <v>98</v>
      </c>
    </row>
    <row r="2101" spans="1:5" x14ac:dyDescent="0.35">
      <c r="A2101" s="2">
        <v>42510</v>
      </c>
      <c r="B2101" s="40" t="s">
        <v>63</v>
      </c>
      <c r="C2101" s="10">
        <v>109</v>
      </c>
      <c r="D2101" s="10">
        <v>2096</v>
      </c>
      <c r="E2101" s="10" t="s">
        <v>98</v>
      </c>
    </row>
    <row r="2102" spans="1:5" x14ac:dyDescent="0.35">
      <c r="A2102" s="2">
        <v>42510</v>
      </c>
      <c r="B2102" s="40" t="s">
        <v>63</v>
      </c>
      <c r="C2102" s="10">
        <v>93</v>
      </c>
      <c r="D2102" s="10">
        <v>1088</v>
      </c>
      <c r="E2102" s="10" t="s">
        <v>98</v>
      </c>
    </row>
    <row r="2103" spans="1:5" x14ac:dyDescent="0.35">
      <c r="A2103" s="2">
        <v>42510</v>
      </c>
      <c r="B2103" s="40" t="s">
        <v>63</v>
      </c>
      <c r="C2103" s="10">
        <v>88</v>
      </c>
      <c r="D2103" s="10">
        <v>1015</v>
      </c>
      <c r="E2103" s="10" t="s">
        <v>98</v>
      </c>
    </row>
    <row r="2104" spans="1:5" x14ac:dyDescent="0.35">
      <c r="A2104" s="2">
        <v>42510</v>
      </c>
      <c r="B2104" s="40" t="s">
        <v>63</v>
      </c>
      <c r="C2104" s="10">
        <v>83</v>
      </c>
      <c r="D2104" s="10">
        <v>726</v>
      </c>
      <c r="E2104" s="10" t="s">
        <v>98</v>
      </c>
    </row>
    <row r="2105" spans="1:5" s="4" customFormat="1" x14ac:dyDescent="0.35">
      <c r="A2105" s="3">
        <v>42510</v>
      </c>
      <c r="B2105" s="44" t="s">
        <v>63</v>
      </c>
      <c r="C2105" s="11">
        <v>132</v>
      </c>
      <c r="D2105" s="11">
        <v>4596</v>
      </c>
      <c r="E2105" s="11" t="s">
        <v>98</v>
      </c>
    </row>
    <row r="2106" spans="1:5" x14ac:dyDescent="0.35">
      <c r="A2106" s="2">
        <v>42510</v>
      </c>
      <c r="B2106" s="40" t="s">
        <v>66</v>
      </c>
      <c r="C2106" s="10">
        <v>71</v>
      </c>
      <c r="D2106" s="10">
        <v>279</v>
      </c>
      <c r="E2106" s="10" t="s">
        <v>37</v>
      </c>
    </row>
    <row r="2107" spans="1:5" x14ac:dyDescent="0.35">
      <c r="A2107" s="2">
        <v>42510</v>
      </c>
      <c r="B2107" s="40" t="s">
        <v>66</v>
      </c>
      <c r="C2107" s="10">
        <v>72</v>
      </c>
      <c r="D2107" s="10">
        <v>382</v>
      </c>
      <c r="E2107" s="10" t="s">
        <v>159</v>
      </c>
    </row>
    <row r="2108" spans="1:5" x14ac:dyDescent="0.35">
      <c r="A2108" s="2">
        <v>42510</v>
      </c>
      <c r="B2108" s="40" t="s">
        <v>66</v>
      </c>
      <c r="C2108" s="10">
        <v>68</v>
      </c>
      <c r="D2108" s="10">
        <v>308</v>
      </c>
      <c r="E2108" s="10" t="s">
        <v>37</v>
      </c>
    </row>
    <row r="2109" spans="1:5" x14ac:dyDescent="0.35">
      <c r="A2109" s="2">
        <v>42510</v>
      </c>
      <c r="B2109" s="40" t="s">
        <v>66</v>
      </c>
      <c r="C2109" s="10">
        <v>72</v>
      </c>
      <c r="D2109" s="10">
        <v>340</v>
      </c>
      <c r="E2109" s="10" t="s">
        <v>159</v>
      </c>
    </row>
    <row r="2110" spans="1:5" x14ac:dyDescent="0.35">
      <c r="A2110" s="2">
        <v>42510</v>
      </c>
      <c r="B2110" s="40" t="s">
        <v>66</v>
      </c>
      <c r="C2110" s="10">
        <v>72</v>
      </c>
      <c r="D2110" s="10">
        <v>403</v>
      </c>
      <c r="E2110" s="10" t="s">
        <v>159</v>
      </c>
    </row>
    <row r="2111" spans="1:5" x14ac:dyDescent="0.35">
      <c r="A2111" s="2">
        <v>42510</v>
      </c>
      <c r="B2111" s="40" t="s">
        <v>66</v>
      </c>
      <c r="C2111" s="10">
        <v>64</v>
      </c>
      <c r="D2111" s="10">
        <v>193</v>
      </c>
      <c r="E2111" s="10" t="s">
        <v>32</v>
      </c>
    </row>
    <row r="2112" spans="1:5" x14ac:dyDescent="0.35">
      <c r="A2112" s="2">
        <v>42510</v>
      </c>
      <c r="B2112" s="40" t="s">
        <v>66</v>
      </c>
      <c r="C2112" s="10">
        <v>68</v>
      </c>
      <c r="D2112" s="10">
        <v>312</v>
      </c>
      <c r="E2112" s="10" t="s">
        <v>159</v>
      </c>
    </row>
    <row r="2113" spans="1:5" x14ac:dyDescent="0.35">
      <c r="A2113" s="2">
        <v>42510</v>
      </c>
      <c r="B2113" s="40" t="s">
        <v>66</v>
      </c>
      <c r="C2113" s="10">
        <v>70</v>
      </c>
      <c r="D2113" s="10">
        <v>348</v>
      </c>
      <c r="E2113" s="10" t="s">
        <v>159</v>
      </c>
    </row>
    <row r="2114" spans="1:5" x14ac:dyDescent="0.35">
      <c r="A2114" s="2">
        <v>42510</v>
      </c>
      <c r="B2114" s="40" t="s">
        <v>66</v>
      </c>
      <c r="C2114" s="10">
        <v>69</v>
      </c>
      <c r="D2114" s="10">
        <v>213</v>
      </c>
      <c r="E2114" s="10" t="s">
        <v>37</v>
      </c>
    </row>
    <row r="2115" spans="1:5" x14ac:dyDescent="0.35">
      <c r="A2115" s="2">
        <v>42510</v>
      </c>
      <c r="B2115" s="40" t="s">
        <v>66</v>
      </c>
      <c r="C2115" s="10">
        <v>68</v>
      </c>
      <c r="D2115" s="10">
        <v>364</v>
      </c>
      <c r="E2115" s="10" t="s">
        <v>159</v>
      </c>
    </row>
    <row r="2116" spans="1:5" x14ac:dyDescent="0.35">
      <c r="A2116" s="2">
        <v>42510</v>
      </c>
      <c r="B2116" s="40" t="s">
        <v>66</v>
      </c>
      <c r="C2116" s="10">
        <v>73</v>
      </c>
      <c r="D2116" s="10">
        <v>461</v>
      </c>
      <c r="E2116" s="10" t="s">
        <v>159</v>
      </c>
    </row>
    <row r="2117" spans="1:5" x14ac:dyDescent="0.35">
      <c r="A2117" s="2">
        <v>42510</v>
      </c>
      <c r="B2117" s="40" t="s">
        <v>66</v>
      </c>
      <c r="C2117" s="10">
        <v>78</v>
      </c>
      <c r="D2117" s="10">
        <v>412</v>
      </c>
      <c r="E2117" s="10" t="s">
        <v>159</v>
      </c>
    </row>
    <row r="2118" spans="1:5" x14ac:dyDescent="0.35">
      <c r="A2118" s="2">
        <v>42510</v>
      </c>
      <c r="B2118" s="40" t="s">
        <v>66</v>
      </c>
      <c r="C2118" s="10">
        <v>71</v>
      </c>
      <c r="D2118" s="10">
        <v>354</v>
      </c>
      <c r="E2118" s="10" t="s">
        <v>159</v>
      </c>
    </row>
    <row r="2119" spans="1:5" x14ac:dyDescent="0.35">
      <c r="A2119" s="2">
        <v>42510</v>
      </c>
      <c r="B2119" s="40" t="s">
        <v>66</v>
      </c>
      <c r="C2119" s="10">
        <v>62</v>
      </c>
      <c r="D2119" s="10">
        <v>283</v>
      </c>
      <c r="E2119" s="10" t="s">
        <v>37</v>
      </c>
    </row>
    <row r="2120" spans="1:5" x14ac:dyDescent="0.35">
      <c r="A2120" s="2">
        <v>42510</v>
      </c>
      <c r="B2120" s="40" t="s">
        <v>66</v>
      </c>
      <c r="C2120" s="10">
        <v>62</v>
      </c>
      <c r="D2120" s="10">
        <v>216</v>
      </c>
      <c r="E2120" s="10" t="s">
        <v>159</v>
      </c>
    </row>
    <row r="2121" spans="1:5" x14ac:dyDescent="0.35">
      <c r="A2121" s="2">
        <v>42510</v>
      </c>
      <c r="B2121" s="40" t="s">
        <v>66</v>
      </c>
      <c r="C2121" s="10">
        <v>65</v>
      </c>
      <c r="D2121" s="10">
        <v>295</v>
      </c>
      <c r="E2121" s="10" t="s">
        <v>159</v>
      </c>
    </row>
    <row r="2122" spans="1:5" x14ac:dyDescent="0.35">
      <c r="A2122" s="2">
        <v>42510</v>
      </c>
      <c r="B2122" s="40" t="s">
        <v>66</v>
      </c>
      <c r="C2122" s="10">
        <v>61</v>
      </c>
      <c r="D2122" s="10">
        <v>304</v>
      </c>
      <c r="E2122" s="10" t="s">
        <v>159</v>
      </c>
    </row>
    <row r="2123" spans="1:5" x14ac:dyDescent="0.35">
      <c r="A2123" s="2">
        <v>42510</v>
      </c>
      <c r="B2123" s="40" t="s">
        <v>66</v>
      </c>
      <c r="C2123" s="10">
        <v>72</v>
      </c>
      <c r="D2123" s="10">
        <v>365</v>
      </c>
      <c r="E2123" s="10" t="s">
        <v>159</v>
      </c>
    </row>
    <row r="2124" spans="1:5" x14ac:dyDescent="0.35">
      <c r="A2124" s="2">
        <v>42510</v>
      </c>
      <c r="B2124" s="40" t="s">
        <v>66</v>
      </c>
      <c r="C2124" s="10">
        <v>73</v>
      </c>
      <c r="D2124" s="10">
        <v>314</v>
      </c>
      <c r="E2124" s="10" t="s">
        <v>37</v>
      </c>
    </row>
    <row r="2125" spans="1:5" x14ac:dyDescent="0.35">
      <c r="A2125" s="2">
        <v>42510</v>
      </c>
      <c r="B2125" s="40" t="s">
        <v>66</v>
      </c>
      <c r="C2125" s="10">
        <v>61</v>
      </c>
      <c r="D2125" s="10">
        <v>210</v>
      </c>
      <c r="E2125" s="10" t="s">
        <v>159</v>
      </c>
    </row>
    <row r="2126" spans="1:5" x14ac:dyDescent="0.35">
      <c r="A2126" s="2">
        <v>42510</v>
      </c>
      <c r="B2126" s="40" t="s">
        <v>66</v>
      </c>
      <c r="C2126" s="10">
        <v>72</v>
      </c>
      <c r="D2126" s="10">
        <v>434</v>
      </c>
      <c r="E2126" s="10" t="s">
        <v>159</v>
      </c>
    </row>
    <row r="2127" spans="1:5" x14ac:dyDescent="0.35">
      <c r="A2127" s="2">
        <v>42510</v>
      </c>
      <c r="B2127" s="40" t="s">
        <v>66</v>
      </c>
      <c r="C2127" s="10">
        <v>71</v>
      </c>
      <c r="D2127" s="10">
        <v>290</v>
      </c>
      <c r="E2127" s="10" t="s">
        <v>37</v>
      </c>
    </row>
    <row r="2128" spans="1:5" x14ac:dyDescent="0.35">
      <c r="A2128" s="2">
        <v>42510</v>
      </c>
      <c r="B2128" s="40" t="s">
        <v>66</v>
      </c>
      <c r="C2128" s="10">
        <v>71</v>
      </c>
      <c r="D2128" s="10">
        <v>368</v>
      </c>
      <c r="E2128" s="10" t="s">
        <v>159</v>
      </c>
    </row>
    <row r="2129" spans="1:13" x14ac:dyDescent="0.35">
      <c r="A2129" s="2">
        <v>42510</v>
      </c>
      <c r="B2129" s="40" t="s">
        <v>66</v>
      </c>
      <c r="C2129" s="10">
        <v>68</v>
      </c>
      <c r="D2129" s="10">
        <v>335</v>
      </c>
      <c r="E2129" s="10" t="s">
        <v>159</v>
      </c>
    </row>
    <row r="2130" spans="1:13" x14ac:dyDescent="0.35">
      <c r="A2130" s="2">
        <v>42510</v>
      </c>
      <c r="B2130" s="40" t="s">
        <v>66</v>
      </c>
      <c r="C2130" s="10">
        <v>76</v>
      </c>
      <c r="D2130" s="10">
        <v>418</v>
      </c>
      <c r="E2130" s="10" t="s">
        <v>159</v>
      </c>
    </row>
    <row r="2131" spans="1:13" x14ac:dyDescent="0.35">
      <c r="A2131" s="2">
        <v>42510</v>
      </c>
      <c r="B2131" s="40" t="s">
        <v>66</v>
      </c>
      <c r="C2131" s="10">
        <v>66</v>
      </c>
      <c r="D2131" s="10">
        <v>260</v>
      </c>
      <c r="E2131" s="10" t="s">
        <v>32</v>
      </c>
    </row>
    <row r="2132" spans="1:13" x14ac:dyDescent="0.35">
      <c r="A2132" s="2">
        <v>42510</v>
      </c>
      <c r="B2132" s="40" t="s">
        <v>66</v>
      </c>
      <c r="C2132" s="10">
        <v>74</v>
      </c>
      <c r="D2132" s="10">
        <v>451</v>
      </c>
      <c r="E2132" s="10" t="s">
        <v>159</v>
      </c>
    </row>
    <row r="2133" spans="1:13" x14ac:dyDescent="0.35">
      <c r="A2133" s="2">
        <v>42510</v>
      </c>
      <c r="B2133" s="40" t="s">
        <v>66</v>
      </c>
      <c r="C2133" s="10">
        <v>66</v>
      </c>
      <c r="D2133" s="10">
        <v>197</v>
      </c>
      <c r="E2133" s="10" t="s">
        <v>37</v>
      </c>
    </row>
    <row r="2134" spans="1:13" x14ac:dyDescent="0.35">
      <c r="A2134" s="2">
        <v>42510</v>
      </c>
      <c r="B2134" s="40" t="s">
        <v>66</v>
      </c>
      <c r="C2134" s="10">
        <v>68</v>
      </c>
      <c r="D2134" s="10">
        <v>240</v>
      </c>
      <c r="E2134" s="10" t="s">
        <v>32</v>
      </c>
    </row>
    <row r="2135" spans="1:13" x14ac:dyDescent="0.35">
      <c r="A2135" s="2">
        <v>42510</v>
      </c>
      <c r="B2135" s="40" t="s">
        <v>66</v>
      </c>
      <c r="C2135" s="10">
        <v>62</v>
      </c>
      <c r="D2135" s="10">
        <v>196</v>
      </c>
      <c r="E2135" s="10" t="s">
        <v>37</v>
      </c>
      <c r="L2135" s="8"/>
      <c r="M2135" s="8"/>
    </row>
    <row r="2136" spans="1:13" x14ac:dyDescent="0.35">
      <c r="A2136" s="2">
        <v>42510</v>
      </c>
      <c r="B2136" s="40" t="s">
        <v>66</v>
      </c>
      <c r="C2136" s="10">
        <v>71</v>
      </c>
      <c r="D2136" s="10">
        <v>279</v>
      </c>
      <c r="E2136" s="10" t="s">
        <v>32</v>
      </c>
      <c r="L2136" s="8"/>
      <c r="M2136" s="8"/>
    </row>
    <row r="2137" spans="1:13" x14ac:dyDescent="0.35">
      <c r="A2137" s="2">
        <v>42510</v>
      </c>
      <c r="B2137" s="40" t="s">
        <v>66</v>
      </c>
      <c r="C2137" s="10">
        <v>75</v>
      </c>
      <c r="D2137" s="10">
        <v>476</v>
      </c>
      <c r="E2137" s="10" t="s">
        <v>159</v>
      </c>
      <c r="L2137" s="8"/>
      <c r="M2137" s="8"/>
    </row>
    <row r="2138" spans="1:13" x14ac:dyDescent="0.35">
      <c r="A2138" s="2">
        <v>42510</v>
      </c>
      <c r="B2138" s="40" t="s">
        <v>66</v>
      </c>
      <c r="C2138" s="10">
        <v>183</v>
      </c>
      <c r="D2138" s="10">
        <v>10849</v>
      </c>
      <c r="E2138" s="10" t="s">
        <v>98</v>
      </c>
    </row>
    <row r="2139" spans="1:13" x14ac:dyDescent="0.35">
      <c r="A2139" s="2">
        <v>42510</v>
      </c>
      <c r="B2139" s="40" t="s">
        <v>66</v>
      </c>
      <c r="C2139" s="10">
        <v>92</v>
      </c>
      <c r="D2139" s="10">
        <v>900</v>
      </c>
      <c r="E2139" s="10" t="s">
        <v>98</v>
      </c>
    </row>
    <row r="2140" spans="1:13" x14ac:dyDescent="0.35">
      <c r="A2140" s="2">
        <v>42510</v>
      </c>
      <c r="B2140" s="40" t="s">
        <v>66</v>
      </c>
      <c r="C2140" s="55">
        <v>76</v>
      </c>
      <c r="D2140" s="55">
        <v>508</v>
      </c>
      <c r="E2140" s="55" t="s">
        <v>159</v>
      </c>
    </row>
    <row r="2141" spans="1:13" x14ac:dyDescent="0.35">
      <c r="A2141" s="2">
        <v>42510</v>
      </c>
      <c r="B2141" s="40" t="s">
        <v>66</v>
      </c>
      <c r="C2141" s="10">
        <v>103</v>
      </c>
      <c r="D2141" s="10">
        <v>1468</v>
      </c>
      <c r="E2141" s="10" t="s">
        <v>98</v>
      </c>
    </row>
    <row r="2142" spans="1:13" x14ac:dyDescent="0.35">
      <c r="A2142" s="2">
        <v>42510</v>
      </c>
      <c r="B2142" s="40" t="s">
        <v>66</v>
      </c>
      <c r="C2142" s="10">
        <v>114</v>
      </c>
      <c r="D2142" s="10">
        <v>2527</v>
      </c>
      <c r="E2142" s="10" t="s">
        <v>98</v>
      </c>
    </row>
    <row r="2143" spans="1:13" x14ac:dyDescent="0.35">
      <c r="A2143" s="2">
        <v>42510</v>
      </c>
      <c r="B2143" s="40" t="s">
        <v>66</v>
      </c>
      <c r="C2143" s="10">
        <v>112</v>
      </c>
      <c r="D2143" s="10">
        <v>2171</v>
      </c>
      <c r="E2143" s="10" t="s">
        <v>98</v>
      </c>
    </row>
    <row r="2144" spans="1:13" x14ac:dyDescent="0.35">
      <c r="A2144" s="2">
        <v>42510</v>
      </c>
      <c r="B2144" s="40" t="s">
        <v>66</v>
      </c>
      <c r="C2144" s="10">
        <v>101</v>
      </c>
      <c r="D2144" s="10">
        <v>1361</v>
      </c>
      <c r="E2144" s="10" t="s">
        <v>98</v>
      </c>
    </row>
    <row r="2145" spans="1:24" x14ac:dyDescent="0.35">
      <c r="A2145" s="2">
        <v>42510</v>
      </c>
      <c r="B2145" s="40" t="s">
        <v>66</v>
      </c>
      <c r="C2145" s="10">
        <v>90</v>
      </c>
      <c r="D2145" s="10">
        <v>912</v>
      </c>
      <c r="E2145" s="10" t="s">
        <v>98</v>
      </c>
      <c r="G2145" t="s">
        <v>42</v>
      </c>
      <c r="H2145" t="s">
        <v>39</v>
      </c>
      <c r="I2145" t="s">
        <v>40</v>
      </c>
      <c r="J2145" t="s">
        <v>36</v>
      </c>
      <c r="K2145" t="s">
        <v>33</v>
      </c>
      <c r="L2145" t="s">
        <v>34</v>
      </c>
      <c r="M2145" t="s">
        <v>32</v>
      </c>
      <c r="N2145" t="s">
        <v>37</v>
      </c>
      <c r="O2145" t="s">
        <v>159</v>
      </c>
      <c r="P2145" t="s">
        <v>43</v>
      </c>
      <c r="Q2145" t="s">
        <v>44</v>
      </c>
      <c r="U2145">
        <f>AVERAGE(C2147,C2140,C2106:C2137,C2076:C2094,C2052:C2074,C2019:C2047,C2007:C2015,C1994:C2004)</f>
        <v>69.744</v>
      </c>
      <c r="V2145">
        <f>AVERAGE(D2147,D2140,D2106:D2137,D2076:D2094,D2052:D2074,D2019:D2047,D2007:D2015,D1994:D2004)</f>
        <v>342.01600000000002</v>
      </c>
      <c r="X2145" t="e">
        <f>AVERAGE(#REF!,#REF!,#REF!,#REF!,#REF!,#REF!,#REF!,#REF!)</f>
        <v>#REF!</v>
      </c>
    </row>
    <row r="2146" spans="1:24" x14ac:dyDescent="0.35">
      <c r="A2146" s="2">
        <v>42510</v>
      </c>
      <c r="B2146" s="40" t="s">
        <v>66</v>
      </c>
      <c r="C2146" s="10">
        <v>102</v>
      </c>
      <c r="D2146" s="10">
        <v>1423</v>
      </c>
      <c r="E2146" s="10" t="s">
        <v>98</v>
      </c>
      <c r="G2146" s="5">
        <f>COUNTIF(E2004:E2148,"VA")</f>
        <v>0</v>
      </c>
      <c r="H2146" s="5">
        <f>COUNTIF(E2004:E2148,"VB")</f>
        <v>0</v>
      </c>
      <c r="I2146" s="5">
        <f>COUNTIF(E2004:E2148,"VIA0")</f>
        <v>0</v>
      </c>
      <c r="J2146" s="5">
        <f>COUNTIF(E2004:E2148,"VIA1")</f>
        <v>0</v>
      </c>
      <c r="K2146" s="5">
        <f>COUNTIF(E1994:E2148,"VIA2")</f>
        <v>0</v>
      </c>
      <c r="L2146" s="5">
        <f>COUNTIF(E1994:E2148,"VIA3")</f>
        <v>0</v>
      </c>
      <c r="M2146" s="5">
        <f>COUNTIF(E1994:E2148,"VIA4")</f>
        <v>11</v>
      </c>
      <c r="N2146" s="5">
        <f>COUNTIF(E1994:E2148,"VIB")</f>
        <v>23</v>
      </c>
      <c r="O2146" s="5">
        <f>COUNTIF(E1994:E2148,"VII")</f>
        <v>91</v>
      </c>
      <c r="P2146" s="42">
        <f>AVERAGE(C2148,C2141:C2146,C2138:C2139,C2095:C2105,C2075,C2048:C2051,C2016:C2018,C2005:C2006)</f>
        <v>106.1</v>
      </c>
      <c r="Q2146" s="42">
        <f>AVERAGE(D2148,D2141:D2146,D2138:D2139,D2095:D2105,D2075,D2048:D2051,D2016:D2018,D2005:D2006)</f>
        <v>2050.5666666666666</v>
      </c>
      <c r="R2146" s="42"/>
      <c r="S2146" s="42" t="e">
        <f>AVERAGE(#REF!,#REF!,#REF!,#REF!,#REF!,#REF!,#REF!,#REF!)</f>
        <v>#REF!</v>
      </c>
    </row>
    <row r="2147" spans="1:24" x14ac:dyDescent="0.35">
      <c r="A2147" s="2">
        <v>42510</v>
      </c>
      <c r="B2147" s="40" t="s">
        <v>66</v>
      </c>
      <c r="C2147" s="55">
        <v>76</v>
      </c>
      <c r="D2147" s="55">
        <v>512</v>
      </c>
      <c r="E2147" s="55" t="s">
        <v>159</v>
      </c>
      <c r="G2147" s="6">
        <f t="shared" ref="G2147:N2147" si="74">G2146/118*100</f>
        <v>0</v>
      </c>
      <c r="H2147" s="6">
        <f t="shared" si="74"/>
        <v>0</v>
      </c>
      <c r="I2147" s="6">
        <f t="shared" si="74"/>
        <v>0</v>
      </c>
      <c r="J2147" s="6">
        <f t="shared" si="74"/>
        <v>0</v>
      </c>
      <c r="K2147" s="6">
        <f t="shared" si="74"/>
        <v>0</v>
      </c>
      <c r="L2147" s="6">
        <f t="shared" si="74"/>
        <v>0</v>
      </c>
      <c r="M2147" s="6">
        <f t="shared" si="74"/>
        <v>9.3220338983050848</v>
      </c>
      <c r="N2147" s="6">
        <f t="shared" si="74"/>
        <v>19.491525423728813</v>
      </c>
      <c r="O2147" s="6">
        <f>O2146/118*100</f>
        <v>77.118644067796609</v>
      </c>
      <c r="P2147" s="4"/>
      <c r="Q2147" s="4"/>
    </row>
    <row r="2148" spans="1:24" s="4" customFormat="1" x14ac:dyDescent="0.35">
      <c r="A2148" s="3">
        <v>42510</v>
      </c>
      <c r="B2148" s="44" t="s">
        <v>66</v>
      </c>
      <c r="C2148" s="11">
        <v>117</v>
      </c>
      <c r="D2148" s="11">
        <v>2606</v>
      </c>
      <c r="E2148" s="11" t="s">
        <v>98</v>
      </c>
    </row>
    <row r="2149" spans="1:24" x14ac:dyDescent="0.35">
      <c r="A2149" s="2">
        <v>42510</v>
      </c>
      <c r="B2149" s="36" t="s">
        <v>143</v>
      </c>
      <c r="C2149" s="10">
        <v>70</v>
      </c>
      <c r="D2149" s="10">
        <v>301</v>
      </c>
      <c r="E2149" t="s">
        <v>37</v>
      </c>
    </row>
    <row r="2150" spans="1:24" x14ac:dyDescent="0.35">
      <c r="A2150" s="2">
        <v>42510</v>
      </c>
      <c r="B2150" s="36" t="s">
        <v>143</v>
      </c>
      <c r="C2150" s="10">
        <v>70</v>
      </c>
      <c r="D2150" s="10">
        <v>354</v>
      </c>
      <c r="E2150" t="s">
        <v>34</v>
      </c>
    </row>
    <row r="2151" spans="1:24" x14ac:dyDescent="0.35">
      <c r="A2151" s="2">
        <v>42510</v>
      </c>
      <c r="B2151" s="36" t="s">
        <v>143</v>
      </c>
      <c r="C2151" s="10">
        <v>265</v>
      </c>
      <c r="D2151" s="10">
        <v>29013</v>
      </c>
      <c r="E2151" t="s">
        <v>98</v>
      </c>
    </row>
    <row r="2152" spans="1:24" x14ac:dyDescent="0.35">
      <c r="A2152" s="2">
        <v>42510</v>
      </c>
      <c r="B2152" s="36" t="s">
        <v>143</v>
      </c>
      <c r="C2152" s="10">
        <v>187</v>
      </c>
      <c r="D2152" s="10">
        <v>10796</v>
      </c>
      <c r="E2152" t="s">
        <v>98</v>
      </c>
    </row>
    <row r="2153" spans="1:24" x14ac:dyDescent="0.35">
      <c r="A2153" s="2">
        <v>42510</v>
      </c>
      <c r="B2153" s="36" t="s">
        <v>143</v>
      </c>
      <c r="C2153" s="10">
        <v>117</v>
      </c>
      <c r="D2153" s="10">
        <v>2412</v>
      </c>
      <c r="E2153" t="s">
        <v>98</v>
      </c>
    </row>
    <row r="2154" spans="1:24" x14ac:dyDescent="0.35">
      <c r="A2154" s="2">
        <v>42510</v>
      </c>
      <c r="B2154" s="36" t="s">
        <v>143</v>
      </c>
      <c r="C2154" s="10">
        <v>170</v>
      </c>
      <c r="D2154" s="10">
        <v>5946</v>
      </c>
      <c r="E2154" t="s">
        <v>98</v>
      </c>
    </row>
    <row r="2155" spans="1:24" x14ac:dyDescent="0.35">
      <c r="A2155" s="2">
        <v>42510</v>
      </c>
      <c r="B2155" s="36" t="s">
        <v>143</v>
      </c>
      <c r="C2155" s="10">
        <v>132</v>
      </c>
      <c r="D2155" s="10">
        <v>3239</v>
      </c>
      <c r="E2155" t="s">
        <v>98</v>
      </c>
    </row>
    <row r="2156" spans="1:24" x14ac:dyDescent="0.35">
      <c r="A2156" s="2">
        <v>42510</v>
      </c>
      <c r="B2156" s="36" t="s">
        <v>143</v>
      </c>
      <c r="C2156" s="10">
        <v>137</v>
      </c>
      <c r="D2156" s="10">
        <v>3189</v>
      </c>
      <c r="E2156" t="s">
        <v>98</v>
      </c>
    </row>
    <row r="2157" spans="1:24" x14ac:dyDescent="0.35">
      <c r="A2157" s="2">
        <v>42510</v>
      </c>
      <c r="B2157" s="36" t="s">
        <v>143</v>
      </c>
      <c r="C2157" s="10">
        <v>165</v>
      </c>
      <c r="D2157" s="10">
        <v>5610</v>
      </c>
      <c r="E2157" t="s">
        <v>98</v>
      </c>
    </row>
    <row r="2158" spans="1:24" x14ac:dyDescent="0.35">
      <c r="A2158" s="2">
        <v>42510</v>
      </c>
      <c r="B2158" s="36" t="s">
        <v>143</v>
      </c>
      <c r="C2158" s="10">
        <v>200</v>
      </c>
      <c r="D2158" s="10">
        <v>9631</v>
      </c>
      <c r="E2158" t="s">
        <v>98</v>
      </c>
    </row>
    <row r="2159" spans="1:24" x14ac:dyDescent="0.35">
      <c r="A2159" s="2">
        <v>42510</v>
      </c>
      <c r="B2159" s="36" t="s">
        <v>143</v>
      </c>
      <c r="C2159" s="10">
        <v>138</v>
      </c>
      <c r="D2159" s="10">
        <v>3306</v>
      </c>
      <c r="E2159" t="s">
        <v>98</v>
      </c>
    </row>
    <row r="2160" spans="1:24" x14ac:dyDescent="0.35">
      <c r="A2160" s="2">
        <v>42510</v>
      </c>
      <c r="B2160" s="36" t="s">
        <v>143</v>
      </c>
      <c r="C2160" s="10">
        <v>142</v>
      </c>
      <c r="D2160" s="10">
        <v>4350</v>
      </c>
      <c r="E2160" t="s">
        <v>98</v>
      </c>
    </row>
    <row r="2161" spans="1:5" x14ac:dyDescent="0.35">
      <c r="A2161" s="2">
        <v>42510</v>
      </c>
      <c r="B2161" s="36" t="s">
        <v>143</v>
      </c>
      <c r="C2161" s="10">
        <v>162</v>
      </c>
      <c r="D2161" s="10">
        <v>7153</v>
      </c>
      <c r="E2161" t="s">
        <v>98</v>
      </c>
    </row>
    <row r="2162" spans="1:5" x14ac:dyDescent="0.35">
      <c r="A2162" s="2">
        <v>42510</v>
      </c>
      <c r="B2162" s="36" t="s">
        <v>143</v>
      </c>
      <c r="C2162" s="10">
        <v>176</v>
      </c>
      <c r="D2162" s="10">
        <v>7480</v>
      </c>
      <c r="E2162" t="s">
        <v>98</v>
      </c>
    </row>
    <row r="2163" spans="1:5" x14ac:dyDescent="0.35">
      <c r="A2163" s="2">
        <v>42510</v>
      </c>
      <c r="B2163" s="36" t="s">
        <v>143</v>
      </c>
      <c r="C2163" s="10">
        <v>162</v>
      </c>
      <c r="D2163" s="10">
        <v>5136</v>
      </c>
      <c r="E2163" t="s">
        <v>98</v>
      </c>
    </row>
    <row r="2164" spans="1:5" x14ac:dyDescent="0.35">
      <c r="A2164" s="2">
        <v>42510</v>
      </c>
      <c r="B2164" s="36" t="s">
        <v>143</v>
      </c>
      <c r="C2164" s="10">
        <v>182</v>
      </c>
      <c r="D2164" s="10">
        <v>9631</v>
      </c>
      <c r="E2164" t="s">
        <v>98</v>
      </c>
    </row>
    <row r="2165" spans="1:5" x14ac:dyDescent="0.35">
      <c r="A2165" s="2">
        <v>42510</v>
      </c>
      <c r="B2165" s="36" t="s">
        <v>143</v>
      </c>
      <c r="C2165" s="10">
        <v>111</v>
      </c>
      <c r="D2165" s="10">
        <v>2005</v>
      </c>
      <c r="E2165" t="s">
        <v>98</v>
      </c>
    </row>
    <row r="2166" spans="1:5" x14ac:dyDescent="0.35">
      <c r="A2166" s="2">
        <v>42510</v>
      </c>
      <c r="B2166" s="36" t="s">
        <v>143</v>
      </c>
      <c r="C2166" s="10">
        <v>218</v>
      </c>
      <c r="D2166" s="10">
        <v>15075</v>
      </c>
      <c r="E2166" t="s">
        <v>98</v>
      </c>
    </row>
    <row r="2167" spans="1:5" x14ac:dyDescent="0.35">
      <c r="A2167" s="2">
        <v>42510</v>
      </c>
      <c r="B2167" s="36" t="s">
        <v>143</v>
      </c>
      <c r="C2167" s="10">
        <v>210</v>
      </c>
      <c r="D2167" s="10">
        <v>12343</v>
      </c>
      <c r="E2167" t="s">
        <v>98</v>
      </c>
    </row>
    <row r="2168" spans="1:5" x14ac:dyDescent="0.35">
      <c r="A2168" s="2">
        <v>42510</v>
      </c>
      <c r="B2168" s="36" t="s">
        <v>143</v>
      </c>
      <c r="C2168" s="10">
        <v>132</v>
      </c>
      <c r="D2168" s="10">
        <v>3462</v>
      </c>
      <c r="E2168" t="s">
        <v>98</v>
      </c>
    </row>
    <row r="2169" spans="1:5" x14ac:dyDescent="0.35">
      <c r="A2169" s="2">
        <v>42510</v>
      </c>
      <c r="B2169" s="36" t="s">
        <v>143</v>
      </c>
      <c r="C2169" s="10">
        <v>142</v>
      </c>
      <c r="D2169" s="10">
        <v>3445</v>
      </c>
      <c r="E2169" t="s">
        <v>98</v>
      </c>
    </row>
    <row r="2170" spans="1:5" x14ac:dyDescent="0.35">
      <c r="A2170" s="2">
        <v>42510</v>
      </c>
      <c r="B2170" s="36" t="s">
        <v>143</v>
      </c>
      <c r="C2170" s="10">
        <v>153</v>
      </c>
      <c r="D2170" s="10">
        <v>4328</v>
      </c>
      <c r="E2170" t="s">
        <v>98</v>
      </c>
    </row>
    <row r="2171" spans="1:5" x14ac:dyDescent="0.35">
      <c r="A2171" s="2">
        <v>42510</v>
      </c>
      <c r="B2171" s="36" t="s">
        <v>143</v>
      </c>
      <c r="C2171" s="10">
        <v>144</v>
      </c>
      <c r="D2171" s="10">
        <v>3949</v>
      </c>
      <c r="E2171" t="s">
        <v>98</v>
      </c>
    </row>
    <row r="2172" spans="1:5" x14ac:dyDescent="0.35">
      <c r="A2172" s="2">
        <v>42510</v>
      </c>
      <c r="B2172" s="36" t="s">
        <v>143</v>
      </c>
      <c r="C2172" s="10">
        <v>182</v>
      </c>
      <c r="D2172" s="10">
        <v>9455</v>
      </c>
      <c r="E2172" t="s">
        <v>98</v>
      </c>
    </row>
    <row r="2173" spans="1:5" x14ac:dyDescent="0.35">
      <c r="A2173" s="2">
        <v>42510</v>
      </c>
      <c r="B2173" s="36" t="s">
        <v>143</v>
      </c>
      <c r="C2173" s="10">
        <v>126</v>
      </c>
      <c r="D2173" s="10">
        <v>3050</v>
      </c>
      <c r="E2173" t="s">
        <v>98</v>
      </c>
    </row>
    <row r="2174" spans="1:5" x14ac:dyDescent="0.35">
      <c r="A2174" s="2">
        <v>42510</v>
      </c>
      <c r="B2174" s="36" t="s">
        <v>143</v>
      </c>
      <c r="C2174" s="10">
        <v>119</v>
      </c>
      <c r="D2174" s="10">
        <v>2449</v>
      </c>
      <c r="E2174" t="s">
        <v>98</v>
      </c>
    </row>
    <row r="2175" spans="1:5" s="4" customFormat="1" x14ac:dyDescent="0.35">
      <c r="A2175" s="3">
        <v>42510</v>
      </c>
      <c r="B2175" s="26" t="s">
        <v>143</v>
      </c>
      <c r="C2175" s="11">
        <v>116</v>
      </c>
      <c r="D2175" s="11">
        <v>1791</v>
      </c>
      <c r="E2175" s="4" t="s">
        <v>98</v>
      </c>
    </row>
    <row r="2176" spans="1:5" x14ac:dyDescent="0.35">
      <c r="A2176" s="2">
        <v>42510</v>
      </c>
      <c r="B2176" s="36" t="s">
        <v>114</v>
      </c>
      <c r="C2176" s="10">
        <v>68</v>
      </c>
      <c r="D2176" s="10">
        <v>282</v>
      </c>
      <c r="E2176" s="10" t="s">
        <v>37</v>
      </c>
    </row>
    <row r="2177" spans="1:5" x14ac:dyDescent="0.35">
      <c r="A2177" s="2">
        <v>42510</v>
      </c>
      <c r="B2177" s="36" t="s">
        <v>114</v>
      </c>
      <c r="C2177" s="10">
        <v>62</v>
      </c>
      <c r="D2177" s="10">
        <v>159</v>
      </c>
      <c r="E2177" s="10" t="s">
        <v>37</v>
      </c>
    </row>
    <row r="2178" spans="1:5" x14ac:dyDescent="0.35">
      <c r="A2178" s="2">
        <v>42510</v>
      </c>
      <c r="B2178" s="36" t="s">
        <v>114</v>
      </c>
      <c r="C2178" s="10">
        <v>170</v>
      </c>
      <c r="D2178" s="10">
        <v>6805</v>
      </c>
      <c r="E2178" s="10" t="s">
        <v>98</v>
      </c>
    </row>
    <row r="2179" spans="1:5" x14ac:dyDescent="0.35">
      <c r="A2179" s="2">
        <v>42510</v>
      </c>
      <c r="B2179" s="36" t="s">
        <v>114</v>
      </c>
      <c r="C2179" s="10">
        <v>137</v>
      </c>
      <c r="D2179" s="10">
        <v>4510</v>
      </c>
      <c r="E2179" s="10" t="s">
        <v>98</v>
      </c>
    </row>
    <row r="2180" spans="1:5" x14ac:dyDescent="0.35">
      <c r="A2180" s="2">
        <v>42510</v>
      </c>
      <c r="B2180" s="36" t="s">
        <v>114</v>
      </c>
      <c r="C2180" s="10">
        <v>120</v>
      </c>
      <c r="D2180" s="10">
        <v>2073</v>
      </c>
      <c r="E2180" s="10" t="s">
        <v>98</v>
      </c>
    </row>
    <row r="2181" spans="1:5" s="4" customFormat="1" x14ac:dyDescent="0.35">
      <c r="A2181" s="3">
        <v>42510</v>
      </c>
      <c r="B2181" s="26" t="s">
        <v>114</v>
      </c>
      <c r="C2181" s="11">
        <v>158</v>
      </c>
      <c r="D2181" s="11">
        <v>7091</v>
      </c>
      <c r="E2181" s="11" t="s">
        <v>98</v>
      </c>
    </row>
    <row r="2182" spans="1:5" x14ac:dyDescent="0.35">
      <c r="A2182" s="2">
        <v>42517</v>
      </c>
      <c r="B2182" s="70" t="s">
        <v>29</v>
      </c>
      <c r="C2182" s="10">
        <v>78</v>
      </c>
      <c r="D2182" s="10">
        <v>379</v>
      </c>
      <c r="E2182" s="10" t="s">
        <v>159</v>
      </c>
    </row>
    <row r="2183" spans="1:5" x14ac:dyDescent="0.35">
      <c r="A2183" s="2">
        <v>42517</v>
      </c>
      <c r="B2183" s="70" t="s">
        <v>29</v>
      </c>
      <c r="C2183" s="10">
        <v>77</v>
      </c>
      <c r="D2183" s="10">
        <v>415</v>
      </c>
      <c r="E2183" s="10" t="s">
        <v>159</v>
      </c>
    </row>
    <row r="2184" spans="1:5" x14ac:dyDescent="0.35">
      <c r="A2184" s="2">
        <v>42517</v>
      </c>
      <c r="B2184" s="70" t="s">
        <v>29</v>
      </c>
      <c r="C2184" s="10">
        <v>68</v>
      </c>
      <c r="D2184" s="10">
        <v>278</v>
      </c>
      <c r="E2184" s="10" t="s">
        <v>159</v>
      </c>
    </row>
    <row r="2185" spans="1:5" x14ac:dyDescent="0.35">
      <c r="A2185" s="2">
        <v>42517</v>
      </c>
      <c r="B2185" s="70" t="s">
        <v>29</v>
      </c>
      <c r="C2185" s="10">
        <v>71</v>
      </c>
      <c r="D2185" s="10">
        <v>248</v>
      </c>
      <c r="E2185" s="10" t="s">
        <v>159</v>
      </c>
    </row>
    <row r="2186" spans="1:5" x14ac:dyDescent="0.35">
      <c r="A2186" s="2">
        <v>42517</v>
      </c>
      <c r="B2186" s="70" t="s">
        <v>29</v>
      </c>
      <c r="C2186" s="10">
        <v>69</v>
      </c>
      <c r="D2186" s="10">
        <v>267</v>
      </c>
      <c r="E2186" s="10" t="s">
        <v>159</v>
      </c>
    </row>
    <row r="2187" spans="1:5" x14ac:dyDescent="0.35">
      <c r="A2187" s="2">
        <v>42517</v>
      </c>
      <c r="B2187" s="70" t="s">
        <v>29</v>
      </c>
      <c r="C2187" s="10">
        <v>73</v>
      </c>
      <c r="D2187" s="10">
        <v>302</v>
      </c>
      <c r="E2187" s="10" t="s">
        <v>159</v>
      </c>
    </row>
    <row r="2188" spans="1:5" x14ac:dyDescent="0.35">
      <c r="A2188" s="2">
        <v>42517</v>
      </c>
      <c r="B2188" s="70" t="s">
        <v>29</v>
      </c>
      <c r="C2188" s="10">
        <v>75</v>
      </c>
      <c r="D2188" s="10">
        <v>322</v>
      </c>
      <c r="E2188" s="10" t="s">
        <v>159</v>
      </c>
    </row>
    <row r="2189" spans="1:5" x14ac:dyDescent="0.35">
      <c r="A2189" s="2">
        <v>42517</v>
      </c>
      <c r="B2189" s="70" t="s">
        <v>29</v>
      </c>
      <c r="C2189" s="10">
        <v>68</v>
      </c>
      <c r="D2189" s="10">
        <v>313</v>
      </c>
      <c r="E2189" s="10" t="s">
        <v>159</v>
      </c>
    </row>
    <row r="2190" spans="1:5" x14ac:dyDescent="0.35">
      <c r="A2190" s="2">
        <v>42517</v>
      </c>
      <c r="B2190" s="70" t="s">
        <v>29</v>
      </c>
      <c r="C2190" s="10">
        <v>78</v>
      </c>
      <c r="D2190" s="10">
        <v>447</v>
      </c>
      <c r="E2190" s="10" t="s">
        <v>159</v>
      </c>
    </row>
    <row r="2191" spans="1:5" x14ac:dyDescent="0.35">
      <c r="A2191" s="2">
        <v>42517</v>
      </c>
      <c r="B2191" s="70" t="s">
        <v>29</v>
      </c>
      <c r="C2191" s="10">
        <v>71</v>
      </c>
      <c r="D2191" s="10">
        <v>286</v>
      </c>
      <c r="E2191" s="10" t="s">
        <v>159</v>
      </c>
    </row>
    <row r="2192" spans="1:5" x14ac:dyDescent="0.35">
      <c r="A2192" s="2">
        <v>42517</v>
      </c>
      <c r="B2192" s="70" t="s">
        <v>29</v>
      </c>
      <c r="C2192" s="10">
        <v>71</v>
      </c>
      <c r="D2192" s="10">
        <v>322</v>
      </c>
      <c r="E2192" s="10" t="s">
        <v>159</v>
      </c>
    </row>
    <row r="2193" spans="1:5" x14ac:dyDescent="0.35">
      <c r="A2193" s="2">
        <v>42517</v>
      </c>
      <c r="B2193" s="70" t="s">
        <v>29</v>
      </c>
      <c r="C2193" s="10">
        <v>70</v>
      </c>
      <c r="D2193" s="10">
        <v>335</v>
      </c>
      <c r="E2193" s="10" t="s">
        <v>159</v>
      </c>
    </row>
    <row r="2194" spans="1:5" x14ac:dyDescent="0.35">
      <c r="A2194" s="2">
        <v>42517</v>
      </c>
      <c r="B2194" s="70" t="s">
        <v>29</v>
      </c>
      <c r="C2194" s="10">
        <v>61</v>
      </c>
      <c r="D2194" s="10">
        <v>148</v>
      </c>
      <c r="E2194" s="10" t="s">
        <v>159</v>
      </c>
    </row>
    <row r="2195" spans="1:5" x14ac:dyDescent="0.35">
      <c r="A2195" s="2">
        <v>42517</v>
      </c>
      <c r="B2195" s="70" t="s">
        <v>29</v>
      </c>
      <c r="C2195" s="10">
        <v>71</v>
      </c>
      <c r="D2195" s="10">
        <v>398</v>
      </c>
      <c r="E2195" s="10" t="s">
        <v>159</v>
      </c>
    </row>
    <row r="2196" spans="1:5" x14ac:dyDescent="0.35">
      <c r="A2196" s="2">
        <v>42517</v>
      </c>
      <c r="B2196" s="70" t="s">
        <v>29</v>
      </c>
      <c r="C2196" s="10">
        <v>74</v>
      </c>
      <c r="D2196" s="10">
        <v>383</v>
      </c>
      <c r="E2196" s="10" t="s">
        <v>159</v>
      </c>
    </row>
    <row r="2197" spans="1:5" x14ac:dyDescent="0.35">
      <c r="A2197" s="2">
        <v>42517</v>
      </c>
      <c r="B2197" s="70" t="s">
        <v>29</v>
      </c>
      <c r="C2197" s="10">
        <v>66</v>
      </c>
      <c r="D2197" s="10">
        <v>222</v>
      </c>
      <c r="E2197" s="10" t="s">
        <v>159</v>
      </c>
    </row>
    <row r="2198" spans="1:5" x14ac:dyDescent="0.35">
      <c r="A2198" s="2">
        <v>42517</v>
      </c>
      <c r="B2198" s="70" t="s">
        <v>29</v>
      </c>
      <c r="C2198" s="10">
        <v>69</v>
      </c>
      <c r="D2198" s="10">
        <v>387</v>
      </c>
      <c r="E2198" s="10" t="s">
        <v>159</v>
      </c>
    </row>
    <row r="2199" spans="1:5" x14ac:dyDescent="0.35">
      <c r="A2199" s="2">
        <v>42517</v>
      </c>
      <c r="B2199" s="70" t="s">
        <v>29</v>
      </c>
      <c r="C2199" s="10">
        <v>70</v>
      </c>
      <c r="D2199" s="10">
        <v>338</v>
      </c>
      <c r="E2199" s="10" t="s">
        <v>159</v>
      </c>
    </row>
    <row r="2200" spans="1:5" x14ac:dyDescent="0.35">
      <c r="A2200" s="2">
        <v>42517</v>
      </c>
      <c r="B2200" s="70" t="s">
        <v>29</v>
      </c>
      <c r="C2200" s="10">
        <v>66</v>
      </c>
      <c r="D2200" s="10">
        <v>268</v>
      </c>
      <c r="E2200" s="10" t="s">
        <v>159</v>
      </c>
    </row>
    <row r="2201" spans="1:5" x14ac:dyDescent="0.35">
      <c r="A2201" s="2">
        <v>42517</v>
      </c>
      <c r="B2201" s="70" t="s">
        <v>29</v>
      </c>
      <c r="C2201" s="10">
        <v>69</v>
      </c>
      <c r="D2201" s="10">
        <v>254</v>
      </c>
      <c r="E2201" s="10" t="s">
        <v>37</v>
      </c>
    </row>
    <row r="2202" spans="1:5" x14ac:dyDescent="0.35">
      <c r="A2202" s="2">
        <v>42517</v>
      </c>
      <c r="B2202" s="70" t="s">
        <v>29</v>
      </c>
      <c r="C2202" s="10">
        <v>70</v>
      </c>
      <c r="D2202" s="10">
        <v>334</v>
      </c>
      <c r="E2202" s="10" t="s">
        <v>159</v>
      </c>
    </row>
    <row r="2203" spans="1:5" x14ac:dyDescent="0.35">
      <c r="A2203" s="2">
        <v>42517</v>
      </c>
      <c r="B2203" s="70" t="s">
        <v>29</v>
      </c>
      <c r="C2203" s="10">
        <v>70</v>
      </c>
      <c r="D2203" s="10">
        <v>311</v>
      </c>
      <c r="E2203" s="10" t="s">
        <v>37</v>
      </c>
    </row>
    <row r="2204" spans="1:5" x14ac:dyDescent="0.35">
      <c r="A2204" s="2">
        <v>42517</v>
      </c>
      <c r="B2204" s="70" t="s">
        <v>29</v>
      </c>
      <c r="C2204" s="10">
        <v>78</v>
      </c>
      <c r="D2204" s="10">
        <v>469</v>
      </c>
      <c r="E2204" s="10" t="s">
        <v>159</v>
      </c>
    </row>
    <row r="2205" spans="1:5" x14ac:dyDescent="0.35">
      <c r="A2205" s="2">
        <v>42517</v>
      </c>
      <c r="B2205" s="70" t="s">
        <v>29</v>
      </c>
      <c r="C2205" s="10">
        <v>66</v>
      </c>
      <c r="D2205" s="10">
        <v>242</v>
      </c>
      <c r="E2205" s="10" t="s">
        <v>32</v>
      </c>
    </row>
    <row r="2206" spans="1:5" x14ac:dyDescent="0.35">
      <c r="A2206" s="2">
        <v>42517</v>
      </c>
      <c r="B2206" s="70" t="s">
        <v>29</v>
      </c>
      <c r="C2206" s="10">
        <v>73</v>
      </c>
      <c r="D2206" s="10">
        <v>455</v>
      </c>
      <c r="E2206" s="10" t="s">
        <v>159</v>
      </c>
    </row>
    <row r="2207" spans="1:5" x14ac:dyDescent="0.35">
      <c r="A2207" s="2">
        <v>42517</v>
      </c>
      <c r="B2207" s="70" t="s">
        <v>29</v>
      </c>
      <c r="C2207" s="10">
        <v>65</v>
      </c>
      <c r="D2207" s="10">
        <v>252</v>
      </c>
      <c r="E2207" s="10" t="s">
        <v>159</v>
      </c>
    </row>
    <row r="2208" spans="1:5" x14ac:dyDescent="0.35">
      <c r="A2208" s="2">
        <v>42517</v>
      </c>
      <c r="B2208" s="70" t="s">
        <v>29</v>
      </c>
      <c r="C2208" s="10">
        <v>71</v>
      </c>
      <c r="D2208" s="10">
        <v>310</v>
      </c>
      <c r="E2208" s="10" t="s">
        <v>37</v>
      </c>
    </row>
    <row r="2209" spans="1:5" x14ac:dyDescent="0.35">
      <c r="A2209" s="2">
        <v>42517</v>
      </c>
      <c r="B2209" s="70" t="s">
        <v>29</v>
      </c>
      <c r="C2209" s="10">
        <v>66</v>
      </c>
      <c r="D2209" s="10">
        <v>296</v>
      </c>
      <c r="E2209" s="10" t="s">
        <v>159</v>
      </c>
    </row>
    <row r="2210" spans="1:5" x14ac:dyDescent="0.35">
      <c r="A2210" s="2">
        <v>42517</v>
      </c>
      <c r="B2210" s="70" t="s">
        <v>29</v>
      </c>
      <c r="C2210" s="10">
        <v>65</v>
      </c>
      <c r="D2210" s="10">
        <v>240</v>
      </c>
      <c r="E2210" s="10" t="s">
        <v>32</v>
      </c>
    </row>
    <row r="2211" spans="1:5" x14ac:dyDescent="0.35">
      <c r="A2211" s="2">
        <v>42517</v>
      </c>
      <c r="B2211" s="70" t="s">
        <v>29</v>
      </c>
      <c r="C2211" s="10">
        <v>71</v>
      </c>
      <c r="D2211" s="10">
        <v>321</v>
      </c>
      <c r="E2211" s="10" t="s">
        <v>159</v>
      </c>
    </row>
    <row r="2212" spans="1:5" x14ac:dyDescent="0.35">
      <c r="A2212" s="2">
        <v>42517</v>
      </c>
      <c r="B2212" s="70" t="s">
        <v>29</v>
      </c>
      <c r="C2212" s="10">
        <v>63</v>
      </c>
      <c r="D2212" s="10">
        <v>239</v>
      </c>
      <c r="E2212" s="10" t="s">
        <v>159</v>
      </c>
    </row>
    <row r="2213" spans="1:5" x14ac:dyDescent="0.35">
      <c r="A2213" s="2">
        <v>42517</v>
      </c>
      <c r="B2213" s="70" t="s">
        <v>29</v>
      </c>
      <c r="C2213" s="10">
        <v>63</v>
      </c>
      <c r="D2213" s="10">
        <v>210</v>
      </c>
      <c r="E2213" s="10" t="s">
        <v>159</v>
      </c>
    </row>
    <row r="2214" spans="1:5" x14ac:dyDescent="0.35">
      <c r="A2214" s="2">
        <v>42517</v>
      </c>
      <c r="B2214" s="70" t="s">
        <v>29</v>
      </c>
      <c r="C2214" s="10">
        <v>64</v>
      </c>
      <c r="D2214" s="10">
        <v>213</v>
      </c>
      <c r="E2214" s="10" t="s">
        <v>37</v>
      </c>
    </row>
    <row r="2215" spans="1:5" x14ac:dyDescent="0.35">
      <c r="A2215" s="2">
        <v>42517</v>
      </c>
      <c r="B2215" s="70" t="s">
        <v>29</v>
      </c>
      <c r="C2215" s="10">
        <v>73</v>
      </c>
      <c r="D2215" s="10">
        <v>467</v>
      </c>
      <c r="E2215" s="10" t="s">
        <v>159</v>
      </c>
    </row>
    <row r="2216" spans="1:5" x14ac:dyDescent="0.35">
      <c r="A2216" s="2">
        <v>42517</v>
      </c>
      <c r="B2216" s="70" t="s">
        <v>29</v>
      </c>
      <c r="C2216" s="10">
        <v>63</v>
      </c>
      <c r="D2216" s="10">
        <v>285</v>
      </c>
      <c r="E2216" s="10" t="s">
        <v>159</v>
      </c>
    </row>
    <row r="2217" spans="1:5" x14ac:dyDescent="0.35">
      <c r="A2217" s="2">
        <v>42517</v>
      </c>
      <c r="B2217" s="70" t="s">
        <v>29</v>
      </c>
      <c r="C2217" s="10">
        <v>70</v>
      </c>
      <c r="D2217" s="10">
        <v>365</v>
      </c>
      <c r="E2217" s="10" t="s">
        <v>159</v>
      </c>
    </row>
    <row r="2218" spans="1:5" x14ac:dyDescent="0.35">
      <c r="A2218" s="2">
        <v>42517</v>
      </c>
      <c r="B2218" s="70" t="s">
        <v>29</v>
      </c>
      <c r="C2218" s="10">
        <v>66</v>
      </c>
      <c r="D2218" s="10">
        <v>260</v>
      </c>
      <c r="E2218" s="10" t="s">
        <v>159</v>
      </c>
    </row>
    <row r="2219" spans="1:5" x14ac:dyDescent="0.35">
      <c r="A2219" s="2">
        <v>42517</v>
      </c>
      <c r="B2219" s="70" t="s">
        <v>29</v>
      </c>
      <c r="C2219" s="10">
        <v>68</v>
      </c>
      <c r="D2219" s="10">
        <v>327</v>
      </c>
      <c r="E2219" s="10" t="s">
        <v>37</v>
      </c>
    </row>
    <row r="2220" spans="1:5" x14ac:dyDescent="0.35">
      <c r="A2220" s="2">
        <v>42517</v>
      </c>
      <c r="B2220" s="70" t="s">
        <v>29</v>
      </c>
      <c r="C2220" s="10">
        <v>70</v>
      </c>
      <c r="D2220" s="10">
        <v>318</v>
      </c>
      <c r="E2220" s="10" t="s">
        <v>159</v>
      </c>
    </row>
    <row r="2221" spans="1:5" x14ac:dyDescent="0.35">
      <c r="A2221" s="2">
        <v>42517</v>
      </c>
      <c r="B2221" s="70" t="s">
        <v>29</v>
      </c>
      <c r="C2221" s="10">
        <v>64</v>
      </c>
      <c r="D2221" s="10">
        <v>248</v>
      </c>
      <c r="E2221" s="10" t="s">
        <v>159</v>
      </c>
    </row>
    <row r="2222" spans="1:5" x14ac:dyDescent="0.35">
      <c r="A2222" s="2">
        <v>42517</v>
      </c>
      <c r="B2222" s="70" t="s">
        <v>29</v>
      </c>
      <c r="C2222" s="10">
        <v>70</v>
      </c>
      <c r="D2222" s="10">
        <v>267</v>
      </c>
      <c r="E2222" s="10" t="s">
        <v>32</v>
      </c>
    </row>
    <row r="2223" spans="1:5" x14ac:dyDescent="0.35">
      <c r="A2223" s="2">
        <v>42517</v>
      </c>
      <c r="B2223" s="70" t="s">
        <v>29</v>
      </c>
      <c r="C2223" s="10">
        <v>74</v>
      </c>
      <c r="D2223" s="10">
        <v>368</v>
      </c>
      <c r="E2223" s="10" t="s">
        <v>159</v>
      </c>
    </row>
    <row r="2224" spans="1:5" x14ac:dyDescent="0.35">
      <c r="A2224" s="2">
        <v>42517</v>
      </c>
      <c r="B2224" s="70" t="s">
        <v>29</v>
      </c>
      <c r="C2224" s="10">
        <v>66</v>
      </c>
      <c r="D2224" s="10">
        <v>243</v>
      </c>
      <c r="E2224" s="10" t="s">
        <v>159</v>
      </c>
    </row>
    <row r="2225" spans="1:5" x14ac:dyDescent="0.35">
      <c r="A2225" s="2">
        <v>42517</v>
      </c>
      <c r="B2225" s="70" t="s">
        <v>29</v>
      </c>
      <c r="C2225" s="10">
        <v>68</v>
      </c>
      <c r="D2225" s="10">
        <v>222</v>
      </c>
      <c r="E2225" s="10" t="s">
        <v>159</v>
      </c>
    </row>
    <row r="2226" spans="1:5" x14ac:dyDescent="0.35">
      <c r="A2226" s="2">
        <v>42517</v>
      </c>
      <c r="B2226" s="70" t="s">
        <v>29</v>
      </c>
      <c r="C2226" s="10">
        <v>68</v>
      </c>
      <c r="D2226" s="10">
        <v>239</v>
      </c>
      <c r="E2226" s="10" t="s">
        <v>159</v>
      </c>
    </row>
    <row r="2227" spans="1:5" x14ac:dyDescent="0.35">
      <c r="A2227" s="2">
        <v>42517</v>
      </c>
      <c r="B2227" s="70" t="s">
        <v>29</v>
      </c>
      <c r="C2227" s="10">
        <v>68</v>
      </c>
      <c r="D2227" s="10">
        <v>338</v>
      </c>
      <c r="E2227" s="10" t="s">
        <v>159</v>
      </c>
    </row>
    <row r="2228" spans="1:5" x14ac:dyDescent="0.35">
      <c r="A2228" s="2">
        <v>42517</v>
      </c>
      <c r="B2228" s="70" t="s">
        <v>29</v>
      </c>
      <c r="C2228" s="10">
        <v>69</v>
      </c>
      <c r="D2228" s="10">
        <v>310</v>
      </c>
      <c r="E2228" s="10" t="s">
        <v>159</v>
      </c>
    </row>
    <row r="2229" spans="1:5" x14ac:dyDescent="0.35">
      <c r="A2229" s="2">
        <v>42517</v>
      </c>
      <c r="B2229" s="70" t="s">
        <v>29</v>
      </c>
      <c r="C2229" s="10">
        <v>70</v>
      </c>
      <c r="D2229" s="10">
        <v>274</v>
      </c>
      <c r="E2229" s="10" t="s">
        <v>159</v>
      </c>
    </row>
    <row r="2230" spans="1:5" x14ac:dyDescent="0.35">
      <c r="A2230" s="2">
        <v>42517</v>
      </c>
      <c r="B2230" s="70" t="s">
        <v>29</v>
      </c>
      <c r="C2230" s="10">
        <v>71</v>
      </c>
      <c r="D2230" s="10">
        <v>344</v>
      </c>
      <c r="E2230" s="10" t="s">
        <v>159</v>
      </c>
    </row>
    <row r="2231" spans="1:5" x14ac:dyDescent="0.35">
      <c r="A2231" s="2">
        <v>42517</v>
      </c>
      <c r="B2231" s="70" t="s">
        <v>29</v>
      </c>
      <c r="C2231" s="10">
        <v>75</v>
      </c>
      <c r="D2231" s="10">
        <v>420</v>
      </c>
      <c r="E2231" s="10" t="s">
        <v>159</v>
      </c>
    </row>
    <row r="2232" spans="1:5" x14ac:dyDescent="0.35">
      <c r="A2232" s="2">
        <v>42517</v>
      </c>
      <c r="B2232" s="70" t="s">
        <v>29</v>
      </c>
      <c r="C2232" s="10">
        <v>69</v>
      </c>
      <c r="D2232" s="10">
        <v>323</v>
      </c>
      <c r="E2232" s="10" t="s">
        <v>159</v>
      </c>
    </row>
    <row r="2233" spans="1:5" x14ac:dyDescent="0.35">
      <c r="A2233" s="2">
        <v>42517</v>
      </c>
      <c r="B2233" s="70" t="s">
        <v>29</v>
      </c>
      <c r="C2233" s="10">
        <v>70</v>
      </c>
      <c r="D2233" s="10">
        <v>308</v>
      </c>
      <c r="E2233" s="10" t="s">
        <v>159</v>
      </c>
    </row>
    <row r="2234" spans="1:5" x14ac:dyDescent="0.35">
      <c r="A2234" s="2">
        <v>42517</v>
      </c>
      <c r="B2234" s="70" t="s">
        <v>29</v>
      </c>
      <c r="C2234" s="10">
        <v>67</v>
      </c>
      <c r="D2234" s="10">
        <v>227</v>
      </c>
      <c r="E2234" s="10" t="s">
        <v>37</v>
      </c>
    </row>
    <row r="2235" spans="1:5" x14ac:dyDescent="0.35">
      <c r="A2235" s="2">
        <v>42517</v>
      </c>
      <c r="B2235" s="70" t="s">
        <v>29</v>
      </c>
      <c r="C2235" s="10">
        <v>70</v>
      </c>
      <c r="D2235" s="10">
        <v>253</v>
      </c>
      <c r="E2235" s="10" t="s">
        <v>159</v>
      </c>
    </row>
    <row r="2236" spans="1:5" x14ac:dyDescent="0.35">
      <c r="A2236" s="2">
        <v>42517</v>
      </c>
      <c r="B2236" s="70" t="s">
        <v>29</v>
      </c>
      <c r="C2236" s="10">
        <v>62</v>
      </c>
      <c r="D2236" s="10">
        <v>199</v>
      </c>
      <c r="E2236" s="10" t="s">
        <v>159</v>
      </c>
    </row>
    <row r="2237" spans="1:5" x14ac:dyDescent="0.35">
      <c r="A2237" s="2">
        <v>42517</v>
      </c>
      <c r="B2237" s="70" t="s">
        <v>29</v>
      </c>
      <c r="C2237" s="10">
        <v>72</v>
      </c>
      <c r="D2237" s="10">
        <v>296</v>
      </c>
      <c r="E2237" s="10" t="s">
        <v>37</v>
      </c>
    </row>
    <row r="2238" spans="1:5" x14ac:dyDescent="0.35">
      <c r="A2238" s="2">
        <v>42517</v>
      </c>
      <c r="B2238" s="70" t="s">
        <v>29</v>
      </c>
      <c r="C2238" s="10">
        <v>62</v>
      </c>
      <c r="D2238" s="10">
        <v>211</v>
      </c>
      <c r="E2238" s="10" t="s">
        <v>159</v>
      </c>
    </row>
    <row r="2239" spans="1:5" x14ac:dyDescent="0.35">
      <c r="A2239" s="2">
        <v>42517</v>
      </c>
      <c r="B2239" s="70" t="s">
        <v>29</v>
      </c>
      <c r="C2239" s="10">
        <v>68</v>
      </c>
      <c r="D2239" s="10">
        <v>280</v>
      </c>
      <c r="E2239" s="10" t="s">
        <v>159</v>
      </c>
    </row>
    <row r="2240" spans="1:5" x14ac:dyDescent="0.35">
      <c r="A2240" s="2">
        <v>42517</v>
      </c>
      <c r="B2240" s="70" t="s">
        <v>29</v>
      </c>
      <c r="C2240" s="10">
        <v>69</v>
      </c>
      <c r="D2240" s="10">
        <v>257</v>
      </c>
      <c r="E2240" s="10" t="s">
        <v>159</v>
      </c>
    </row>
    <row r="2241" spans="1:5" x14ac:dyDescent="0.35">
      <c r="A2241" s="2">
        <v>42517</v>
      </c>
      <c r="B2241" s="70" t="s">
        <v>29</v>
      </c>
      <c r="C2241" s="10">
        <v>69</v>
      </c>
      <c r="D2241" s="10">
        <v>250</v>
      </c>
      <c r="E2241" s="10" t="s">
        <v>159</v>
      </c>
    </row>
    <row r="2242" spans="1:5" x14ac:dyDescent="0.35">
      <c r="A2242" s="2">
        <v>42517</v>
      </c>
      <c r="B2242" s="70" t="s">
        <v>29</v>
      </c>
      <c r="C2242" s="10">
        <v>70</v>
      </c>
      <c r="D2242" s="10">
        <v>322</v>
      </c>
      <c r="E2242" s="10" t="s">
        <v>159</v>
      </c>
    </row>
    <row r="2243" spans="1:5" x14ac:dyDescent="0.35">
      <c r="A2243" s="2">
        <v>42517</v>
      </c>
      <c r="B2243" s="70" t="s">
        <v>29</v>
      </c>
      <c r="C2243" s="10">
        <v>64</v>
      </c>
      <c r="D2243" s="10">
        <v>289</v>
      </c>
      <c r="E2243" s="10" t="s">
        <v>159</v>
      </c>
    </row>
    <row r="2244" spans="1:5" x14ac:dyDescent="0.35">
      <c r="A2244" s="2">
        <v>42517</v>
      </c>
      <c r="B2244" s="70" t="s">
        <v>29</v>
      </c>
      <c r="C2244" s="10">
        <v>66</v>
      </c>
      <c r="D2244" s="10">
        <v>213</v>
      </c>
      <c r="E2244" s="10" t="s">
        <v>159</v>
      </c>
    </row>
    <row r="2245" spans="1:5" x14ac:dyDescent="0.35">
      <c r="A2245" s="2">
        <v>42517</v>
      </c>
      <c r="B2245" s="70" t="s">
        <v>29</v>
      </c>
      <c r="C2245" s="10">
        <v>66</v>
      </c>
      <c r="D2245" s="10">
        <v>209</v>
      </c>
      <c r="E2245" s="10" t="s">
        <v>37</v>
      </c>
    </row>
    <row r="2246" spans="1:5" x14ac:dyDescent="0.35">
      <c r="A2246" s="2">
        <v>42517</v>
      </c>
      <c r="B2246" s="70" t="s">
        <v>29</v>
      </c>
      <c r="C2246" s="10">
        <v>77</v>
      </c>
      <c r="D2246" s="10">
        <v>378</v>
      </c>
      <c r="E2246" s="10" t="s">
        <v>159</v>
      </c>
    </row>
    <row r="2247" spans="1:5" x14ac:dyDescent="0.35">
      <c r="A2247" s="2">
        <v>42517</v>
      </c>
      <c r="B2247" s="70" t="s">
        <v>29</v>
      </c>
      <c r="C2247" s="10">
        <v>71</v>
      </c>
      <c r="D2247" s="10">
        <v>253</v>
      </c>
      <c r="E2247" s="10" t="s">
        <v>159</v>
      </c>
    </row>
    <row r="2248" spans="1:5" x14ac:dyDescent="0.35">
      <c r="A2248" s="2">
        <v>42517</v>
      </c>
      <c r="B2248" s="70" t="s">
        <v>29</v>
      </c>
      <c r="C2248" s="10">
        <v>77</v>
      </c>
      <c r="D2248" s="10">
        <v>392</v>
      </c>
      <c r="E2248" s="10" t="s">
        <v>159</v>
      </c>
    </row>
    <row r="2249" spans="1:5" x14ac:dyDescent="0.35">
      <c r="A2249" s="2">
        <v>42517</v>
      </c>
      <c r="B2249" s="70" t="s">
        <v>29</v>
      </c>
      <c r="C2249" s="10">
        <v>64</v>
      </c>
      <c r="D2249" s="10">
        <v>253</v>
      </c>
      <c r="E2249" s="10" t="s">
        <v>37</v>
      </c>
    </row>
    <row r="2250" spans="1:5" x14ac:dyDescent="0.35">
      <c r="A2250" s="2">
        <v>42517</v>
      </c>
      <c r="B2250" s="70" t="s">
        <v>29</v>
      </c>
      <c r="C2250" s="10">
        <v>73</v>
      </c>
      <c r="D2250" s="10">
        <v>335</v>
      </c>
      <c r="E2250" s="10" t="s">
        <v>159</v>
      </c>
    </row>
    <row r="2251" spans="1:5" x14ac:dyDescent="0.35">
      <c r="A2251" s="2">
        <v>42517</v>
      </c>
      <c r="B2251" s="70" t="s">
        <v>29</v>
      </c>
      <c r="C2251" s="10">
        <v>68</v>
      </c>
      <c r="D2251" s="10">
        <v>224</v>
      </c>
      <c r="E2251" s="10" t="s">
        <v>37</v>
      </c>
    </row>
    <row r="2252" spans="1:5" x14ac:dyDescent="0.35">
      <c r="A2252" s="2">
        <v>42517</v>
      </c>
      <c r="B2252" s="70" t="s">
        <v>29</v>
      </c>
      <c r="C2252" s="10">
        <v>66</v>
      </c>
      <c r="D2252" s="10">
        <v>263</v>
      </c>
      <c r="E2252" s="10" t="s">
        <v>159</v>
      </c>
    </row>
    <row r="2253" spans="1:5" x14ac:dyDescent="0.35">
      <c r="A2253" s="2">
        <v>42517</v>
      </c>
      <c r="B2253" s="70" t="s">
        <v>29</v>
      </c>
      <c r="C2253" s="10">
        <v>79</v>
      </c>
      <c r="D2253" s="10">
        <v>470</v>
      </c>
      <c r="E2253" s="10" t="s">
        <v>159</v>
      </c>
    </row>
    <row r="2254" spans="1:5" x14ac:dyDescent="0.35">
      <c r="A2254" s="2">
        <v>42517</v>
      </c>
      <c r="B2254" s="70" t="s">
        <v>29</v>
      </c>
      <c r="C2254" s="10">
        <v>79</v>
      </c>
      <c r="D2254" s="10">
        <v>469</v>
      </c>
      <c r="E2254" s="10" t="s">
        <v>159</v>
      </c>
    </row>
    <row r="2255" spans="1:5" x14ac:dyDescent="0.35">
      <c r="A2255" s="2">
        <v>42517</v>
      </c>
      <c r="B2255" s="70" t="s">
        <v>29</v>
      </c>
      <c r="C2255" s="10">
        <v>66</v>
      </c>
      <c r="D2255" s="10">
        <v>255</v>
      </c>
      <c r="E2255" s="10" t="s">
        <v>159</v>
      </c>
    </row>
    <row r="2256" spans="1:5" x14ac:dyDescent="0.35">
      <c r="A2256" s="2">
        <v>42517</v>
      </c>
      <c r="B2256" s="70" t="s">
        <v>29</v>
      </c>
      <c r="C2256" s="10">
        <v>71</v>
      </c>
      <c r="D2256" s="10">
        <v>295</v>
      </c>
      <c r="E2256" s="10" t="s">
        <v>37</v>
      </c>
    </row>
    <row r="2257" spans="1:5" x14ac:dyDescent="0.35">
      <c r="A2257" s="2">
        <v>42517</v>
      </c>
      <c r="B2257" s="70" t="s">
        <v>29</v>
      </c>
      <c r="C2257" s="10">
        <v>70</v>
      </c>
      <c r="D2257" s="10">
        <v>337</v>
      </c>
      <c r="E2257" s="10" t="s">
        <v>159</v>
      </c>
    </row>
    <row r="2258" spans="1:5" x14ac:dyDescent="0.35">
      <c r="A2258" s="2">
        <v>42517</v>
      </c>
      <c r="B2258" s="70" t="s">
        <v>29</v>
      </c>
      <c r="C2258" s="10">
        <v>66</v>
      </c>
      <c r="D2258" s="10">
        <v>268</v>
      </c>
      <c r="E2258" s="10" t="s">
        <v>159</v>
      </c>
    </row>
    <row r="2259" spans="1:5" x14ac:dyDescent="0.35">
      <c r="A2259" s="2">
        <v>42517</v>
      </c>
      <c r="B2259" s="70" t="s">
        <v>29</v>
      </c>
      <c r="C2259" s="10">
        <v>70</v>
      </c>
      <c r="D2259" s="10">
        <v>275</v>
      </c>
      <c r="E2259" s="10" t="s">
        <v>159</v>
      </c>
    </row>
    <row r="2260" spans="1:5" x14ac:dyDescent="0.35">
      <c r="A2260" s="2">
        <v>42517</v>
      </c>
      <c r="B2260" s="70" t="s">
        <v>29</v>
      </c>
      <c r="C2260" s="10">
        <v>70</v>
      </c>
      <c r="D2260" s="10">
        <v>253</v>
      </c>
      <c r="E2260" s="10" t="s">
        <v>37</v>
      </c>
    </row>
    <row r="2261" spans="1:5" x14ac:dyDescent="0.35">
      <c r="A2261" s="2">
        <v>42517</v>
      </c>
      <c r="B2261" s="70" t="s">
        <v>29</v>
      </c>
      <c r="C2261" s="10">
        <v>73</v>
      </c>
      <c r="D2261" s="10">
        <v>393</v>
      </c>
      <c r="E2261" s="10" t="s">
        <v>159</v>
      </c>
    </row>
    <row r="2262" spans="1:5" x14ac:dyDescent="0.35">
      <c r="A2262" s="2">
        <v>42517</v>
      </c>
      <c r="B2262" s="70" t="s">
        <v>29</v>
      </c>
      <c r="C2262" s="10">
        <v>63</v>
      </c>
      <c r="D2262" s="10">
        <v>200</v>
      </c>
      <c r="E2262" s="10" t="s">
        <v>32</v>
      </c>
    </row>
    <row r="2263" spans="1:5" x14ac:dyDescent="0.35">
      <c r="A2263" s="2">
        <v>42517</v>
      </c>
      <c r="B2263" s="70" t="s">
        <v>29</v>
      </c>
      <c r="C2263" s="10">
        <v>59</v>
      </c>
      <c r="D2263" s="10">
        <v>155</v>
      </c>
      <c r="E2263" s="10" t="s">
        <v>37</v>
      </c>
    </row>
    <row r="2264" spans="1:5" x14ac:dyDescent="0.35">
      <c r="A2264" s="2">
        <v>42517</v>
      </c>
      <c r="B2264" s="70" t="s">
        <v>29</v>
      </c>
      <c r="C2264" s="10">
        <v>64</v>
      </c>
      <c r="D2264" s="10">
        <v>370</v>
      </c>
      <c r="E2264" s="10" t="s">
        <v>159</v>
      </c>
    </row>
    <row r="2265" spans="1:5" x14ac:dyDescent="0.35">
      <c r="A2265" s="2">
        <v>42517</v>
      </c>
      <c r="B2265" s="70" t="s">
        <v>29</v>
      </c>
      <c r="C2265" s="10">
        <v>69</v>
      </c>
      <c r="D2265" s="10">
        <v>302</v>
      </c>
      <c r="E2265" s="10" t="s">
        <v>159</v>
      </c>
    </row>
    <row r="2266" spans="1:5" x14ac:dyDescent="0.35">
      <c r="A2266" s="2">
        <v>42517</v>
      </c>
      <c r="B2266" s="70" t="s">
        <v>29</v>
      </c>
      <c r="C2266" s="10">
        <v>65</v>
      </c>
      <c r="D2266" s="10">
        <v>265</v>
      </c>
      <c r="E2266" s="10" t="s">
        <v>159</v>
      </c>
    </row>
    <row r="2267" spans="1:5" x14ac:dyDescent="0.35">
      <c r="A2267" s="2">
        <v>42517</v>
      </c>
      <c r="B2267" s="70" t="s">
        <v>29</v>
      </c>
      <c r="C2267" s="10">
        <v>66</v>
      </c>
      <c r="D2267" s="10">
        <v>264</v>
      </c>
      <c r="E2267" s="10" t="s">
        <v>159</v>
      </c>
    </row>
    <row r="2268" spans="1:5" x14ac:dyDescent="0.35">
      <c r="A2268" s="2">
        <v>42517</v>
      </c>
      <c r="B2268" s="70" t="s">
        <v>29</v>
      </c>
      <c r="C2268" s="10">
        <v>68</v>
      </c>
      <c r="D2268" s="10">
        <v>238</v>
      </c>
      <c r="E2268" s="10" t="s">
        <v>159</v>
      </c>
    </row>
    <row r="2269" spans="1:5" x14ac:dyDescent="0.35">
      <c r="A2269" s="2">
        <v>42517</v>
      </c>
      <c r="B2269" s="70" t="s">
        <v>29</v>
      </c>
      <c r="C2269" s="10">
        <v>73</v>
      </c>
      <c r="D2269" s="10">
        <v>298</v>
      </c>
      <c r="E2269" s="10" t="s">
        <v>159</v>
      </c>
    </row>
    <row r="2270" spans="1:5" x14ac:dyDescent="0.35">
      <c r="A2270" s="2">
        <v>42517</v>
      </c>
      <c r="B2270" s="70" t="s">
        <v>29</v>
      </c>
      <c r="C2270" s="10">
        <v>74</v>
      </c>
      <c r="D2270" s="10">
        <v>333</v>
      </c>
      <c r="E2270" s="10" t="s">
        <v>37</v>
      </c>
    </row>
    <row r="2271" spans="1:5" x14ac:dyDescent="0.35">
      <c r="A2271" s="2">
        <v>42517</v>
      </c>
      <c r="B2271" s="70" t="s">
        <v>29</v>
      </c>
      <c r="C2271" s="10">
        <v>68</v>
      </c>
      <c r="D2271" s="10">
        <v>247</v>
      </c>
      <c r="E2271" s="10" t="s">
        <v>37</v>
      </c>
    </row>
    <row r="2272" spans="1:5" x14ac:dyDescent="0.35">
      <c r="A2272" s="2">
        <v>42517</v>
      </c>
      <c r="B2272" s="70" t="s">
        <v>29</v>
      </c>
      <c r="C2272" s="10">
        <v>69</v>
      </c>
      <c r="D2272" s="10">
        <v>300</v>
      </c>
      <c r="E2272" s="10" t="s">
        <v>159</v>
      </c>
    </row>
    <row r="2273" spans="1:5" x14ac:dyDescent="0.35">
      <c r="A2273" s="2">
        <v>42517</v>
      </c>
      <c r="B2273" s="70" t="s">
        <v>29</v>
      </c>
      <c r="C2273" s="10">
        <v>80</v>
      </c>
      <c r="D2273" s="10">
        <v>454</v>
      </c>
      <c r="E2273" s="10" t="s">
        <v>159</v>
      </c>
    </row>
    <row r="2274" spans="1:5" x14ac:dyDescent="0.35">
      <c r="A2274" s="2">
        <v>42517</v>
      </c>
      <c r="B2274" s="70" t="s">
        <v>29</v>
      </c>
      <c r="C2274" s="10">
        <v>64</v>
      </c>
      <c r="D2274" s="10">
        <v>204</v>
      </c>
      <c r="E2274" s="10" t="s">
        <v>37</v>
      </c>
    </row>
    <row r="2275" spans="1:5" x14ac:dyDescent="0.35">
      <c r="A2275" s="2">
        <v>42517</v>
      </c>
      <c r="B2275" s="70" t="s">
        <v>29</v>
      </c>
      <c r="C2275" s="10">
        <v>70</v>
      </c>
      <c r="D2275" s="10">
        <v>231</v>
      </c>
      <c r="E2275" s="10" t="s">
        <v>37</v>
      </c>
    </row>
    <row r="2276" spans="1:5" x14ac:dyDescent="0.35">
      <c r="A2276" s="2">
        <v>42517</v>
      </c>
      <c r="B2276" s="70" t="s">
        <v>29</v>
      </c>
      <c r="C2276" s="10">
        <v>64</v>
      </c>
      <c r="D2276" s="10">
        <v>211</v>
      </c>
      <c r="E2276" s="10" t="s">
        <v>37</v>
      </c>
    </row>
    <row r="2277" spans="1:5" x14ac:dyDescent="0.35">
      <c r="A2277" s="2">
        <v>42517</v>
      </c>
      <c r="B2277" s="70" t="s">
        <v>29</v>
      </c>
      <c r="C2277" s="10">
        <v>68</v>
      </c>
      <c r="D2277" s="10">
        <v>335</v>
      </c>
      <c r="E2277" s="10" t="s">
        <v>159</v>
      </c>
    </row>
    <row r="2278" spans="1:5" x14ac:dyDescent="0.35">
      <c r="A2278" s="2">
        <v>42517</v>
      </c>
      <c r="B2278" s="70" t="s">
        <v>29</v>
      </c>
      <c r="C2278" s="10">
        <v>71</v>
      </c>
      <c r="D2278" s="10">
        <v>360</v>
      </c>
      <c r="E2278" s="10" t="s">
        <v>159</v>
      </c>
    </row>
    <row r="2279" spans="1:5" x14ac:dyDescent="0.35">
      <c r="A2279" s="2">
        <v>42517</v>
      </c>
      <c r="B2279" s="70" t="s">
        <v>29</v>
      </c>
      <c r="C2279" s="10">
        <v>63</v>
      </c>
      <c r="D2279" s="10">
        <v>209</v>
      </c>
      <c r="E2279" s="10" t="s">
        <v>37</v>
      </c>
    </row>
    <row r="2280" spans="1:5" x14ac:dyDescent="0.35">
      <c r="A2280" s="2">
        <v>42517</v>
      </c>
      <c r="B2280" s="70" t="s">
        <v>29</v>
      </c>
      <c r="C2280" s="10">
        <v>68</v>
      </c>
      <c r="D2280" s="10">
        <v>271</v>
      </c>
      <c r="E2280" s="10" t="s">
        <v>159</v>
      </c>
    </row>
    <row r="2281" spans="1:5" x14ac:dyDescent="0.35">
      <c r="A2281" s="2">
        <v>42517</v>
      </c>
      <c r="B2281" s="70" t="s">
        <v>29</v>
      </c>
      <c r="C2281" s="10">
        <v>67</v>
      </c>
      <c r="D2281" s="10">
        <v>238</v>
      </c>
      <c r="E2281" s="10" t="s">
        <v>159</v>
      </c>
    </row>
    <row r="2282" spans="1:5" x14ac:dyDescent="0.35">
      <c r="A2282" s="2">
        <v>42517</v>
      </c>
      <c r="B2282" s="70" t="s">
        <v>29</v>
      </c>
      <c r="C2282" s="10">
        <v>65</v>
      </c>
      <c r="D2282" s="10">
        <v>217</v>
      </c>
      <c r="E2282" s="10" t="s">
        <v>37</v>
      </c>
    </row>
    <row r="2283" spans="1:5" x14ac:dyDescent="0.35">
      <c r="A2283" s="2">
        <v>42517</v>
      </c>
      <c r="B2283" s="70" t="s">
        <v>29</v>
      </c>
      <c r="C2283" s="10">
        <v>70</v>
      </c>
      <c r="D2283" s="10">
        <v>257</v>
      </c>
      <c r="E2283" s="10" t="s">
        <v>32</v>
      </c>
    </row>
    <row r="2284" spans="1:5" x14ac:dyDescent="0.35">
      <c r="A2284" s="13">
        <v>42517</v>
      </c>
      <c r="B2284" s="40" t="s">
        <v>29</v>
      </c>
      <c r="C2284" s="10">
        <v>69</v>
      </c>
      <c r="D2284" s="10">
        <v>272</v>
      </c>
      <c r="E2284" s="10" t="s">
        <v>37</v>
      </c>
    </row>
    <row r="2285" spans="1:5" x14ac:dyDescent="0.35">
      <c r="A2285" s="2">
        <v>42517</v>
      </c>
      <c r="B2285" s="70" t="s">
        <v>29</v>
      </c>
      <c r="C2285" s="55">
        <v>82</v>
      </c>
      <c r="D2285" s="55">
        <v>508</v>
      </c>
      <c r="E2285" s="55" t="s">
        <v>159</v>
      </c>
    </row>
    <row r="2286" spans="1:5" x14ac:dyDescent="0.35">
      <c r="A2286" s="2">
        <v>42517</v>
      </c>
      <c r="B2286" s="70" t="s">
        <v>29</v>
      </c>
      <c r="C2286" s="10">
        <v>154</v>
      </c>
      <c r="D2286" s="10">
        <v>4974</v>
      </c>
      <c r="E2286" s="10" t="s">
        <v>98</v>
      </c>
    </row>
    <row r="2287" spans="1:5" x14ac:dyDescent="0.35">
      <c r="A2287" s="2">
        <v>42517</v>
      </c>
      <c r="B2287" s="70" t="s">
        <v>29</v>
      </c>
      <c r="C2287" s="10">
        <v>140</v>
      </c>
      <c r="D2287" s="10">
        <v>2933</v>
      </c>
      <c r="E2287" s="10" t="s">
        <v>98</v>
      </c>
    </row>
    <row r="2288" spans="1:5" x14ac:dyDescent="0.35">
      <c r="A2288" s="13">
        <v>42517</v>
      </c>
      <c r="B2288" s="40" t="s">
        <v>29</v>
      </c>
      <c r="C2288" s="10">
        <v>98</v>
      </c>
      <c r="D2288" s="10">
        <v>1147</v>
      </c>
      <c r="E2288" s="10" t="s">
        <v>98</v>
      </c>
    </row>
    <row r="2289" spans="1:20" x14ac:dyDescent="0.35">
      <c r="A2289" s="2">
        <v>42517</v>
      </c>
      <c r="B2289" s="70" t="s">
        <v>29</v>
      </c>
      <c r="C2289" s="10">
        <v>113</v>
      </c>
      <c r="D2289" s="10">
        <v>2078</v>
      </c>
      <c r="E2289" s="10" t="s">
        <v>98</v>
      </c>
    </row>
    <row r="2290" spans="1:20" x14ac:dyDescent="0.35">
      <c r="A2290" s="2">
        <v>42517</v>
      </c>
      <c r="B2290" s="70" t="s">
        <v>29</v>
      </c>
      <c r="C2290" s="10">
        <v>91</v>
      </c>
      <c r="D2290" s="10">
        <v>855</v>
      </c>
      <c r="E2290" s="10" t="s">
        <v>98</v>
      </c>
    </row>
    <row r="2291" spans="1:20" x14ac:dyDescent="0.35">
      <c r="A2291" s="13">
        <v>42517</v>
      </c>
      <c r="B2291" s="40" t="s">
        <v>29</v>
      </c>
      <c r="C2291" s="55">
        <v>76</v>
      </c>
      <c r="D2291" s="55">
        <v>654</v>
      </c>
      <c r="E2291" s="55" t="s">
        <v>159</v>
      </c>
    </row>
    <row r="2292" spans="1:20" x14ac:dyDescent="0.35">
      <c r="A2292" s="2">
        <v>42517</v>
      </c>
      <c r="B2292" s="70" t="s">
        <v>29</v>
      </c>
      <c r="C2292" s="10">
        <v>117</v>
      </c>
      <c r="D2292" s="10">
        <v>1846</v>
      </c>
      <c r="E2292" s="10" t="s">
        <v>98</v>
      </c>
      <c r="Q2292">
        <f>AVERAGE(C2292:C2298,C2285:C2290)</f>
        <v>118</v>
      </c>
      <c r="R2292">
        <f>AVERAGE(D2292:D2298,D2285:D2290)</f>
        <v>2458.0769230769229</v>
      </c>
      <c r="T2292" s="42" t="e">
        <f>AVERAGE(#REF!,#REF!)</f>
        <v>#REF!</v>
      </c>
    </row>
    <row r="2293" spans="1:20" x14ac:dyDescent="0.35">
      <c r="A2293" s="2">
        <v>42517</v>
      </c>
      <c r="B2293" s="70" t="s">
        <v>29</v>
      </c>
      <c r="C2293" s="10">
        <v>177</v>
      </c>
      <c r="D2293" s="10">
        <v>6719</v>
      </c>
      <c r="E2293" s="10" t="s">
        <v>98</v>
      </c>
    </row>
    <row r="2294" spans="1:20" x14ac:dyDescent="0.35">
      <c r="A2294" s="13">
        <v>42517</v>
      </c>
      <c r="B2294" s="40" t="s">
        <v>29</v>
      </c>
      <c r="C2294" s="10">
        <v>148</v>
      </c>
      <c r="D2294" s="10">
        <v>4898</v>
      </c>
      <c r="E2294" s="10" t="s">
        <v>98</v>
      </c>
    </row>
    <row r="2295" spans="1:20" x14ac:dyDescent="0.35">
      <c r="A2295" s="2">
        <v>42517</v>
      </c>
      <c r="B2295" s="70" t="s">
        <v>29</v>
      </c>
      <c r="C2295" s="10">
        <v>101</v>
      </c>
      <c r="D2295" s="10">
        <v>1192</v>
      </c>
      <c r="E2295" s="10" t="s">
        <v>98</v>
      </c>
    </row>
    <row r="2296" spans="1:20" x14ac:dyDescent="0.35">
      <c r="A2296" s="2">
        <v>42517</v>
      </c>
      <c r="B2296" s="70" t="s">
        <v>29</v>
      </c>
      <c r="C2296" s="10">
        <v>120</v>
      </c>
      <c r="D2296" s="10">
        <v>2478</v>
      </c>
      <c r="E2296" s="10" t="s">
        <v>98</v>
      </c>
      <c r="G2296" t="s">
        <v>42</v>
      </c>
      <c r="H2296" t="s">
        <v>39</v>
      </c>
      <c r="I2296" t="s">
        <v>40</v>
      </c>
      <c r="J2296" t="s">
        <v>36</v>
      </c>
      <c r="K2296" t="s">
        <v>33</v>
      </c>
      <c r="L2296" t="s">
        <v>34</v>
      </c>
      <c r="M2296" t="s">
        <v>32</v>
      </c>
      <c r="N2296" t="s">
        <v>37</v>
      </c>
      <c r="O2296" t="s">
        <v>159</v>
      </c>
    </row>
    <row r="2297" spans="1:20" x14ac:dyDescent="0.35">
      <c r="A2297" s="2">
        <v>42517</v>
      </c>
      <c r="B2297" s="70" t="s">
        <v>29</v>
      </c>
      <c r="C2297" s="10">
        <v>98</v>
      </c>
      <c r="D2297" s="10">
        <v>1342</v>
      </c>
      <c r="E2297" s="10" t="s">
        <v>98</v>
      </c>
      <c r="G2297" s="5">
        <f>COUNTIF(E2182:E2286,"VA")</f>
        <v>0</v>
      </c>
      <c r="H2297" s="5">
        <f>COUNTIF(E2182:E2286,"VB")</f>
        <v>0</v>
      </c>
      <c r="I2297" s="5">
        <f>COUNTIF(E2182:E2286,"VIA0")</f>
        <v>0</v>
      </c>
      <c r="J2297" s="5">
        <f>COUNTIF(E2182:E2286,"VIA1")</f>
        <v>0</v>
      </c>
      <c r="K2297" s="5">
        <f>COUNTIF(E2182:E2286,"VIA2")</f>
        <v>0</v>
      </c>
      <c r="L2297" s="5">
        <f>COUNTIF(E2182:E2286,"VIA3")</f>
        <v>0</v>
      </c>
      <c r="M2297" s="5">
        <f>COUNTIF(E2182:E2286,"VIA4")</f>
        <v>5</v>
      </c>
      <c r="N2297" s="5">
        <f>COUNTIF(E2182:E2286,"VIB")</f>
        <v>21</v>
      </c>
      <c r="O2297" s="5">
        <f>COUNTIF(E2182:E2286,"VII")</f>
        <v>78</v>
      </c>
      <c r="Q2297">
        <f>AVERAGE(C2182:C2284)</f>
        <v>69.067961165048544</v>
      </c>
      <c r="R2297">
        <f>AVERAGE(D2182:D2284)</f>
        <v>295.92233009708735</v>
      </c>
      <c r="T2297" s="42" t="e">
        <f>AVERAGE(#REF!)</f>
        <v>#REF!</v>
      </c>
    </row>
    <row r="2298" spans="1:20" s="4" customFormat="1" x14ac:dyDescent="0.35">
      <c r="A2298" s="3">
        <v>42517</v>
      </c>
      <c r="B2298" s="44" t="s">
        <v>29</v>
      </c>
      <c r="C2298" s="11">
        <v>95</v>
      </c>
      <c r="D2298" s="11">
        <v>985</v>
      </c>
      <c r="E2298" s="11" t="s">
        <v>98</v>
      </c>
      <c r="G2298" s="6">
        <f t="shared" ref="G2298:N2298" si="75">G2297/103*100</f>
        <v>0</v>
      </c>
      <c r="H2298" s="6">
        <f t="shared" si="75"/>
        <v>0</v>
      </c>
      <c r="I2298" s="6">
        <f t="shared" si="75"/>
        <v>0</v>
      </c>
      <c r="J2298" s="6">
        <f t="shared" si="75"/>
        <v>0</v>
      </c>
      <c r="K2298" s="6">
        <f t="shared" si="75"/>
        <v>0</v>
      </c>
      <c r="L2298" s="6">
        <f t="shared" si="75"/>
        <v>0</v>
      </c>
      <c r="M2298" s="6">
        <f t="shared" si="75"/>
        <v>4.8543689320388346</v>
      </c>
      <c r="N2298" s="6">
        <f t="shared" si="75"/>
        <v>20.388349514563107</v>
      </c>
      <c r="O2298" s="6">
        <f>O2297/103*100</f>
        <v>75.728155339805824</v>
      </c>
    </row>
    <row r="2299" spans="1:20" x14ac:dyDescent="0.35">
      <c r="A2299" s="2">
        <v>42517</v>
      </c>
      <c r="B2299" s="40" t="s">
        <v>103</v>
      </c>
      <c r="C2299" s="10">
        <v>74</v>
      </c>
      <c r="D2299" s="10">
        <v>507</v>
      </c>
      <c r="E2299" s="53" t="s">
        <v>159</v>
      </c>
    </row>
    <row r="2300" spans="1:20" x14ac:dyDescent="0.35">
      <c r="A2300" s="2">
        <v>42517</v>
      </c>
      <c r="B2300" s="40" t="s">
        <v>103</v>
      </c>
      <c r="C2300" s="10">
        <v>69</v>
      </c>
      <c r="D2300" s="10">
        <v>324</v>
      </c>
      <c r="E2300" s="10" t="s">
        <v>37</v>
      </c>
    </row>
    <row r="2301" spans="1:20" x14ac:dyDescent="0.35">
      <c r="A2301" s="2">
        <v>42517</v>
      </c>
      <c r="B2301" s="40" t="s">
        <v>103</v>
      </c>
      <c r="C2301" s="10">
        <v>75</v>
      </c>
      <c r="D2301" s="10">
        <v>334</v>
      </c>
      <c r="E2301" s="10" t="s">
        <v>32</v>
      </c>
    </row>
    <row r="2302" spans="1:20" x14ac:dyDescent="0.35">
      <c r="A2302" s="2">
        <v>42517</v>
      </c>
      <c r="B2302" s="40" t="s">
        <v>103</v>
      </c>
      <c r="C2302" s="10">
        <v>68</v>
      </c>
      <c r="D2302" s="10">
        <v>306</v>
      </c>
      <c r="E2302" s="10" t="s">
        <v>159</v>
      </c>
    </row>
    <row r="2303" spans="1:20" x14ac:dyDescent="0.35">
      <c r="A2303" s="2">
        <v>42517</v>
      </c>
      <c r="B2303" s="40" t="s">
        <v>103</v>
      </c>
      <c r="C2303" s="10">
        <v>69</v>
      </c>
      <c r="D2303" s="10">
        <v>326</v>
      </c>
      <c r="E2303" s="10" t="s">
        <v>159</v>
      </c>
    </row>
    <row r="2304" spans="1:20" x14ac:dyDescent="0.35">
      <c r="A2304" s="2">
        <v>42517</v>
      </c>
      <c r="B2304" s="40" t="s">
        <v>103</v>
      </c>
      <c r="C2304" s="10">
        <v>76</v>
      </c>
      <c r="D2304" s="10">
        <v>429</v>
      </c>
      <c r="E2304" s="10" t="s">
        <v>159</v>
      </c>
    </row>
    <row r="2305" spans="1:5" x14ac:dyDescent="0.35">
      <c r="A2305" s="2">
        <v>42517</v>
      </c>
      <c r="B2305" s="40" t="s">
        <v>103</v>
      </c>
      <c r="C2305" s="10">
        <v>73</v>
      </c>
      <c r="D2305" s="10">
        <v>391</v>
      </c>
      <c r="E2305" s="10" t="s">
        <v>159</v>
      </c>
    </row>
    <row r="2306" spans="1:5" x14ac:dyDescent="0.35">
      <c r="A2306" s="2">
        <v>42517</v>
      </c>
      <c r="B2306" s="40" t="s">
        <v>103</v>
      </c>
      <c r="C2306" s="10">
        <v>71</v>
      </c>
      <c r="D2306" s="10">
        <v>359</v>
      </c>
      <c r="E2306" s="10" t="s">
        <v>159</v>
      </c>
    </row>
    <row r="2307" spans="1:5" x14ac:dyDescent="0.35">
      <c r="A2307" s="2">
        <v>42517</v>
      </c>
      <c r="B2307" s="40" t="s">
        <v>103</v>
      </c>
      <c r="C2307" s="10">
        <v>71</v>
      </c>
      <c r="D2307" s="10">
        <v>328</v>
      </c>
      <c r="E2307" s="10" t="s">
        <v>159</v>
      </c>
    </row>
    <row r="2308" spans="1:5" x14ac:dyDescent="0.35">
      <c r="A2308" s="2">
        <v>42517</v>
      </c>
      <c r="B2308" s="40" t="s">
        <v>103</v>
      </c>
      <c r="C2308" s="10">
        <v>72</v>
      </c>
      <c r="D2308" s="10">
        <v>430</v>
      </c>
      <c r="E2308" s="10" t="s">
        <v>159</v>
      </c>
    </row>
    <row r="2309" spans="1:5" x14ac:dyDescent="0.35">
      <c r="A2309" s="2">
        <v>42517</v>
      </c>
      <c r="B2309" s="40" t="s">
        <v>103</v>
      </c>
      <c r="C2309" s="10">
        <v>72</v>
      </c>
      <c r="D2309" s="10">
        <v>396</v>
      </c>
      <c r="E2309" s="10" t="s">
        <v>159</v>
      </c>
    </row>
    <row r="2310" spans="1:5" x14ac:dyDescent="0.35">
      <c r="A2310" s="2">
        <v>42517</v>
      </c>
      <c r="B2310" s="40" t="s">
        <v>103</v>
      </c>
      <c r="C2310" s="10">
        <v>68</v>
      </c>
      <c r="D2310" s="10">
        <v>277</v>
      </c>
      <c r="E2310" s="10" t="s">
        <v>37</v>
      </c>
    </row>
    <row r="2311" spans="1:5" x14ac:dyDescent="0.35">
      <c r="A2311" s="2">
        <v>42517</v>
      </c>
      <c r="B2311" s="40" t="s">
        <v>103</v>
      </c>
      <c r="C2311" s="10">
        <v>74</v>
      </c>
      <c r="D2311" s="10">
        <v>422</v>
      </c>
      <c r="E2311" s="10" t="s">
        <v>159</v>
      </c>
    </row>
    <row r="2312" spans="1:5" x14ac:dyDescent="0.35">
      <c r="A2312" s="2">
        <v>42517</v>
      </c>
      <c r="B2312" s="40" t="s">
        <v>103</v>
      </c>
      <c r="C2312" s="10">
        <v>69</v>
      </c>
      <c r="D2312" s="10">
        <v>266</v>
      </c>
      <c r="E2312" s="10" t="s">
        <v>32</v>
      </c>
    </row>
    <row r="2313" spans="1:5" x14ac:dyDescent="0.35">
      <c r="A2313" s="2">
        <v>42517</v>
      </c>
      <c r="B2313" s="40" t="s">
        <v>103</v>
      </c>
      <c r="C2313" s="10">
        <v>69</v>
      </c>
      <c r="D2313" s="10">
        <v>323</v>
      </c>
      <c r="E2313" s="10" t="s">
        <v>159</v>
      </c>
    </row>
    <row r="2314" spans="1:5" x14ac:dyDescent="0.35">
      <c r="A2314" s="2">
        <v>42517</v>
      </c>
      <c r="B2314" s="40" t="s">
        <v>103</v>
      </c>
      <c r="C2314" s="10">
        <v>68</v>
      </c>
      <c r="D2314" s="10">
        <v>280</v>
      </c>
      <c r="E2314" s="10" t="s">
        <v>159</v>
      </c>
    </row>
    <row r="2315" spans="1:5" x14ac:dyDescent="0.35">
      <c r="A2315" s="2">
        <v>42517</v>
      </c>
      <c r="B2315" s="40" t="s">
        <v>103</v>
      </c>
      <c r="C2315" s="10">
        <v>67</v>
      </c>
      <c r="D2315" s="10">
        <v>306</v>
      </c>
      <c r="E2315" s="10" t="s">
        <v>159</v>
      </c>
    </row>
    <row r="2316" spans="1:5" x14ac:dyDescent="0.35">
      <c r="A2316" s="2">
        <v>42517</v>
      </c>
      <c r="B2316" s="40" t="s">
        <v>103</v>
      </c>
      <c r="C2316" s="10">
        <v>68</v>
      </c>
      <c r="D2316" s="10">
        <v>383</v>
      </c>
      <c r="E2316" s="10" t="s">
        <v>159</v>
      </c>
    </row>
    <row r="2317" spans="1:5" x14ac:dyDescent="0.35">
      <c r="A2317" s="2">
        <v>42517</v>
      </c>
      <c r="B2317" s="40" t="s">
        <v>103</v>
      </c>
      <c r="C2317" s="10">
        <v>73</v>
      </c>
      <c r="D2317" s="10">
        <v>458</v>
      </c>
      <c r="E2317" s="10" t="s">
        <v>159</v>
      </c>
    </row>
    <row r="2318" spans="1:5" x14ac:dyDescent="0.35">
      <c r="A2318" s="2">
        <v>42517</v>
      </c>
      <c r="B2318" s="40" t="s">
        <v>103</v>
      </c>
      <c r="C2318" s="10">
        <v>66</v>
      </c>
      <c r="D2318" s="10">
        <v>305</v>
      </c>
      <c r="E2318" s="10" t="s">
        <v>159</v>
      </c>
    </row>
    <row r="2319" spans="1:5" x14ac:dyDescent="0.35">
      <c r="A2319" s="2">
        <v>42517</v>
      </c>
      <c r="B2319" s="40" t="s">
        <v>103</v>
      </c>
      <c r="C2319" s="10">
        <v>72</v>
      </c>
      <c r="D2319" s="10">
        <v>475</v>
      </c>
      <c r="E2319" s="10" t="s">
        <v>159</v>
      </c>
    </row>
    <row r="2320" spans="1:5" x14ac:dyDescent="0.35">
      <c r="A2320" s="2">
        <v>42517</v>
      </c>
      <c r="B2320" s="40" t="s">
        <v>103</v>
      </c>
      <c r="C2320" s="10">
        <v>71</v>
      </c>
      <c r="D2320" s="10">
        <v>365</v>
      </c>
      <c r="E2320" s="10" t="s">
        <v>159</v>
      </c>
    </row>
    <row r="2321" spans="1:5" x14ac:dyDescent="0.35">
      <c r="A2321" s="2">
        <v>42517</v>
      </c>
      <c r="B2321" s="40" t="s">
        <v>103</v>
      </c>
      <c r="C2321" s="10">
        <v>69</v>
      </c>
      <c r="D2321" s="10">
        <v>367</v>
      </c>
      <c r="E2321" s="10" t="s">
        <v>159</v>
      </c>
    </row>
    <row r="2322" spans="1:5" x14ac:dyDescent="0.35">
      <c r="A2322" s="2">
        <v>42517</v>
      </c>
      <c r="B2322" s="40" t="s">
        <v>103</v>
      </c>
      <c r="C2322" s="10">
        <v>70</v>
      </c>
      <c r="D2322" s="10">
        <v>326</v>
      </c>
      <c r="E2322" s="10" t="s">
        <v>37</v>
      </c>
    </row>
    <row r="2323" spans="1:5" x14ac:dyDescent="0.35">
      <c r="A2323" s="2">
        <v>42517</v>
      </c>
      <c r="B2323" s="40" t="s">
        <v>103</v>
      </c>
      <c r="C2323" s="10">
        <v>68</v>
      </c>
      <c r="D2323" s="10">
        <v>346</v>
      </c>
      <c r="E2323" s="10" t="s">
        <v>159</v>
      </c>
    </row>
    <row r="2324" spans="1:5" x14ac:dyDescent="0.35">
      <c r="A2324" s="2">
        <v>42517</v>
      </c>
      <c r="B2324" s="40" t="s">
        <v>103</v>
      </c>
      <c r="C2324" s="10">
        <v>121</v>
      </c>
      <c r="D2324" s="10">
        <v>2667</v>
      </c>
      <c r="E2324" s="10" t="s">
        <v>98</v>
      </c>
    </row>
    <row r="2325" spans="1:5" x14ac:dyDescent="0.35">
      <c r="A2325" s="2">
        <v>42517</v>
      </c>
      <c r="B2325" s="40" t="s">
        <v>103</v>
      </c>
      <c r="C2325" s="10">
        <v>95</v>
      </c>
      <c r="D2325" s="10">
        <v>1100</v>
      </c>
      <c r="E2325" s="10" t="s">
        <v>98</v>
      </c>
    </row>
    <row r="2326" spans="1:5" s="4" customFormat="1" x14ac:dyDescent="0.35">
      <c r="A2326" s="3">
        <v>42517</v>
      </c>
      <c r="B2326" s="44" t="s">
        <v>103</v>
      </c>
      <c r="C2326" s="11">
        <v>99</v>
      </c>
      <c r="D2326" s="11">
        <v>1434</v>
      </c>
      <c r="E2326" s="11" t="s">
        <v>98</v>
      </c>
    </row>
    <row r="2327" spans="1:5" x14ac:dyDescent="0.35">
      <c r="A2327" s="2">
        <v>42517</v>
      </c>
      <c r="B2327" s="40" t="s">
        <v>104</v>
      </c>
      <c r="C2327" s="10">
        <v>67</v>
      </c>
      <c r="D2327" s="10">
        <v>185</v>
      </c>
      <c r="E2327" s="10" t="s">
        <v>32</v>
      </c>
    </row>
    <row r="2328" spans="1:5" x14ac:dyDescent="0.35">
      <c r="A2328" s="2">
        <v>42517</v>
      </c>
      <c r="B2328" s="40" t="s">
        <v>104</v>
      </c>
      <c r="C2328" s="10">
        <v>74</v>
      </c>
      <c r="D2328" s="10">
        <v>478</v>
      </c>
      <c r="E2328" s="10" t="s">
        <v>159</v>
      </c>
    </row>
    <row r="2329" spans="1:5" x14ac:dyDescent="0.35">
      <c r="A2329" s="2">
        <v>42517</v>
      </c>
      <c r="B2329" s="40" t="s">
        <v>104</v>
      </c>
      <c r="C2329" s="10">
        <v>63</v>
      </c>
      <c r="D2329" s="10">
        <v>248</v>
      </c>
      <c r="E2329" s="10" t="s">
        <v>37</v>
      </c>
    </row>
    <row r="2330" spans="1:5" x14ac:dyDescent="0.35">
      <c r="A2330" s="2">
        <v>42517</v>
      </c>
      <c r="B2330" s="40" t="s">
        <v>104</v>
      </c>
      <c r="C2330" s="10">
        <v>71</v>
      </c>
      <c r="D2330" s="10">
        <v>258</v>
      </c>
      <c r="E2330" s="10" t="s">
        <v>37</v>
      </c>
    </row>
    <row r="2331" spans="1:5" x14ac:dyDescent="0.35">
      <c r="A2331" s="2">
        <v>42517</v>
      </c>
      <c r="B2331" s="40" t="s">
        <v>104</v>
      </c>
      <c r="C2331" s="10">
        <v>73</v>
      </c>
      <c r="D2331" s="10">
        <v>418</v>
      </c>
      <c r="E2331" s="10" t="s">
        <v>159</v>
      </c>
    </row>
    <row r="2332" spans="1:5" x14ac:dyDescent="0.35">
      <c r="A2332" s="2">
        <v>42517</v>
      </c>
      <c r="B2332" s="40" t="s">
        <v>104</v>
      </c>
      <c r="C2332" s="10">
        <v>70</v>
      </c>
      <c r="D2332" s="10">
        <v>268</v>
      </c>
      <c r="E2332" s="10" t="s">
        <v>37</v>
      </c>
    </row>
    <row r="2333" spans="1:5" x14ac:dyDescent="0.35">
      <c r="A2333" s="2">
        <v>42517</v>
      </c>
      <c r="B2333" s="40" t="s">
        <v>104</v>
      </c>
      <c r="C2333" s="10">
        <v>73</v>
      </c>
      <c r="D2333" s="10">
        <v>416</v>
      </c>
      <c r="E2333" s="10" t="s">
        <v>159</v>
      </c>
    </row>
    <row r="2334" spans="1:5" x14ac:dyDescent="0.35">
      <c r="A2334" s="2">
        <v>42517</v>
      </c>
      <c r="B2334" s="40" t="s">
        <v>104</v>
      </c>
      <c r="C2334" s="10">
        <v>68</v>
      </c>
      <c r="D2334" s="10">
        <v>298</v>
      </c>
      <c r="E2334" s="10" t="s">
        <v>159</v>
      </c>
    </row>
    <row r="2335" spans="1:5" x14ac:dyDescent="0.35">
      <c r="A2335" s="2">
        <v>42517</v>
      </c>
      <c r="B2335" s="40" t="s">
        <v>104</v>
      </c>
      <c r="C2335" s="10">
        <v>73</v>
      </c>
      <c r="D2335" s="10">
        <v>443</v>
      </c>
      <c r="E2335" s="10" t="s">
        <v>159</v>
      </c>
    </row>
    <row r="2336" spans="1:5" x14ac:dyDescent="0.35">
      <c r="A2336" s="2">
        <v>42517</v>
      </c>
      <c r="B2336" s="40" t="s">
        <v>104</v>
      </c>
      <c r="C2336" s="10">
        <v>72</v>
      </c>
      <c r="D2336" s="10">
        <v>397</v>
      </c>
      <c r="E2336" s="10" t="s">
        <v>159</v>
      </c>
    </row>
    <row r="2337" spans="1:5" x14ac:dyDescent="0.35">
      <c r="A2337" s="2">
        <v>42517</v>
      </c>
      <c r="B2337" s="40" t="s">
        <v>104</v>
      </c>
      <c r="C2337" s="10">
        <v>73</v>
      </c>
      <c r="D2337" s="10">
        <v>370</v>
      </c>
      <c r="E2337" s="10" t="s">
        <v>159</v>
      </c>
    </row>
    <row r="2338" spans="1:5" x14ac:dyDescent="0.35">
      <c r="A2338" s="2">
        <v>42517</v>
      </c>
      <c r="B2338" s="40" t="s">
        <v>104</v>
      </c>
      <c r="C2338" s="10">
        <v>68</v>
      </c>
      <c r="D2338" s="10">
        <v>318</v>
      </c>
      <c r="E2338" s="10" t="s">
        <v>159</v>
      </c>
    </row>
    <row r="2339" spans="1:5" x14ac:dyDescent="0.35">
      <c r="A2339" s="2">
        <v>42517</v>
      </c>
      <c r="B2339" s="40" t="s">
        <v>104</v>
      </c>
      <c r="C2339" s="10">
        <v>73</v>
      </c>
      <c r="D2339" s="10">
        <v>414</v>
      </c>
      <c r="E2339" s="10" t="s">
        <v>159</v>
      </c>
    </row>
    <row r="2340" spans="1:5" x14ac:dyDescent="0.35">
      <c r="A2340" s="2">
        <v>42517</v>
      </c>
      <c r="B2340" s="40" t="s">
        <v>104</v>
      </c>
      <c r="C2340" s="10">
        <v>77</v>
      </c>
      <c r="D2340" s="10">
        <v>460</v>
      </c>
      <c r="E2340" s="10" t="s">
        <v>159</v>
      </c>
    </row>
    <row r="2341" spans="1:5" x14ac:dyDescent="0.35">
      <c r="A2341" s="2">
        <v>42517</v>
      </c>
      <c r="B2341" s="40" t="s">
        <v>104</v>
      </c>
      <c r="C2341" s="10">
        <v>75</v>
      </c>
      <c r="D2341" s="10">
        <v>433</v>
      </c>
      <c r="E2341" s="10" t="s">
        <v>159</v>
      </c>
    </row>
    <row r="2342" spans="1:5" x14ac:dyDescent="0.35">
      <c r="A2342" s="2">
        <v>42517</v>
      </c>
      <c r="B2342" s="40" t="s">
        <v>104</v>
      </c>
      <c r="C2342" s="10">
        <v>70</v>
      </c>
      <c r="D2342" s="10">
        <v>398</v>
      </c>
      <c r="E2342" s="10" t="s">
        <v>159</v>
      </c>
    </row>
    <row r="2343" spans="1:5" x14ac:dyDescent="0.35">
      <c r="A2343" s="2">
        <v>42517</v>
      </c>
      <c r="B2343" s="40" t="s">
        <v>104</v>
      </c>
      <c r="C2343" s="10">
        <v>78</v>
      </c>
      <c r="D2343" s="10">
        <v>378</v>
      </c>
      <c r="E2343" s="10" t="s">
        <v>159</v>
      </c>
    </row>
    <row r="2344" spans="1:5" x14ac:dyDescent="0.35">
      <c r="A2344" s="2">
        <v>42517</v>
      </c>
      <c r="B2344" s="40" t="s">
        <v>104</v>
      </c>
      <c r="C2344" s="10">
        <v>65</v>
      </c>
      <c r="D2344" s="10">
        <v>298</v>
      </c>
      <c r="E2344" s="10" t="s">
        <v>159</v>
      </c>
    </row>
    <row r="2345" spans="1:5" x14ac:dyDescent="0.35">
      <c r="A2345" s="2">
        <v>42517</v>
      </c>
      <c r="B2345" s="40" t="s">
        <v>104</v>
      </c>
      <c r="C2345" s="10">
        <v>73</v>
      </c>
      <c r="D2345" s="10">
        <v>250</v>
      </c>
      <c r="E2345" s="10" t="s">
        <v>37</v>
      </c>
    </row>
    <row r="2346" spans="1:5" x14ac:dyDescent="0.35">
      <c r="A2346" s="2">
        <v>42517</v>
      </c>
      <c r="B2346" s="40" t="s">
        <v>104</v>
      </c>
      <c r="C2346" s="10">
        <v>62</v>
      </c>
      <c r="D2346" s="10">
        <v>224</v>
      </c>
      <c r="E2346" s="10" t="s">
        <v>159</v>
      </c>
    </row>
    <row r="2347" spans="1:5" x14ac:dyDescent="0.35">
      <c r="A2347" s="2">
        <v>42517</v>
      </c>
      <c r="B2347" s="40" t="s">
        <v>104</v>
      </c>
      <c r="C2347" s="10">
        <v>76</v>
      </c>
      <c r="D2347" s="10">
        <v>486</v>
      </c>
      <c r="E2347" s="10" t="s">
        <v>159</v>
      </c>
    </row>
    <row r="2348" spans="1:5" x14ac:dyDescent="0.35">
      <c r="A2348" s="2">
        <v>42517</v>
      </c>
      <c r="B2348" s="40" t="s">
        <v>104</v>
      </c>
      <c r="C2348" s="10">
        <v>70</v>
      </c>
      <c r="D2348" s="10">
        <v>298</v>
      </c>
      <c r="E2348" s="10" t="s">
        <v>37</v>
      </c>
    </row>
    <row r="2349" spans="1:5" x14ac:dyDescent="0.35">
      <c r="A2349" s="2">
        <v>42517</v>
      </c>
      <c r="B2349" s="40" t="s">
        <v>104</v>
      </c>
      <c r="C2349" s="10">
        <v>66</v>
      </c>
      <c r="D2349" s="10">
        <v>330</v>
      </c>
      <c r="E2349" s="10" t="s">
        <v>159</v>
      </c>
    </row>
    <row r="2350" spans="1:5" s="4" customFormat="1" x14ac:dyDescent="0.35">
      <c r="A2350" s="3">
        <v>42517</v>
      </c>
      <c r="B2350" s="44" t="s">
        <v>104</v>
      </c>
      <c r="C2350" s="11">
        <v>62</v>
      </c>
      <c r="D2350" s="11">
        <v>202</v>
      </c>
      <c r="E2350" s="11" t="s">
        <v>37</v>
      </c>
    </row>
    <row r="2351" spans="1:5" x14ac:dyDescent="0.35">
      <c r="A2351" s="2">
        <v>42517</v>
      </c>
      <c r="B2351" s="40" t="s">
        <v>113</v>
      </c>
      <c r="C2351" s="10">
        <v>68</v>
      </c>
      <c r="D2351" s="10">
        <v>348</v>
      </c>
      <c r="E2351" s="10" t="s">
        <v>159</v>
      </c>
    </row>
    <row r="2352" spans="1:5" x14ac:dyDescent="0.35">
      <c r="A2352" s="2">
        <v>42517</v>
      </c>
      <c r="B2352" s="40" t="s">
        <v>113</v>
      </c>
      <c r="C2352" s="10">
        <v>70</v>
      </c>
      <c r="D2352" s="10">
        <v>362</v>
      </c>
      <c r="E2352" s="10" t="s">
        <v>159</v>
      </c>
    </row>
    <row r="2353" spans="1:5" x14ac:dyDescent="0.35">
      <c r="A2353" s="2">
        <v>42517</v>
      </c>
      <c r="B2353" s="40" t="s">
        <v>113</v>
      </c>
      <c r="C2353" s="10">
        <v>74</v>
      </c>
      <c r="D2353" s="10">
        <v>447</v>
      </c>
      <c r="E2353" s="10" t="s">
        <v>159</v>
      </c>
    </row>
    <row r="2354" spans="1:5" x14ac:dyDescent="0.35">
      <c r="A2354" s="2">
        <v>42517</v>
      </c>
      <c r="B2354" s="40" t="s">
        <v>113</v>
      </c>
      <c r="C2354" s="10">
        <v>78</v>
      </c>
      <c r="D2354" s="10">
        <v>423</v>
      </c>
      <c r="E2354" s="10" t="s">
        <v>159</v>
      </c>
    </row>
    <row r="2355" spans="1:5" x14ac:dyDescent="0.35">
      <c r="A2355" s="2">
        <v>42517</v>
      </c>
      <c r="B2355" s="40" t="s">
        <v>113</v>
      </c>
      <c r="C2355" s="10">
        <v>76</v>
      </c>
      <c r="D2355" s="10">
        <v>546</v>
      </c>
      <c r="E2355" s="53" t="s">
        <v>159</v>
      </c>
    </row>
    <row r="2356" spans="1:5" x14ac:dyDescent="0.35">
      <c r="A2356" s="2">
        <v>42517</v>
      </c>
      <c r="B2356" s="40" t="s">
        <v>113</v>
      </c>
      <c r="C2356" s="10">
        <v>76</v>
      </c>
      <c r="D2356" s="10">
        <v>411</v>
      </c>
      <c r="E2356" s="10" t="s">
        <v>159</v>
      </c>
    </row>
    <row r="2357" spans="1:5" x14ac:dyDescent="0.35">
      <c r="A2357" s="2">
        <v>42517</v>
      </c>
      <c r="B2357" s="40" t="s">
        <v>113</v>
      </c>
      <c r="C2357" s="10">
        <v>65</v>
      </c>
      <c r="D2357" s="10">
        <v>331</v>
      </c>
      <c r="E2357" s="10" t="s">
        <v>159</v>
      </c>
    </row>
    <row r="2358" spans="1:5" x14ac:dyDescent="0.35">
      <c r="A2358" s="2">
        <v>42517</v>
      </c>
      <c r="B2358" s="40" t="s">
        <v>113</v>
      </c>
      <c r="C2358" s="10">
        <v>75</v>
      </c>
      <c r="D2358" s="10">
        <v>455</v>
      </c>
      <c r="E2358" s="10" t="s">
        <v>159</v>
      </c>
    </row>
    <row r="2359" spans="1:5" x14ac:dyDescent="0.35">
      <c r="A2359" s="2">
        <v>42517</v>
      </c>
      <c r="B2359" s="40" t="s">
        <v>113</v>
      </c>
      <c r="C2359" s="10">
        <v>73</v>
      </c>
      <c r="D2359" s="10">
        <v>427</v>
      </c>
      <c r="E2359" s="10" t="s">
        <v>159</v>
      </c>
    </row>
    <row r="2360" spans="1:5" x14ac:dyDescent="0.35">
      <c r="A2360" s="2">
        <v>42517</v>
      </c>
      <c r="B2360" s="40" t="s">
        <v>113</v>
      </c>
      <c r="C2360" s="10">
        <v>73</v>
      </c>
      <c r="D2360" s="10">
        <v>439</v>
      </c>
      <c r="E2360" s="10" t="s">
        <v>159</v>
      </c>
    </row>
    <row r="2361" spans="1:5" x14ac:dyDescent="0.35">
      <c r="A2361" s="2">
        <v>42517</v>
      </c>
      <c r="B2361" s="40" t="s">
        <v>113</v>
      </c>
      <c r="C2361" s="10">
        <v>72</v>
      </c>
      <c r="D2361" s="10">
        <v>273</v>
      </c>
      <c r="E2361" s="10" t="s">
        <v>37</v>
      </c>
    </row>
    <row r="2362" spans="1:5" x14ac:dyDescent="0.35">
      <c r="A2362" s="2">
        <v>42517</v>
      </c>
      <c r="B2362" s="40" t="s">
        <v>113</v>
      </c>
      <c r="C2362" s="10">
        <v>73</v>
      </c>
      <c r="D2362" s="10">
        <v>446</v>
      </c>
      <c r="E2362" s="10" t="s">
        <v>159</v>
      </c>
    </row>
    <row r="2363" spans="1:5" x14ac:dyDescent="0.35">
      <c r="A2363" s="2">
        <v>42517</v>
      </c>
      <c r="B2363" s="40" t="s">
        <v>113</v>
      </c>
      <c r="C2363" s="10">
        <v>73</v>
      </c>
      <c r="D2363" s="10">
        <v>325</v>
      </c>
      <c r="E2363" s="10" t="s">
        <v>159</v>
      </c>
    </row>
    <row r="2364" spans="1:5" x14ac:dyDescent="0.35">
      <c r="A2364" s="2">
        <v>42517</v>
      </c>
      <c r="B2364" s="40" t="s">
        <v>113</v>
      </c>
      <c r="C2364" s="10">
        <v>74</v>
      </c>
      <c r="D2364" s="10">
        <v>405</v>
      </c>
      <c r="E2364" s="10" t="s">
        <v>159</v>
      </c>
    </row>
    <row r="2365" spans="1:5" x14ac:dyDescent="0.35">
      <c r="A2365" s="2">
        <v>42517</v>
      </c>
      <c r="B2365" s="40" t="s">
        <v>113</v>
      </c>
      <c r="C2365" s="10">
        <v>73</v>
      </c>
      <c r="D2365" s="10">
        <v>526</v>
      </c>
      <c r="E2365" s="10" t="s">
        <v>159</v>
      </c>
    </row>
    <row r="2366" spans="1:5" x14ac:dyDescent="0.35">
      <c r="A2366" s="2">
        <v>42517</v>
      </c>
      <c r="B2366" s="40" t="s">
        <v>113</v>
      </c>
      <c r="C2366" s="10">
        <v>76</v>
      </c>
      <c r="D2366" s="10">
        <v>505</v>
      </c>
      <c r="E2366" s="10" t="s">
        <v>159</v>
      </c>
    </row>
    <row r="2367" spans="1:5" x14ac:dyDescent="0.35">
      <c r="A2367" s="2">
        <v>42517</v>
      </c>
      <c r="B2367" s="40" t="s">
        <v>113</v>
      </c>
      <c r="C2367" s="10">
        <v>71</v>
      </c>
      <c r="D2367" s="10">
        <v>329</v>
      </c>
      <c r="E2367" s="10" t="s">
        <v>159</v>
      </c>
    </row>
    <row r="2368" spans="1:5" x14ac:dyDescent="0.35">
      <c r="A2368" s="2">
        <v>42517</v>
      </c>
      <c r="B2368" s="40" t="s">
        <v>113</v>
      </c>
      <c r="C2368" s="10">
        <v>96</v>
      </c>
      <c r="D2368" s="10">
        <v>1212</v>
      </c>
      <c r="E2368" s="10" t="s">
        <v>98</v>
      </c>
    </row>
    <row r="2369" spans="1:5" x14ac:dyDescent="0.35">
      <c r="A2369" s="2">
        <v>42517</v>
      </c>
      <c r="B2369" s="40" t="s">
        <v>113</v>
      </c>
      <c r="C2369" s="10">
        <v>112</v>
      </c>
      <c r="D2369" s="10">
        <v>2216</v>
      </c>
      <c r="E2369" s="10" t="s">
        <v>98</v>
      </c>
    </row>
    <row r="2370" spans="1:5" s="4" customFormat="1" x14ac:dyDescent="0.35">
      <c r="A2370" s="3">
        <v>42517</v>
      </c>
      <c r="B2370" s="44" t="s">
        <v>113</v>
      </c>
      <c r="C2370" s="11">
        <v>113</v>
      </c>
      <c r="D2370" s="11">
        <v>1933</v>
      </c>
      <c r="E2370" s="11" t="s">
        <v>98</v>
      </c>
    </row>
    <row r="2371" spans="1:5" x14ac:dyDescent="0.35">
      <c r="A2371" s="2">
        <v>42517</v>
      </c>
      <c r="B2371" s="40" t="s">
        <v>102</v>
      </c>
      <c r="C2371" s="10">
        <v>72</v>
      </c>
      <c r="D2371" s="10">
        <v>367</v>
      </c>
      <c r="E2371" s="10" t="s">
        <v>159</v>
      </c>
    </row>
    <row r="2372" spans="1:5" x14ac:dyDescent="0.35">
      <c r="A2372" s="2">
        <v>42517</v>
      </c>
      <c r="B2372" s="40" t="s">
        <v>102</v>
      </c>
      <c r="C2372" s="10">
        <v>74</v>
      </c>
      <c r="D2372" s="10">
        <v>415</v>
      </c>
      <c r="E2372" s="10" t="s">
        <v>159</v>
      </c>
    </row>
    <row r="2373" spans="1:5" x14ac:dyDescent="0.35">
      <c r="A2373" s="2">
        <v>42517</v>
      </c>
      <c r="B2373" s="40" t="s">
        <v>102</v>
      </c>
      <c r="C2373" s="10">
        <v>68</v>
      </c>
      <c r="D2373" s="10">
        <v>294</v>
      </c>
      <c r="E2373" s="10" t="s">
        <v>159</v>
      </c>
    </row>
    <row r="2374" spans="1:5" x14ac:dyDescent="0.35">
      <c r="A2374" s="2">
        <v>42517</v>
      </c>
      <c r="B2374" s="40" t="s">
        <v>102</v>
      </c>
      <c r="C2374" s="10">
        <v>69</v>
      </c>
      <c r="D2374" s="10">
        <v>339</v>
      </c>
      <c r="E2374" s="10" t="s">
        <v>159</v>
      </c>
    </row>
    <row r="2375" spans="1:5" x14ac:dyDescent="0.35">
      <c r="A2375" s="2">
        <v>42517</v>
      </c>
      <c r="B2375" s="40" t="s">
        <v>102</v>
      </c>
      <c r="C2375" s="10">
        <v>76</v>
      </c>
      <c r="D2375" s="10">
        <v>519</v>
      </c>
      <c r="E2375" s="10" t="s">
        <v>159</v>
      </c>
    </row>
    <row r="2376" spans="1:5" x14ac:dyDescent="0.35">
      <c r="A2376" s="2">
        <v>42517</v>
      </c>
      <c r="B2376" s="40" t="s">
        <v>102</v>
      </c>
      <c r="C2376" s="10">
        <v>75</v>
      </c>
      <c r="D2376" s="10">
        <v>441</v>
      </c>
      <c r="E2376" s="10" t="s">
        <v>159</v>
      </c>
    </row>
    <row r="2377" spans="1:5" x14ac:dyDescent="0.35">
      <c r="A2377" s="2">
        <v>42517</v>
      </c>
      <c r="B2377" s="40" t="s">
        <v>102</v>
      </c>
      <c r="C2377" s="10">
        <v>68</v>
      </c>
      <c r="D2377" s="10">
        <v>334</v>
      </c>
      <c r="E2377" s="10" t="s">
        <v>159</v>
      </c>
    </row>
    <row r="2378" spans="1:5" x14ac:dyDescent="0.35">
      <c r="A2378" s="2">
        <v>42517</v>
      </c>
      <c r="B2378" s="40" t="s">
        <v>102</v>
      </c>
      <c r="C2378" s="10">
        <v>71</v>
      </c>
      <c r="D2378" s="10">
        <v>355</v>
      </c>
      <c r="E2378" s="10" t="s">
        <v>159</v>
      </c>
    </row>
    <row r="2379" spans="1:5" x14ac:dyDescent="0.35">
      <c r="A2379" s="2">
        <v>42517</v>
      </c>
      <c r="B2379" s="40" t="s">
        <v>102</v>
      </c>
      <c r="C2379" s="10">
        <v>86</v>
      </c>
      <c r="D2379" s="10">
        <v>898</v>
      </c>
      <c r="E2379" s="10" t="s">
        <v>98</v>
      </c>
    </row>
    <row r="2380" spans="1:5" x14ac:dyDescent="0.35">
      <c r="A2380" s="2">
        <v>42517</v>
      </c>
      <c r="B2380" s="40" t="s">
        <v>102</v>
      </c>
      <c r="C2380" s="10">
        <v>95</v>
      </c>
      <c r="D2380" s="10">
        <v>941</v>
      </c>
      <c r="E2380" s="10" t="s">
        <v>98</v>
      </c>
    </row>
    <row r="2381" spans="1:5" x14ac:dyDescent="0.35">
      <c r="A2381" s="2">
        <v>42517</v>
      </c>
      <c r="B2381" s="40" t="s">
        <v>102</v>
      </c>
      <c r="C2381" s="10">
        <v>113</v>
      </c>
      <c r="D2381" s="10">
        <v>2372</v>
      </c>
      <c r="E2381" s="10" t="s">
        <v>98</v>
      </c>
    </row>
    <row r="2382" spans="1:5" x14ac:dyDescent="0.35">
      <c r="A2382" s="2">
        <v>42517</v>
      </c>
      <c r="B2382" s="40" t="s">
        <v>102</v>
      </c>
      <c r="C2382" s="10">
        <v>126</v>
      </c>
      <c r="D2382" s="10">
        <v>2919</v>
      </c>
      <c r="E2382" s="10" t="s">
        <v>98</v>
      </c>
    </row>
    <row r="2383" spans="1:5" x14ac:dyDescent="0.35">
      <c r="A2383" s="2">
        <v>42517</v>
      </c>
      <c r="B2383" s="40" t="s">
        <v>102</v>
      </c>
      <c r="C2383" s="10">
        <v>107</v>
      </c>
      <c r="D2383" s="10">
        <v>1680</v>
      </c>
      <c r="E2383" s="10" t="s">
        <v>98</v>
      </c>
    </row>
    <row r="2384" spans="1:5" s="4" customFormat="1" x14ac:dyDescent="0.35">
      <c r="A2384" s="3">
        <v>42517</v>
      </c>
      <c r="B2384" s="44" t="s">
        <v>102</v>
      </c>
      <c r="C2384" s="11">
        <v>104</v>
      </c>
      <c r="D2384" s="11">
        <v>1958</v>
      </c>
      <c r="E2384" s="11" t="s">
        <v>98</v>
      </c>
    </row>
    <row r="2385" spans="1:6" x14ac:dyDescent="0.35">
      <c r="A2385" s="2">
        <v>42517</v>
      </c>
      <c r="B2385" s="40" t="s">
        <v>63</v>
      </c>
      <c r="C2385" s="10">
        <v>63</v>
      </c>
      <c r="D2385" s="10">
        <v>320</v>
      </c>
      <c r="E2385" s="10" t="s">
        <v>37</v>
      </c>
    </row>
    <row r="2386" spans="1:6" x14ac:dyDescent="0.35">
      <c r="A2386" s="2">
        <v>42517</v>
      </c>
      <c r="B2386" s="40" t="s">
        <v>63</v>
      </c>
      <c r="C2386" s="10">
        <v>71</v>
      </c>
      <c r="D2386" s="10">
        <v>327</v>
      </c>
      <c r="E2386" s="10" t="s">
        <v>159</v>
      </c>
    </row>
    <row r="2387" spans="1:6" x14ac:dyDescent="0.35">
      <c r="A2387" s="2">
        <v>42517</v>
      </c>
      <c r="B2387" s="40" t="s">
        <v>63</v>
      </c>
      <c r="C2387" s="10">
        <v>65</v>
      </c>
      <c r="D2387" s="10">
        <v>109</v>
      </c>
      <c r="E2387" s="10" t="s">
        <v>32</v>
      </c>
      <c r="F2387" t="s">
        <v>165</v>
      </c>
    </row>
    <row r="2388" spans="1:6" x14ac:dyDescent="0.35">
      <c r="A2388" s="2">
        <v>42517</v>
      </c>
      <c r="B2388" s="40" t="s">
        <v>63</v>
      </c>
      <c r="C2388" s="10">
        <v>68</v>
      </c>
      <c r="D2388" s="10">
        <v>340</v>
      </c>
      <c r="E2388" s="10" t="s">
        <v>37</v>
      </c>
    </row>
    <row r="2389" spans="1:6" x14ac:dyDescent="0.35">
      <c r="A2389" s="2">
        <v>42517</v>
      </c>
      <c r="B2389" s="40" t="s">
        <v>63</v>
      </c>
      <c r="C2389" s="10">
        <v>74</v>
      </c>
      <c r="D2389" s="10">
        <v>304</v>
      </c>
      <c r="E2389" s="10" t="s">
        <v>159</v>
      </c>
    </row>
    <row r="2390" spans="1:6" x14ac:dyDescent="0.35">
      <c r="A2390" s="2">
        <v>42517</v>
      </c>
      <c r="B2390" s="40" t="s">
        <v>63</v>
      </c>
      <c r="C2390" s="10">
        <v>110</v>
      </c>
      <c r="D2390" s="10">
        <v>1808</v>
      </c>
      <c r="E2390" s="10" t="s">
        <v>98</v>
      </c>
    </row>
    <row r="2391" spans="1:6" x14ac:dyDescent="0.35">
      <c r="A2391" s="2">
        <v>42517</v>
      </c>
      <c r="B2391" s="40" t="s">
        <v>63</v>
      </c>
      <c r="C2391" s="10">
        <v>166</v>
      </c>
      <c r="D2391" s="10">
        <v>5996</v>
      </c>
      <c r="E2391" s="10" t="s">
        <v>98</v>
      </c>
    </row>
    <row r="2392" spans="1:6" x14ac:dyDescent="0.35">
      <c r="A2392" s="2">
        <v>42517</v>
      </c>
      <c r="B2392" s="40" t="s">
        <v>63</v>
      </c>
      <c r="C2392" s="10">
        <v>112</v>
      </c>
      <c r="D2392" s="10">
        <v>2723</v>
      </c>
      <c r="E2392" s="10" t="s">
        <v>98</v>
      </c>
    </row>
    <row r="2393" spans="1:6" x14ac:dyDescent="0.35">
      <c r="A2393" s="2">
        <v>42517</v>
      </c>
      <c r="B2393" s="40" t="s">
        <v>63</v>
      </c>
      <c r="C2393" s="10">
        <v>116</v>
      </c>
      <c r="D2393" s="10">
        <v>1970</v>
      </c>
      <c r="E2393" s="10" t="s">
        <v>98</v>
      </c>
    </row>
    <row r="2394" spans="1:6" x14ac:dyDescent="0.35">
      <c r="A2394" s="2">
        <v>42517</v>
      </c>
      <c r="B2394" s="40" t="s">
        <v>63</v>
      </c>
      <c r="C2394" s="10">
        <v>107</v>
      </c>
      <c r="D2394" s="10">
        <v>1878</v>
      </c>
      <c r="E2394" s="10" t="s">
        <v>98</v>
      </c>
    </row>
    <row r="2395" spans="1:6" s="4" customFormat="1" x14ac:dyDescent="0.35">
      <c r="A2395" s="3">
        <v>42517</v>
      </c>
      <c r="B2395" s="44" t="s">
        <v>63</v>
      </c>
      <c r="C2395" s="11">
        <v>113</v>
      </c>
      <c r="D2395" s="11">
        <v>1910</v>
      </c>
      <c r="E2395" s="11" t="s">
        <v>98</v>
      </c>
    </row>
    <row r="2396" spans="1:6" x14ac:dyDescent="0.35">
      <c r="A2396" s="2">
        <v>42517</v>
      </c>
      <c r="B2396" s="40" t="s">
        <v>66</v>
      </c>
      <c r="C2396" s="10">
        <v>68</v>
      </c>
      <c r="D2396" s="10">
        <v>253</v>
      </c>
      <c r="E2396" s="10" t="s">
        <v>159</v>
      </c>
    </row>
    <row r="2397" spans="1:6" x14ac:dyDescent="0.35">
      <c r="A2397" s="2">
        <v>42517</v>
      </c>
      <c r="B2397" s="40" t="s">
        <v>66</v>
      </c>
      <c r="C2397" s="10">
        <v>68</v>
      </c>
      <c r="D2397" s="10">
        <v>321</v>
      </c>
      <c r="E2397" s="10" t="s">
        <v>159</v>
      </c>
    </row>
    <row r="2398" spans="1:6" x14ac:dyDescent="0.35">
      <c r="A2398" s="2">
        <v>42517</v>
      </c>
      <c r="B2398" s="40" t="s">
        <v>66</v>
      </c>
      <c r="C2398" s="10">
        <v>72</v>
      </c>
      <c r="D2398" s="10">
        <v>368</v>
      </c>
      <c r="E2398" s="10" t="s">
        <v>159</v>
      </c>
    </row>
    <row r="2399" spans="1:6" x14ac:dyDescent="0.35">
      <c r="A2399" s="2">
        <v>42517</v>
      </c>
      <c r="B2399" s="40" t="s">
        <v>66</v>
      </c>
      <c r="C2399" s="10">
        <v>73</v>
      </c>
      <c r="D2399" s="10">
        <v>338</v>
      </c>
      <c r="E2399" s="10" t="s">
        <v>159</v>
      </c>
    </row>
    <row r="2400" spans="1:6" x14ac:dyDescent="0.35">
      <c r="A2400" s="2">
        <v>42517</v>
      </c>
      <c r="B2400" s="40" t="s">
        <v>66</v>
      </c>
      <c r="C2400" s="10">
        <v>70</v>
      </c>
      <c r="D2400" s="10">
        <v>317</v>
      </c>
      <c r="E2400" s="10" t="s">
        <v>159</v>
      </c>
    </row>
    <row r="2401" spans="1:17" x14ac:dyDescent="0.35">
      <c r="A2401" s="2">
        <v>42517</v>
      </c>
      <c r="B2401" s="40" t="s">
        <v>66</v>
      </c>
      <c r="C2401" s="10">
        <v>74</v>
      </c>
      <c r="D2401" s="10">
        <v>390</v>
      </c>
      <c r="E2401" s="10" t="s">
        <v>159</v>
      </c>
    </row>
    <row r="2402" spans="1:17" x14ac:dyDescent="0.35">
      <c r="A2402" s="2">
        <v>42517</v>
      </c>
      <c r="B2402" s="40" t="s">
        <v>66</v>
      </c>
      <c r="C2402" s="10">
        <v>66</v>
      </c>
      <c r="D2402" s="10">
        <v>303</v>
      </c>
      <c r="E2402" s="10" t="s">
        <v>159</v>
      </c>
      <c r="N2402">
        <f>AVERAGE(C2404:C2408,C2390:C2395,C2379:C2384,C2368:C2370,C2324:C2326)</f>
        <v>108.47826086956522</v>
      </c>
      <c r="O2402">
        <f>AVERAGE(D2404:D2408,D2390:D2395,D2379:D2384,D2368:D2370,D2324:D2326)</f>
        <v>1962.8260869565217</v>
      </c>
      <c r="Q2402" s="42" t="e">
        <f>AVERAGE(#REF!,#REF!,#REF!,#REF!,#REF!)</f>
        <v>#REF!</v>
      </c>
    </row>
    <row r="2403" spans="1:17" x14ac:dyDescent="0.35">
      <c r="A2403" s="2">
        <v>42517</v>
      </c>
      <c r="B2403" s="40" t="s">
        <v>66</v>
      </c>
      <c r="C2403" s="10">
        <v>67</v>
      </c>
      <c r="D2403" s="10">
        <v>245</v>
      </c>
      <c r="E2403" s="10" t="s">
        <v>37</v>
      </c>
    </row>
    <row r="2404" spans="1:17" x14ac:dyDescent="0.35">
      <c r="A2404" s="2">
        <v>42517</v>
      </c>
      <c r="B2404" s="40" t="s">
        <v>66</v>
      </c>
      <c r="C2404" s="10">
        <v>110</v>
      </c>
      <c r="D2404" s="10">
        <v>1828</v>
      </c>
      <c r="E2404" s="10" t="s">
        <v>98</v>
      </c>
    </row>
    <row r="2405" spans="1:17" x14ac:dyDescent="0.35">
      <c r="A2405" s="2">
        <v>42517</v>
      </c>
      <c r="B2405" s="40" t="s">
        <v>66</v>
      </c>
      <c r="C2405" s="10">
        <v>94</v>
      </c>
      <c r="D2405" s="10">
        <v>1212</v>
      </c>
      <c r="E2405" s="10" t="s">
        <v>98</v>
      </c>
    </row>
    <row r="2406" spans="1:17" x14ac:dyDescent="0.35">
      <c r="A2406" s="2">
        <v>42517</v>
      </c>
      <c r="B2406" s="40" t="s">
        <v>66</v>
      </c>
      <c r="C2406" s="10">
        <v>101</v>
      </c>
      <c r="D2406" s="10">
        <v>1538</v>
      </c>
      <c r="E2406" s="10" t="s">
        <v>98</v>
      </c>
      <c r="H2406" t="s">
        <v>32</v>
      </c>
      <c r="I2406" t="s">
        <v>37</v>
      </c>
      <c r="J2406" t="s">
        <v>159</v>
      </c>
    </row>
    <row r="2407" spans="1:17" x14ac:dyDescent="0.35">
      <c r="A2407" s="2">
        <v>42517</v>
      </c>
      <c r="B2407" s="40" t="s">
        <v>66</v>
      </c>
      <c r="C2407" s="10">
        <v>110</v>
      </c>
      <c r="D2407" s="10">
        <v>2036</v>
      </c>
      <c r="E2407" s="10" t="s">
        <v>98</v>
      </c>
      <c r="H2407" s="5">
        <f>COUNTIF(E2299:E2408,"VIA4")</f>
        <v>4</v>
      </c>
      <c r="I2407" s="5">
        <f>COUNTIF(E2299:E2408,"VIB")</f>
        <v>13</v>
      </c>
      <c r="J2407" s="5">
        <f>COUNTIF(E2299:E2408,"VII")</f>
        <v>70</v>
      </c>
    </row>
    <row r="2408" spans="1:17" s="4" customFormat="1" x14ac:dyDescent="0.35">
      <c r="A2408" s="3">
        <v>42517</v>
      </c>
      <c r="B2408" s="44" t="s">
        <v>66</v>
      </c>
      <c r="C2408" s="11">
        <v>89</v>
      </c>
      <c r="D2408" s="11">
        <v>916</v>
      </c>
      <c r="E2408" s="11" t="s">
        <v>98</v>
      </c>
      <c r="H2408" s="6">
        <f>H2407/87*100</f>
        <v>4.5977011494252871</v>
      </c>
      <c r="I2408" s="6">
        <f t="shared" ref="I2408:J2408" si="76">I2407/87*100</f>
        <v>14.942528735632186</v>
      </c>
      <c r="J2408" s="6">
        <f t="shared" si="76"/>
        <v>80.459770114942529</v>
      </c>
      <c r="N2408" s="4">
        <f>AVERAGE(C2396:C2403,C2385:C2389,C2371:C2378,C2351:C2367,C2327:C2350,C2299:C2323)</f>
        <v>70.8735632183908</v>
      </c>
      <c r="O2408" s="4">
        <f>AVERAGE(D2396:D2403,D2385:D2389,D2371:D2378,D2351:D2367,D2327:D2350,D2299:D2323)</f>
        <v>359.70114942528738</v>
      </c>
      <c r="Q2408" s="51" t="e">
        <f>AVERAGE(#REF!,#REF!,#REF!,#REF!,#REF!,#REF!)</f>
        <v>#REF!</v>
      </c>
    </row>
    <row r="2409" spans="1:17" x14ac:dyDescent="0.35">
      <c r="A2409" s="2">
        <v>42517</v>
      </c>
      <c r="B2409" s="36" t="s">
        <v>114</v>
      </c>
      <c r="C2409" s="10">
        <v>68</v>
      </c>
      <c r="D2409" s="10">
        <v>398</v>
      </c>
      <c r="E2409" s="10" t="s">
        <v>159</v>
      </c>
    </row>
    <row r="2410" spans="1:17" x14ac:dyDescent="0.35">
      <c r="A2410" s="2">
        <v>42517</v>
      </c>
      <c r="B2410" s="36" t="s">
        <v>114</v>
      </c>
      <c r="C2410" s="10">
        <v>72</v>
      </c>
      <c r="D2410" s="10">
        <v>474</v>
      </c>
      <c r="E2410" s="10" t="s">
        <v>159</v>
      </c>
    </row>
    <row r="2411" spans="1:17" x14ac:dyDescent="0.35">
      <c r="A2411" s="2">
        <v>42517</v>
      </c>
      <c r="B2411" s="36" t="s">
        <v>114</v>
      </c>
      <c r="C2411" s="10">
        <v>78</v>
      </c>
      <c r="D2411" s="10">
        <v>453</v>
      </c>
      <c r="E2411" s="10" t="s">
        <v>159</v>
      </c>
    </row>
    <row r="2412" spans="1:17" x14ac:dyDescent="0.35">
      <c r="A2412" s="2">
        <v>42517</v>
      </c>
      <c r="B2412" s="36" t="s">
        <v>114</v>
      </c>
      <c r="C2412" s="10">
        <v>79</v>
      </c>
      <c r="D2412" s="10">
        <v>587</v>
      </c>
      <c r="E2412" s="10" t="s">
        <v>159</v>
      </c>
    </row>
    <row r="2413" spans="1:17" x14ac:dyDescent="0.35">
      <c r="A2413" s="2">
        <v>42517</v>
      </c>
      <c r="B2413" s="36" t="s">
        <v>114</v>
      </c>
      <c r="C2413" s="10">
        <v>73</v>
      </c>
      <c r="D2413" s="10">
        <v>506</v>
      </c>
      <c r="E2413" s="10" t="s">
        <v>159</v>
      </c>
    </row>
    <row r="2414" spans="1:17" x14ac:dyDescent="0.35">
      <c r="A2414" s="2">
        <v>42517</v>
      </c>
      <c r="B2414" s="36" t="s">
        <v>114</v>
      </c>
      <c r="C2414" s="10">
        <v>73</v>
      </c>
      <c r="D2414" s="10">
        <v>377</v>
      </c>
      <c r="E2414" s="10" t="s">
        <v>37</v>
      </c>
    </row>
    <row r="2415" spans="1:17" x14ac:dyDescent="0.35">
      <c r="A2415" s="2">
        <v>42517</v>
      </c>
      <c r="B2415" s="36" t="s">
        <v>114</v>
      </c>
      <c r="C2415" s="10">
        <v>78</v>
      </c>
      <c r="D2415" s="10">
        <v>589</v>
      </c>
      <c r="E2415" s="10" t="s">
        <v>159</v>
      </c>
    </row>
    <row r="2416" spans="1:17" x14ac:dyDescent="0.35">
      <c r="A2416" s="2">
        <v>42517</v>
      </c>
      <c r="B2416" s="36" t="s">
        <v>114</v>
      </c>
      <c r="C2416" s="10">
        <v>109</v>
      </c>
      <c r="D2416" s="10">
        <v>2137</v>
      </c>
      <c r="E2416" s="10" t="s">
        <v>98</v>
      </c>
    </row>
    <row r="2417" spans="1:5" x14ac:dyDescent="0.35">
      <c r="A2417" s="2">
        <v>42517</v>
      </c>
      <c r="B2417" s="36" t="s">
        <v>114</v>
      </c>
      <c r="C2417" s="10">
        <v>116</v>
      </c>
      <c r="D2417" s="10">
        <v>2351</v>
      </c>
      <c r="E2417" s="10" t="s">
        <v>98</v>
      </c>
    </row>
    <row r="2418" spans="1:5" x14ac:dyDescent="0.35">
      <c r="A2418" s="2">
        <v>42517</v>
      </c>
      <c r="B2418" s="36" t="s">
        <v>114</v>
      </c>
      <c r="C2418" s="10">
        <v>177</v>
      </c>
      <c r="D2418" s="10">
        <v>9713</v>
      </c>
      <c r="E2418" s="10" t="s">
        <v>98</v>
      </c>
    </row>
    <row r="2419" spans="1:5" x14ac:dyDescent="0.35">
      <c r="A2419" s="2">
        <v>42517</v>
      </c>
      <c r="B2419" s="36" t="s">
        <v>114</v>
      </c>
      <c r="C2419" s="10">
        <v>168</v>
      </c>
      <c r="D2419" s="10">
        <v>8960</v>
      </c>
      <c r="E2419" s="10" t="s">
        <v>98</v>
      </c>
    </row>
    <row r="2420" spans="1:5" x14ac:dyDescent="0.35">
      <c r="A2420" s="2">
        <v>42517</v>
      </c>
      <c r="B2420" s="36" t="s">
        <v>114</v>
      </c>
      <c r="C2420" s="10">
        <v>181</v>
      </c>
      <c r="D2420" s="10">
        <v>10233</v>
      </c>
      <c r="E2420" s="10" t="s">
        <v>98</v>
      </c>
    </row>
    <row r="2421" spans="1:5" x14ac:dyDescent="0.35">
      <c r="A2421" s="2">
        <v>42517</v>
      </c>
      <c r="B2421" s="36" t="s">
        <v>114</v>
      </c>
      <c r="C2421" s="10">
        <v>128</v>
      </c>
      <c r="D2421" s="10">
        <v>4551</v>
      </c>
      <c r="E2421" s="10" t="s">
        <v>98</v>
      </c>
    </row>
    <row r="2422" spans="1:5" s="4" customFormat="1" x14ac:dyDescent="0.35">
      <c r="A2422" s="3">
        <v>42517</v>
      </c>
      <c r="B2422" s="26" t="s">
        <v>114</v>
      </c>
      <c r="C2422" s="11">
        <v>152</v>
      </c>
      <c r="D2422" s="11">
        <v>5043</v>
      </c>
      <c r="E2422" s="11" t="s">
        <v>98</v>
      </c>
    </row>
    <row r="2423" spans="1:5" x14ac:dyDescent="0.35">
      <c r="A2423" s="2">
        <v>42517</v>
      </c>
      <c r="B2423" s="36" t="s">
        <v>143</v>
      </c>
      <c r="C2423" s="10">
        <v>65</v>
      </c>
      <c r="D2423" s="10">
        <v>217</v>
      </c>
      <c r="E2423" s="10" t="s">
        <v>159</v>
      </c>
    </row>
    <row r="2424" spans="1:5" x14ac:dyDescent="0.35">
      <c r="A2424" s="2">
        <v>42517</v>
      </c>
      <c r="B2424" s="36" t="s">
        <v>143</v>
      </c>
      <c r="C2424" s="10">
        <v>78</v>
      </c>
      <c r="D2424" s="10">
        <v>400</v>
      </c>
      <c r="E2424" s="10" t="s">
        <v>37</v>
      </c>
    </row>
    <row r="2425" spans="1:5" x14ac:dyDescent="0.35">
      <c r="A2425" s="2">
        <v>42517</v>
      </c>
      <c r="B2425" s="36" t="s">
        <v>143</v>
      </c>
      <c r="C2425" s="10">
        <v>79</v>
      </c>
      <c r="D2425" s="10">
        <v>244</v>
      </c>
      <c r="E2425" s="10" t="s">
        <v>159</v>
      </c>
    </row>
    <row r="2426" spans="1:5" x14ac:dyDescent="0.35">
      <c r="A2426" s="2">
        <v>42517</v>
      </c>
      <c r="B2426" s="36" t="s">
        <v>143</v>
      </c>
      <c r="C2426" s="10">
        <v>74</v>
      </c>
      <c r="D2426" s="10">
        <v>254</v>
      </c>
      <c r="E2426" s="10" t="s">
        <v>32</v>
      </c>
    </row>
    <row r="2427" spans="1:5" x14ac:dyDescent="0.35">
      <c r="A2427" s="2">
        <v>42517</v>
      </c>
      <c r="B2427" s="36" t="s">
        <v>143</v>
      </c>
      <c r="C2427" s="10">
        <v>128</v>
      </c>
      <c r="D2427" s="10">
        <v>3822</v>
      </c>
      <c r="E2427" s="10" t="s">
        <v>98</v>
      </c>
    </row>
    <row r="2428" spans="1:5" x14ac:dyDescent="0.35">
      <c r="A2428" s="2">
        <v>42517</v>
      </c>
      <c r="B2428" s="36" t="s">
        <v>143</v>
      </c>
      <c r="C2428" s="10">
        <v>150</v>
      </c>
      <c r="D2428" s="10">
        <v>5058</v>
      </c>
      <c r="E2428" s="10" t="s">
        <v>98</v>
      </c>
    </row>
    <row r="2429" spans="1:5" x14ac:dyDescent="0.35">
      <c r="A2429" s="2">
        <v>42517</v>
      </c>
      <c r="B2429" s="36" t="s">
        <v>143</v>
      </c>
      <c r="C2429" s="10">
        <v>157</v>
      </c>
      <c r="D2429" s="10">
        <v>7252</v>
      </c>
      <c r="E2429" s="10" t="s">
        <v>98</v>
      </c>
    </row>
    <row r="2430" spans="1:5" x14ac:dyDescent="0.35">
      <c r="A2430" s="2">
        <v>42517</v>
      </c>
      <c r="B2430" s="36" t="s">
        <v>143</v>
      </c>
      <c r="C2430" s="10">
        <v>206</v>
      </c>
      <c r="D2430" s="10">
        <v>13277</v>
      </c>
      <c r="E2430" s="10" t="s">
        <v>98</v>
      </c>
    </row>
    <row r="2431" spans="1:5" x14ac:dyDescent="0.35">
      <c r="A2431" s="2">
        <v>42517</v>
      </c>
      <c r="B2431" s="36" t="s">
        <v>143</v>
      </c>
      <c r="C2431" s="10">
        <v>143</v>
      </c>
      <c r="D2431" s="10">
        <v>4053</v>
      </c>
      <c r="E2431" s="10" t="s">
        <v>98</v>
      </c>
    </row>
    <row r="2432" spans="1:5" x14ac:dyDescent="0.35">
      <c r="A2432" s="2">
        <v>42517</v>
      </c>
      <c r="B2432" s="36" t="s">
        <v>143</v>
      </c>
      <c r="C2432" s="10">
        <v>197</v>
      </c>
      <c r="D2432" s="10">
        <v>9783</v>
      </c>
      <c r="E2432" s="10" t="s">
        <v>98</v>
      </c>
    </row>
    <row r="2433" spans="1:6" s="4" customFormat="1" x14ac:dyDescent="0.35">
      <c r="A2433" s="3">
        <v>42517</v>
      </c>
      <c r="B2433" s="26" t="s">
        <v>143</v>
      </c>
      <c r="C2433" s="11">
        <v>147</v>
      </c>
      <c r="D2433" s="11">
        <v>4122</v>
      </c>
      <c r="E2433" s="11" t="s">
        <v>98</v>
      </c>
    </row>
    <row r="2434" spans="1:6" s="22" customFormat="1" x14ac:dyDescent="0.35">
      <c r="A2434" s="19">
        <v>42790</v>
      </c>
      <c r="B2434" s="71" t="s">
        <v>38</v>
      </c>
      <c r="C2434" s="20">
        <v>108</v>
      </c>
      <c r="D2434" s="20">
        <v>1623</v>
      </c>
      <c r="E2434" s="20" t="s">
        <v>98</v>
      </c>
    </row>
    <row r="2435" spans="1:6" x14ac:dyDescent="0.35">
      <c r="A2435" s="2">
        <v>42797</v>
      </c>
      <c r="B2435" s="70" t="s">
        <v>29</v>
      </c>
      <c r="C2435" s="10">
        <v>104</v>
      </c>
      <c r="D2435" s="10">
        <v>1186</v>
      </c>
      <c r="E2435" s="10" t="s">
        <v>98</v>
      </c>
    </row>
    <row r="2436" spans="1:6" x14ac:dyDescent="0.35">
      <c r="A2436" s="2">
        <v>42797</v>
      </c>
      <c r="B2436" s="70" t="s">
        <v>29</v>
      </c>
      <c r="C2436" s="10">
        <v>120</v>
      </c>
      <c r="D2436" s="10">
        <v>1869</v>
      </c>
      <c r="E2436" s="10" t="s">
        <v>98</v>
      </c>
    </row>
    <row r="2437" spans="1:6" s="4" customFormat="1" x14ac:dyDescent="0.35">
      <c r="A2437" s="3">
        <v>42797</v>
      </c>
      <c r="B2437" s="44" t="s">
        <v>29</v>
      </c>
      <c r="C2437" s="11">
        <v>350</v>
      </c>
      <c r="D2437" s="11">
        <v>58391</v>
      </c>
      <c r="E2437" s="11" t="s">
        <v>182</v>
      </c>
    </row>
    <row r="2438" spans="1:6" x14ac:dyDescent="0.35">
      <c r="A2438" s="2">
        <v>42797</v>
      </c>
      <c r="B2438" s="70" t="s">
        <v>38</v>
      </c>
      <c r="C2438" s="10">
        <v>74</v>
      </c>
      <c r="D2438" s="10">
        <v>350</v>
      </c>
      <c r="E2438" s="10" t="s">
        <v>39</v>
      </c>
    </row>
    <row r="2439" spans="1:6" x14ac:dyDescent="0.35">
      <c r="A2439" s="2">
        <v>42797</v>
      </c>
      <c r="B2439" s="70" t="s">
        <v>38</v>
      </c>
      <c r="C2439" s="10">
        <v>71</v>
      </c>
      <c r="D2439" s="10">
        <v>330</v>
      </c>
      <c r="E2439" s="10" t="s">
        <v>36</v>
      </c>
    </row>
    <row r="2440" spans="1:6" x14ac:dyDescent="0.35">
      <c r="A2440" s="2">
        <v>42797</v>
      </c>
      <c r="B2440" s="70" t="s">
        <v>38</v>
      </c>
      <c r="C2440" s="10">
        <v>71</v>
      </c>
      <c r="D2440" s="10">
        <v>320</v>
      </c>
      <c r="E2440" s="10" t="s">
        <v>34</v>
      </c>
    </row>
    <row r="2441" spans="1:6" x14ac:dyDescent="0.35">
      <c r="A2441" s="2">
        <v>42797</v>
      </c>
      <c r="B2441" s="70" t="s">
        <v>38</v>
      </c>
      <c r="C2441" s="10">
        <v>75</v>
      </c>
      <c r="D2441" s="10">
        <v>406</v>
      </c>
      <c r="E2441" s="10" t="s">
        <v>34</v>
      </c>
    </row>
    <row r="2442" spans="1:6" s="4" customFormat="1" x14ac:dyDescent="0.35">
      <c r="A2442" s="3">
        <v>42797</v>
      </c>
      <c r="B2442" s="44" t="s">
        <v>38</v>
      </c>
      <c r="C2442" s="11">
        <v>69</v>
      </c>
      <c r="D2442" s="11">
        <v>271</v>
      </c>
      <c r="E2442" s="11" t="s">
        <v>39</v>
      </c>
    </row>
    <row r="2443" spans="1:6" x14ac:dyDescent="0.35">
      <c r="A2443" s="2">
        <v>42804</v>
      </c>
      <c r="B2443" s="70" t="s">
        <v>29</v>
      </c>
      <c r="C2443" s="10">
        <v>72</v>
      </c>
      <c r="D2443" s="10">
        <v>306</v>
      </c>
      <c r="E2443" s="10" t="s">
        <v>40</v>
      </c>
    </row>
    <row r="2444" spans="1:6" x14ac:dyDescent="0.35">
      <c r="A2444" s="2">
        <v>42804</v>
      </c>
      <c r="B2444" s="70" t="s">
        <v>29</v>
      </c>
      <c r="C2444" s="10">
        <v>71</v>
      </c>
      <c r="D2444" s="10">
        <v>274</v>
      </c>
      <c r="E2444" s="10" t="s">
        <v>39</v>
      </c>
    </row>
    <row r="2445" spans="1:6" x14ac:dyDescent="0.35">
      <c r="A2445" s="2">
        <v>42804</v>
      </c>
      <c r="B2445" s="70" t="s">
        <v>29</v>
      </c>
      <c r="C2445" s="10">
        <v>70</v>
      </c>
      <c r="D2445" s="10">
        <v>293</v>
      </c>
      <c r="E2445" s="10" t="s">
        <v>40</v>
      </c>
    </row>
    <row r="2446" spans="1:6" x14ac:dyDescent="0.35">
      <c r="A2446" s="2">
        <v>42804</v>
      </c>
      <c r="B2446" s="70" t="s">
        <v>29</v>
      </c>
      <c r="C2446" s="10">
        <v>79</v>
      </c>
      <c r="D2446" s="10">
        <v>365</v>
      </c>
      <c r="E2446" s="10" t="s">
        <v>34</v>
      </c>
      <c r="F2446" t="s">
        <v>198</v>
      </c>
    </row>
    <row r="2447" spans="1:6" x14ac:dyDescent="0.35">
      <c r="A2447" s="2">
        <v>42804</v>
      </c>
      <c r="B2447" s="70" t="s">
        <v>29</v>
      </c>
      <c r="C2447" s="10">
        <v>76</v>
      </c>
      <c r="D2447" s="10">
        <v>413</v>
      </c>
      <c r="E2447" s="10" t="s">
        <v>40</v>
      </c>
    </row>
    <row r="2448" spans="1:6" x14ac:dyDescent="0.35">
      <c r="A2448" s="2">
        <v>42804</v>
      </c>
      <c r="B2448" s="70" t="s">
        <v>29</v>
      </c>
      <c r="C2448" s="10">
        <v>75</v>
      </c>
      <c r="D2448" s="10">
        <v>328</v>
      </c>
      <c r="E2448" s="10" t="s">
        <v>39</v>
      </c>
    </row>
    <row r="2449" spans="1:19" x14ac:dyDescent="0.35">
      <c r="A2449" s="2">
        <v>42804</v>
      </c>
      <c r="B2449" s="70" t="s">
        <v>29</v>
      </c>
      <c r="C2449" s="10">
        <v>75</v>
      </c>
      <c r="D2449" s="10">
        <v>343</v>
      </c>
      <c r="E2449" s="10" t="s">
        <v>40</v>
      </c>
    </row>
    <row r="2450" spans="1:19" x14ac:dyDescent="0.35">
      <c r="A2450" s="2">
        <v>42804</v>
      </c>
      <c r="B2450" s="70" t="s">
        <v>29</v>
      </c>
      <c r="C2450" s="10">
        <v>77</v>
      </c>
      <c r="D2450" s="10">
        <v>440</v>
      </c>
      <c r="E2450" s="10" t="s">
        <v>40</v>
      </c>
    </row>
    <row r="2451" spans="1:19" x14ac:dyDescent="0.35">
      <c r="A2451" s="2">
        <v>42804</v>
      </c>
      <c r="B2451" s="70" t="s">
        <v>29</v>
      </c>
      <c r="C2451" s="10">
        <v>76</v>
      </c>
      <c r="D2451" s="10">
        <v>311</v>
      </c>
      <c r="E2451" s="10" t="s">
        <v>39</v>
      </c>
    </row>
    <row r="2452" spans="1:19" x14ac:dyDescent="0.35">
      <c r="A2452" s="2">
        <v>42804</v>
      </c>
      <c r="B2452" s="70" t="s">
        <v>29</v>
      </c>
      <c r="C2452" s="10">
        <v>69</v>
      </c>
      <c r="D2452" s="10">
        <v>245</v>
      </c>
      <c r="E2452" s="10" t="s">
        <v>39</v>
      </c>
      <c r="F2452" t="s">
        <v>163</v>
      </c>
    </row>
    <row r="2453" spans="1:19" x14ac:dyDescent="0.35">
      <c r="A2453" s="2">
        <v>42804</v>
      </c>
      <c r="B2453" s="70" t="s">
        <v>29</v>
      </c>
      <c r="C2453" s="10">
        <v>78</v>
      </c>
      <c r="D2453" s="10">
        <v>361</v>
      </c>
      <c r="E2453" s="10" t="s">
        <v>39</v>
      </c>
    </row>
    <row r="2454" spans="1:19" x14ac:dyDescent="0.35">
      <c r="A2454" s="2">
        <v>42804</v>
      </c>
      <c r="B2454" s="70" t="s">
        <v>29</v>
      </c>
      <c r="C2454" s="10">
        <v>62</v>
      </c>
      <c r="D2454" s="10">
        <v>239</v>
      </c>
      <c r="E2454" s="10" t="s">
        <v>39</v>
      </c>
    </row>
    <row r="2455" spans="1:19" x14ac:dyDescent="0.35">
      <c r="A2455" s="2">
        <v>42804</v>
      </c>
      <c r="B2455" s="70" t="s">
        <v>29</v>
      </c>
      <c r="C2455" s="10">
        <v>69</v>
      </c>
      <c r="D2455" s="10">
        <v>289</v>
      </c>
      <c r="E2455" s="10" t="s">
        <v>39</v>
      </c>
    </row>
    <row r="2456" spans="1:19" x14ac:dyDescent="0.35">
      <c r="A2456" s="2">
        <v>42804</v>
      </c>
      <c r="B2456" s="70" t="s">
        <v>29</v>
      </c>
      <c r="C2456" s="10">
        <v>73</v>
      </c>
      <c r="D2456" s="10">
        <v>325</v>
      </c>
      <c r="E2456" s="10" t="s">
        <v>40</v>
      </c>
    </row>
    <row r="2457" spans="1:19" x14ac:dyDescent="0.35">
      <c r="A2457" s="2">
        <v>42804</v>
      </c>
      <c r="B2457" s="70" t="s">
        <v>29</v>
      </c>
      <c r="C2457" s="10">
        <v>75</v>
      </c>
      <c r="D2457" s="10">
        <v>343</v>
      </c>
      <c r="E2457" s="10" t="s">
        <v>39</v>
      </c>
    </row>
    <row r="2458" spans="1:19" x14ac:dyDescent="0.35">
      <c r="A2458" s="2">
        <v>42804</v>
      </c>
      <c r="B2458" s="70" t="s">
        <v>29</v>
      </c>
      <c r="C2458" s="10">
        <v>70</v>
      </c>
      <c r="D2458" s="10">
        <v>301</v>
      </c>
      <c r="E2458" s="10" t="s">
        <v>39</v>
      </c>
    </row>
    <row r="2459" spans="1:19" x14ac:dyDescent="0.35">
      <c r="A2459" s="2">
        <v>42804</v>
      </c>
      <c r="B2459" s="70" t="s">
        <v>29</v>
      </c>
      <c r="C2459" s="10">
        <v>72</v>
      </c>
      <c r="D2459" s="10">
        <v>328</v>
      </c>
      <c r="E2459" s="10" t="s">
        <v>39</v>
      </c>
    </row>
    <row r="2460" spans="1:19" x14ac:dyDescent="0.35">
      <c r="A2460" s="2">
        <v>42804</v>
      </c>
      <c r="B2460" s="70" t="s">
        <v>29</v>
      </c>
      <c r="C2460" s="10">
        <v>80</v>
      </c>
      <c r="D2460" s="10">
        <v>430</v>
      </c>
      <c r="E2460" s="10" t="s">
        <v>34</v>
      </c>
    </row>
    <row r="2461" spans="1:19" x14ac:dyDescent="0.35">
      <c r="A2461" s="2">
        <v>42804</v>
      </c>
      <c r="B2461" s="70" t="s">
        <v>29</v>
      </c>
      <c r="C2461" s="10">
        <v>71</v>
      </c>
      <c r="D2461" s="10">
        <v>296</v>
      </c>
      <c r="E2461" s="10" t="s">
        <v>39</v>
      </c>
      <c r="R2461" s="8">
        <f>AVERAGE(R2465,R2476)</f>
        <v>72.891666666666666</v>
      </c>
      <c r="S2461" s="8">
        <f>AVERAGE(S2465,S2476)</f>
        <v>321.71249999999998</v>
      </c>
    </row>
    <row r="2462" spans="1:19" x14ac:dyDescent="0.35">
      <c r="A2462" s="2">
        <v>42804</v>
      </c>
      <c r="B2462" s="70" t="s">
        <v>29</v>
      </c>
      <c r="C2462" s="10">
        <v>70</v>
      </c>
      <c r="D2462" s="10">
        <v>344</v>
      </c>
      <c r="E2462" s="10" t="s">
        <v>40</v>
      </c>
    </row>
    <row r="2463" spans="1:19" x14ac:dyDescent="0.35">
      <c r="A2463" s="2">
        <v>42804</v>
      </c>
      <c r="B2463" s="70" t="s">
        <v>29</v>
      </c>
      <c r="C2463" s="10">
        <v>79</v>
      </c>
      <c r="D2463" s="10">
        <v>432</v>
      </c>
      <c r="E2463" s="10" t="s">
        <v>39</v>
      </c>
    </row>
    <row r="2464" spans="1:19" x14ac:dyDescent="0.35">
      <c r="A2464" s="2">
        <v>42804</v>
      </c>
      <c r="B2464" s="70" t="s">
        <v>29</v>
      </c>
      <c r="C2464" s="10">
        <v>73</v>
      </c>
      <c r="D2464" s="10">
        <v>352</v>
      </c>
      <c r="E2464" s="10" t="s">
        <v>39</v>
      </c>
      <c r="I2464" t="s">
        <v>42</v>
      </c>
      <c r="J2464" t="s">
        <v>39</v>
      </c>
      <c r="K2464" t="s">
        <v>40</v>
      </c>
      <c r="L2464" t="s">
        <v>36</v>
      </c>
      <c r="M2464" t="s">
        <v>33</v>
      </c>
      <c r="N2464" t="s">
        <v>34</v>
      </c>
      <c r="O2464" t="s">
        <v>32</v>
      </c>
      <c r="P2464" t="s">
        <v>37</v>
      </c>
      <c r="R2464" t="s">
        <v>43</v>
      </c>
      <c r="S2464" t="s">
        <v>44</v>
      </c>
    </row>
    <row r="2465" spans="1:21" x14ac:dyDescent="0.35">
      <c r="A2465" s="2">
        <v>42805</v>
      </c>
      <c r="B2465" s="70" t="s">
        <v>29</v>
      </c>
      <c r="C2465" s="10">
        <v>66</v>
      </c>
      <c r="D2465" s="10">
        <v>313</v>
      </c>
      <c r="E2465" s="10" t="s">
        <v>33</v>
      </c>
      <c r="F2465" t="s">
        <v>204</v>
      </c>
      <c r="I2465" s="5">
        <f>COUNTIF(E2443:E2466,"VA")</f>
        <v>0</v>
      </c>
      <c r="J2465" s="5">
        <f>COUNTIF(E2443:E2466,"VB")</f>
        <v>13</v>
      </c>
      <c r="K2465" s="5">
        <f>COUNTIF(E2443:E2466,"VIA0")</f>
        <v>8</v>
      </c>
      <c r="L2465" s="5">
        <f>COUNTIF(E2443:E2466,"VIA1")</f>
        <v>0</v>
      </c>
      <c r="M2465" s="5">
        <f>COUNTIF(E2443:E2466,"VIA2")</f>
        <v>1</v>
      </c>
      <c r="N2465" s="5">
        <f>COUNTIF(E2443:E2466,"VIA3")</f>
        <v>2</v>
      </c>
      <c r="O2465" s="5">
        <f>COUNTIF(E2443:E2466,"VIA4")</f>
        <v>0</v>
      </c>
      <c r="P2465" s="5">
        <f>COUNTIF(E2456:E2465,"VIB")</f>
        <v>0</v>
      </c>
      <c r="R2465" s="7">
        <f>AVERAGE(C2443:C2466)</f>
        <v>73.083333333333329</v>
      </c>
      <c r="S2465" s="8">
        <f>AVERAGE(D2443:D2466)</f>
        <v>334.125</v>
      </c>
      <c r="T2465" s="8"/>
      <c r="U2465" s="8" t="e">
        <f>AVERAGE(#REF!)</f>
        <v>#REF!</v>
      </c>
    </row>
    <row r="2466" spans="1:21" s="4" customFormat="1" x14ac:dyDescent="0.35">
      <c r="A2466" s="3">
        <v>42804</v>
      </c>
      <c r="B2466" s="44" t="s">
        <v>29</v>
      </c>
      <c r="C2466" s="11">
        <v>76</v>
      </c>
      <c r="D2466" s="11">
        <v>348</v>
      </c>
      <c r="E2466" s="11" t="s">
        <v>40</v>
      </c>
      <c r="I2466" s="6">
        <f>I2465/24*100</f>
        <v>0</v>
      </c>
      <c r="J2466" s="6">
        <f t="shared" ref="J2466:P2466" si="77">J2465/24*100</f>
        <v>54.166666666666664</v>
      </c>
      <c r="K2466" s="6">
        <f t="shared" si="77"/>
        <v>33.333333333333329</v>
      </c>
      <c r="L2466" s="6">
        <f t="shared" si="77"/>
        <v>0</v>
      </c>
      <c r="M2466" s="6">
        <f t="shared" si="77"/>
        <v>4.1666666666666661</v>
      </c>
      <c r="N2466" s="6">
        <f t="shared" si="77"/>
        <v>8.3333333333333321</v>
      </c>
      <c r="O2466" s="6">
        <f t="shared" si="77"/>
        <v>0</v>
      </c>
      <c r="P2466" s="6">
        <f t="shared" si="77"/>
        <v>0</v>
      </c>
    </row>
    <row r="2467" spans="1:21" x14ac:dyDescent="0.35">
      <c r="A2467" s="2">
        <v>42804</v>
      </c>
      <c r="B2467" s="70" t="s">
        <v>38</v>
      </c>
      <c r="C2467" s="10">
        <v>77</v>
      </c>
      <c r="D2467" s="10">
        <v>347</v>
      </c>
      <c r="E2467" s="10" t="s">
        <v>39</v>
      </c>
      <c r="F2467" t="s">
        <v>193</v>
      </c>
    </row>
    <row r="2468" spans="1:21" x14ac:dyDescent="0.35">
      <c r="A2468" s="2">
        <v>42804</v>
      </c>
      <c r="B2468" s="70" t="s">
        <v>38</v>
      </c>
      <c r="C2468" s="10">
        <v>74</v>
      </c>
      <c r="D2468" s="10">
        <v>315</v>
      </c>
      <c r="E2468" s="10" t="s">
        <v>39</v>
      </c>
      <c r="F2468" t="s">
        <v>194</v>
      </c>
    </row>
    <row r="2469" spans="1:21" x14ac:dyDescent="0.35">
      <c r="A2469" s="2">
        <v>42804</v>
      </c>
      <c r="B2469" s="70" t="s">
        <v>38</v>
      </c>
      <c r="C2469" s="10">
        <v>70</v>
      </c>
      <c r="D2469" s="10">
        <v>265</v>
      </c>
      <c r="E2469" s="10" t="s">
        <v>40</v>
      </c>
      <c r="F2469" t="s">
        <v>195</v>
      </c>
    </row>
    <row r="2470" spans="1:21" x14ac:dyDescent="0.35">
      <c r="A2470" s="2">
        <v>42804</v>
      </c>
      <c r="B2470" s="70" t="s">
        <v>38</v>
      </c>
      <c r="C2470" s="10">
        <v>68</v>
      </c>
      <c r="D2470" s="10">
        <v>266</v>
      </c>
      <c r="E2470" s="10" t="s">
        <v>39</v>
      </c>
      <c r="F2470" t="s">
        <v>196</v>
      </c>
    </row>
    <row r="2471" spans="1:21" x14ac:dyDescent="0.35">
      <c r="A2471" s="2">
        <v>42804</v>
      </c>
      <c r="B2471" s="70" t="s">
        <v>38</v>
      </c>
      <c r="C2471" s="10">
        <v>76</v>
      </c>
      <c r="D2471" s="10">
        <v>356</v>
      </c>
      <c r="E2471" s="10" t="s">
        <v>39</v>
      </c>
      <c r="F2471" t="s">
        <v>197</v>
      </c>
    </row>
    <row r="2472" spans="1:21" x14ac:dyDescent="0.35">
      <c r="A2472" s="2">
        <v>42804</v>
      </c>
      <c r="B2472" s="70" t="s">
        <v>38</v>
      </c>
      <c r="C2472" s="10">
        <v>73</v>
      </c>
      <c r="D2472" s="10">
        <v>288</v>
      </c>
      <c r="E2472" s="10" t="s">
        <v>39</v>
      </c>
    </row>
    <row r="2473" spans="1:21" x14ac:dyDescent="0.35">
      <c r="A2473" s="2">
        <v>42804</v>
      </c>
      <c r="B2473" s="70" t="s">
        <v>38</v>
      </c>
      <c r="C2473" s="10">
        <v>69</v>
      </c>
      <c r="D2473" s="10">
        <v>259</v>
      </c>
      <c r="E2473" s="10" t="s">
        <v>39</v>
      </c>
    </row>
    <row r="2474" spans="1:21" x14ac:dyDescent="0.35">
      <c r="A2474" s="2">
        <v>42804</v>
      </c>
      <c r="B2474" s="70" t="s">
        <v>38</v>
      </c>
      <c r="C2474" s="10">
        <v>73</v>
      </c>
      <c r="D2474" s="10">
        <v>348</v>
      </c>
      <c r="E2474" s="10" t="s">
        <v>39</v>
      </c>
    </row>
    <row r="2475" spans="1:21" x14ac:dyDescent="0.35">
      <c r="A2475" s="2">
        <v>42804</v>
      </c>
      <c r="B2475" s="70" t="s">
        <v>38</v>
      </c>
      <c r="C2475" s="10">
        <v>71</v>
      </c>
      <c r="D2475" s="10">
        <v>266</v>
      </c>
      <c r="E2475" s="10" t="s">
        <v>33</v>
      </c>
      <c r="I2475" t="s">
        <v>42</v>
      </c>
      <c r="J2475" t="s">
        <v>39</v>
      </c>
      <c r="K2475" t="s">
        <v>40</v>
      </c>
      <c r="L2475" t="s">
        <v>36</v>
      </c>
      <c r="M2475" t="s">
        <v>33</v>
      </c>
      <c r="N2475" t="s">
        <v>34</v>
      </c>
      <c r="O2475" t="s">
        <v>32</v>
      </c>
      <c r="P2475" t="s">
        <v>37</v>
      </c>
      <c r="R2475" t="s">
        <v>43</v>
      </c>
      <c r="S2475" t="s">
        <v>44</v>
      </c>
    </row>
    <row r="2476" spans="1:21" x14ac:dyDescent="0.35">
      <c r="A2476" s="2">
        <v>42804</v>
      </c>
      <c r="B2476" s="70" t="s">
        <v>38</v>
      </c>
      <c r="C2476" s="10">
        <v>76</v>
      </c>
      <c r="D2476" s="10">
        <v>383</v>
      </c>
      <c r="E2476" s="10" t="s">
        <v>39</v>
      </c>
      <c r="I2476" s="5">
        <f>COUNTIF(E2467:E2476,"VA")</f>
        <v>0</v>
      </c>
      <c r="J2476" s="5">
        <f>COUNTIF(E2467:E2476,"VB")</f>
        <v>8</v>
      </c>
      <c r="K2476" s="5">
        <f>COUNTIF(E2467:E2476,"VIA0")</f>
        <v>1</v>
      </c>
      <c r="L2476" s="5">
        <f>COUNTIF(E2467:E2476,"VIA1")</f>
        <v>0</v>
      </c>
      <c r="M2476" s="5">
        <f>COUNTIF(E2467:E2476,"VIA2")</f>
        <v>1</v>
      </c>
      <c r="N2476" s="5">
        <f>COUNTIF(E2467:E2476,"VIA3")</f>
        <v>0</v>
      </c>
      <c r="O2476" s="5">
        <f>COUNTIF(E2467:E2476,"VIA4")</f>
        <v>0</v>
      </c>
      <c r="P2476" s="5">
        <f>COUNTIF(E2467:E2476,"VIB")</f>
        <v>0</v>
      </c>
      <c r="R2476" s="7">
        <f>AVERAGE(C2467:C2476)</f>
        <v>72.7</v>
      </c>
      <c r="S2476" s="8">
        <f>AVERAGE(D2467:D2476)</f>
        <v>309.3</v>
      </c>
      <c r="T2476" s="8"/>
      <c r="U2476" s="8" t="e">
        <f>AVERAGE(#REF!)</f>
        <v>#REF!</v>
      </c>
    </row>
    <row r="2477" spans="1:21" s="4" customFormat="1" x14ac:dyDescent="0.35">
      <c r="A2477" s="3">
        <v>42804</v>
      </c>
      <c r="B2477" s="44" t="s">
        <v>38</v>
      </c>
      <c r="C2477" s="11">
        <v>129</v>
      </c>
      <c r="D2477" s="11">
        <v>2542</v>
      </c>
      <c r="E2477" s="4" t="s">
        <v>98</v>
      </c>
      <c r="I2477" s="6">
        <f>I2476/10*100</f>
        <v>0</v>
      </c>
      <c r="J2477" s="6">
        <f t="shared" ref="J2477:P2477" si="78">J2476/10*100</f>
        <v>80</v>
      </c>
      <c r="K2477" s="6">
        <f t="shared" si="78"/>
        <v>10</v>
      </c>
      <c r="L2477" s="6">
        <f t="shared" si="78"/>
        <v>0</v>
      </c>
      <c r="M2477" s="6">
        <f t="shared" si="78"/>
        <v>10</v>
      </c>
      <c r="N2477" s="6">
        <f t="shared" si="78"/>
        <v>0</v>
      </c>
      <c r="O2477" s="6">
        <f t="shared" si="78"/>
        <v>0</v>
      </c>
      <c r="P2477" s="6">
        <f t="shared" si="78"/>
        <v>0</v>
      </c>
    </row>
    <row r="2478" spans="1:21" x14ac:dyDescent="0.35">
      <c r="A2478" s="2">
        <v>42804</v>
      </c>
      <c r="B2478" s="70" t="s">
        <v>41</v>
      </c>
      <c r="C2478" s="10">
        <v>66</v>
      </c>
      <c r="D2478" s="10">
        <v>273</v>
      </c>
      <c r="E2478" s="10" t="s">
        <v>39</v>
      </c>
      <c r="F2478" t="s">
        <v>205</v>
      </c>
    </row>
    <row r="2479" spans="1:21" x14ac:dyDescent="0.35">
      <c r="A2479" s="2">
        <v>42804</v>
      </c>
      <c r="B2479" s="70" t="s">
        <v>41</v>
      </c>
      <c r="C2479" s="10">
        <v>71</v>
      </c>
      <c r="D2479" s="10">
        <v>260</v>
      </c>
      <c r="E2479" s="10" t="s">
        <v>40</v>
      </c>
      <c r="F2479" t="s">
        <v>206</v>
      </c>
    </row>
    <row r="2480" spans="1:21" x14ac:dyDescent="0.35">
      <c r="A2480" s="2">
        <v>42804</v>
      </c>
      <c r="B2480" s="70" t="s">
        <v>41</v>
      </c>
      <c r="C2480" s="10">
        <v>70</v>
      </c>
      <c r="D2480" s="10">
        <v>246</v>
      </c>
      <c r="E2480" s="10" t="s">
        <v>39</v>
      </c>
      <c r="F2480" t="s">
        <v>207</v>
      </c>
    </row>
    <row r="2481" spans="1:6" x14ac:dyDescent="0.35">
      <c r="A2481" s="2">
        <v>42804</v>
      </c>
      <c r="B2481" s="70" t="s">
        <v>41</v>
      </c>
      <c r="C2481" s="10">
        <v>69</v>
      </c>
      <c r="D2481" s="10">
        <v>267</v>
      </c>
      <c r="E2481" s="10" t="s">
        <v>39</v>
      </c>
      <c r="F2481" t="s">
        <v>208</v>
      </c>
    </row>
    <row r="2482" spans="1:6" x14ac:dyDescent="0.35">
      <c r="A2482" s="2">
        <v>42804</v>
      </c>
      <c r="B2482" s="70" t="s">
        <v>41</v>
      </c>
      <c r="C2482" s="10">
        <v>64</v>
      </c>
      <c r="D2482" s="10">
        <v>238</v>
      </c>
      <c r="E2482" s="10" t="s">
        <v>39</v>
      </c>
      <c r="F2482" t="s">
        <v>209</v>
      </c>
    </row>
    <row r="2483" spans="1:6" x14ac:dyDescent="0.35">
      <c r="A2483" s="2">
        <v>42804</v>
      </c>
      <c r="B2483" s="70" t="s">
        <v>41</v>
      </c>
      <c r="C2483" s="10">
        <v>67</v>
      </c>
      <c r="D2483" s="10">
        <v>307</v>
      </c>
      <c r="E2483" s="10" t="s">
        <v>40</v>
      </c>
    </row>
    <row r="2484" spans="1:6" x14ac:dyDescent="0.35">
      <c r="A2484" s="2">
        <v>42804</v>
      </c>
      <c r="B2484" s="70" t="s">
        <v>41</v>
      </c>
      <c r="C2484" s="10">
        <v>74</v>
      </c>
      <c r="D2484" s="10">
        <v>366</v>
      </c>
      <c r="E2484" s="10" t="s">
        <v>39</v>
      </c>
    </row>
    <row r="2485" spans="1:6" x14ac:dyDescent="0.35">
      <c r="A2485" s="2">
        <v>42804</v>
      </c>
      <c r="B2485" s="70" t="s">
        <v>41</v>
      </c>
      <c r="C2485" s="10">
        <v>63</v>
      </c>
      <c r="D2485" s="10">
        <v>236</v>
      </c>
      <c r="E2485" s="10" t="s">
        <v>39</v>
      </c>
    </row>
    <row r="2486" spans="1:6" x14ac:dyDescent="0.35">
      <c r="A2486" s="2">
        <v>42804</v>
      </c>
      <c r="B2486" s="70" t="s">
        <v>41</v>
      </c>
      <c r="C2486" s="10">
        <v>72</v>
      </c>
      <c r="D2486" s="10">
        <v>319</v>
      </c>
      <c r="E2486" s="10" t="s">
        <v>40</v>
      </c>
    </row>
    <row r="2487" spans="1:6" x14ac:dyDescent="0.35">
      <c r="A2487" s="2">
        <v>42804</v>
      </c>
      <c r="B2487" s="70" t="s">
        <v>41</v>
      </c>
      <c r="C2487" s="10">
        <v>70</v>
      </c>
      <c r="D2487" s="10">
        <v>256</v>
      </c>
      <c r="E2487" s="10" t="s">
        <v>40</v>
      </c>
    </row>
    <row r="2488" spans="1:6" x14ac:dyDescent="0.35">
      <c r="A2488" s="2">
        <v>42804</v>
      </c>
      <c r="B2488" s="70" t="s">
        <v>41</v>
      </c>
      <c r="C2488" s="10">
        <v>68</v>
      </c>
      <c r="D2488" s="10">
        <v>275</v>
      </c>
      <c r="E2488" s="10" t="s">
        <v>33</v>
      </c>
    </row>
    <row r="2489" spans="1:6" x14ac:dyDescent="0.35">
      <c r="A2489" s="2">
        <v>42804</v>
      </c>
      <c r="B2489" s="70" t="s">
        <v>41</v>
      </c>
      <c r="C2489" s="10">
        <v>68</v>
      </c>
      <c r="D2489" s="10">
        <v>255</v>
      </c>
      <c r="E2489" s="10" t="s">
        <v>39</v>
      </c>
    </row>
    <row r="2490" spans="1:6" x14ac:dyDescent="0.35">
      <c r="A2490" s="2">
        <v>42804</v>
      </c>
      <c r="B2490" s="70" t="s">
        <v>41</v>
      </c>
      <c r="C2490" s="10">
        <v>71</v>
      </c>
      <c r="D2490" s="10">
        <v>308</v>
      </c>
      <c r="E2490" s="10" t="s">
        <v>39</v>
      </c>
    </row>
    <row r="2491" spans="1:6" x14ac:dyDescent="0.35">
      <c r="A2491" s="2">
        <v>42804</v>
      </c>
      <c r="B2491" s="70" t="s">
        <v>41</v>
      </c>
      <c r="C2491" s="10">
        <v>73</v>
      </c>
      <c r="D2491" s="10">
        <v>359</v>
      </c>
      <c r="E2491" s="10" t="s">
        <v>39</v>
      </c>
    </row>
    <row r="2492" spans="1:6" x14ac:dyDescent="0.35">
      <c r="A2492" s="2">
        <v>42804</v>
      </c>
      <c r="B2492" s="70" t="s">
        <v>41</v>
      </c>
      <c r="C2492" s="10">
        <v>73</v>
      </c>
      <c r="D2492" s="10">
        <v>338</v>
      </c>
      <c r="E2492" s="10" t="s">
        <v>39</v>
      </c>
    </row>
    <row r="2493" spans="1:6" x14ac:dyDescent="0.35">
      <c r="A2493" s="2">
        <v>42804</v>
      </c>
      <c r="B2493" s="70" t="s">
        <v>41</v>
      </c>
      <c r="C2493" s="10">
        <v>75</v>
      </c>
      <c r="D2493" s="10">
        <v>357</v>
      </c>
      <c r="E2493" s="10" t="s">
        <v>33</v>
      </c>
    </row>
    <row r="2494" spans="1:6" x14ac:dyDescent="0.35">
      <c r="A2494" s="2">
        <v>42804</v>
      </c>
      <c r="B2494" s="70" t="s">
        <v>41</v>
      </c>
      <c r="C2494" s="10">
        <v>65</v>
      </c>
      <c r="D2494" s="10">
        <v>234</v>
      </c>
      <c r="E2494" s="10" t="s">
        <v>39</v>
      </c>
    </row>
    <row r="2495" spans="1:6" x14ac:dyDescent="0.35">
      <c r="A2495" s="2">
        <v>42804</v>
      </c>
      <c r="B2495" s="70" t="s">
        <v>41</v>
      </c>
      <c r="C2495" s="10">
        <v>67</v>
      </c>
      <c r="D2495" s="10">
        <v>229</v>
      </c>
      <c r="E2495" s="10" t="s">
        <v>39</v>
      </c>
    </row>
    <row r="2496" spans="1:6" x14ac:dyDescent="0.35">
      <c r="A2496" s="2">
        <v>42804</v>
      </c>
      <c r="B2496" s="70" t="s">
        <v>41</v>
      </c>
      <c r="C2496" s="10">
        <v>73</v>
      </c>
      <c r="D2496" s="10">
        <v>322</v>
      </c>
      <c r="E2496" s="10" t="s">
        <v>40</v>
      </c>
    </row>
    <row r="2497" spans="1:21" x14ac:dyDescent="0.35">
      <c r="A2497" s="2">
        <v>42804</v>
      </c>
      <c r="B2497" s="70" t="s">
        <v>41</v>
      </c>
      <c r="C2497" s="10">
        <v>70</v>
      </c>
      <c r="D2497" s="10">
        <v>320</v>
      </c>
      <c r="E2497" s="10" t="s">
        <v>40</v>
      </c>
    </row>
    <row r="2498" spans="1:21" x14ac:dyDescent="0.35">
      <c r="A2498" s="2">
        <v>42804</v>
      </c>
      <c r="B2498" s="70" t="s">
        <v>41</v>
      </c>
      <c r="C2498" s="10">
        <v>72</v>
      </c>
      <c r="D2498" s="10">
        <v>228</v>
      </c>
      <c r="E2498" s="10" t="s">
        <v>40</v>
      </c>
    </row>
    <row r="2499" spans="1:21" x14ac:dyDescent="0.35">
      <c r="A2499" s="2">
        <v>42804</v>
      </c>
      <c r="B2499" s="70" t="s">
        <v>41</v>
      </c>
      <c r="C2499" s="10">
        <v>69</v>
      </c>
      <c r="D2499" s="10">
        <v>287</v>
      </c>
      <c r="E2499" s="10" t="s">
        <v>39</v>
      </c>
    </row>
    <row r="2500" spans="1:21" x14ac:dyDescent="0.35">
      <c r="A2500" s="2">
        <v>42804</v>
      </c>
      <c r="B2500" s="70" t="s">
        <v>41</v>
      </c>
      <c r="C2500" s="10">
        <v>76</v>
      </c>
      <c r="D2500" s="10">
        <v>376</v>
      </c>
      <c r="E2500" s="10" t="s">
        <v>39</v>
      </c>
    </row>
    <row r="2501" spans="1:21" x14ac:dyDescent="0.35">
      <c r="A2501" s="2">
        <v>42804</v>
      </c>
      <c r="B2501" s="70" t="s">
        <v>41</v>
      </c>
      <c r="C2501" s="10">
        <v>68</v>
      </c>
      <c r="D2501" s="10">
        <v>283</v>
      </c>
      <c r="E2501" s="10" t="s">
        <v>40</v>
      </c>
    </row>
    <row r="2502" spans="1:21" x14ac:dyDescent="0.35">
      <c r="A2502" s="2">
        <v>42804</v>
      </c>
      <c r="B2502" s="70" t="s">
        <v>41</v>
      </c>
      <c r="C2502" s="10">
        <v>73</v>
      </c>
      <c r="D2502" s="10">
        <v>361</v>
      </c>
      <c r="E2502" s="10" t="s">
        <v>39</v>
      </c>
    </row>
    <row r="2503" spans="1:21" x14ac:dyDescent="0.35">
      <c r="A2503" s="2">
        <v>42804</v>
      </c>
      <c r="B2503" s="70" t="s">
        <v>41</v>
      </c>
      <c r="C2503" s="10">
        <v>67</v>
      </c>
      <c r="D2503" s="10">
        <v>272</v>
      </c>
      <c r="E2503" s="10" t="s">
        <v>39</v>
      </c>
      <c r="F2503" t="s">
        <v>163</v>
      </c>
    </row>
    <row r="2504" spans="1:21" x14ac:dyDescent="0.35">
      <c r="A2504" s="2">
        <v>42804</v>
      </c>
      <c r="B2504" s="70" t="s">
        <v>41</v>
      </c>
      <c r="C2504" s="10">
        <v>63</v>
      </c>
      <c r="D2504" s="10">
        <v>167</v>
      </c>
      <c r="E2504" s="10" t="s">
        <v>39</v>
      </c>
    </row>
    <row r="2505" spans="1:21" x14ac:dyDescent="0.35">
      <c r="A2505" s="2">
        <v>42804</v>
      </c>
      <c r="B2505" s="70" t="s">
        <v>41</v>
      </c>
      <c r="C2505" s="10">
        <v>70</v>
      </c>
      <c r="D2505" s="10">
        <v>307</v>
      </c>
      <c r="E2505" s="10" t="s">
        <v>39</v>
      </c>
    </row>
    <row r="2506" spans="1:21" x14ac:dyDescent="0.35">
      <c r="A2506" s="2">
        <v>42804</v>
      </c>
      <c r="B2506" s="70" t="s">
        <v>41</v>
      </c>
      <c r="C2506" s="10">
        <v>78</v>
      </c>
      <c r="D2506" s="10">
        <v>362</v>
      </c>
      <c r="E2506" s="10" t="s">
        <v>39</v>
      </c>
    </row>
    <row r="2507" spans="1:21" x14ac:dyDescent="0.35">
      <c r="A2507" s="2">
        <v>42804</v>
      </c>
      <c r="B2507" s="70" t="s">
        <v>41</v>
      </c>
      <c r="C2507" s="10">
        <v>73</v>
      </c>
      <c r="D2507" s="10">
        <v>310</v>
      </c>
      <c r="E2507" s="10" t="s">
        <v>39</v>
      </c>
    </row>
    <row r="2508" spans="1:21" x14ac:dyDescent="0.35">
      <c r="A2508" s="2">
        <v>42804</v>
      </c>
      <c r="B2508" s="70" t="s">
        <v>41</v>
      </c>
      <c r="C2508" s="10">
        <v>72</v>
      </c>
      <c r="D2508" s="10">
        <v>363</v>
      </c>
      <c r="E2508" s="10" t="s">
        <v>39</v>
      </c>
    </row>
    <row r="2509" spans="1:21" x14ac:dyDescent="0.35">
      <c r="A2509" s="2">
        <v>42804</v>
      </c>
      <c r="B2509" s="70" t="s">
        <v>41</v>
      </c>
      <c r="C2509" s="10">
        <v>72</v>
      </c>
      <c r="D2509" s="10">
        <v>294</v>
      </c>
      <c r="E2509" s="10" t="s">
        <v>40</v>
      </c>
    </row>
    <row r="2510" spans="1:21" x14ac:dyDescent="0.35">
      <c r="A2510" s="2">
        <v>42804</v>
      </c>
      <c r="B2510" s="70" t="s">
        <v>41</v>
      </c>
      <c r="C2510" s="10">
        <v>72</v>
      </c>
      <c r="D2510" s="10">
        <v>327</v>
      </c>
      <c r="E2510" s="10" t="s">
        <v>39</v>
      </c>
    </row>
    <row r="2511" spans="1:21" x14ac:dyDescent="0.35">
      <c r="A2511" s="2">
        <v>42804</v>
      </c>
      <c r="B2511" s="70" t="s">
        <v>41</v>
      </c>
      <c r="C2511" s="10">
        <v>68</v>
      </c>
      <c r="D2511" s="10">
        <v>219</v>
      </c>
      <c r="E2511" s="10" t="s">
        <v>39</v>
      </c>
      <c r="I2511" t="s">
        <v>42</v>
      </c>
      <c r="J2511" t="s">
        <v>39</v>
      </c>
      <c r="K2511" t="s">
        <v>40</v>
      </c>
      <c r="L2511" t="s">
        <v>36</v>
      </c>
      <c r="M2511" t="s">
        <v>33</v>
      </c>
      <c r="N2511" t="s">
        <v>34</v>
      </c>
      <c r="O2511" t="s">
        <v>32</v>
      </c>
      <c r="P2511" t="s">
        <v>37</v>
      </c>
      <c r="R2511" t="s">
        <v>43</v>
      </c>
      <c r="S2511" t="s">
        <v>44</v>
      </c>
    </row>
    <row r="2512" spans="1:21" x14ac:dyDescent="0.35">
      <c r="A2512" s="2">
        <v>42804</v>
      </c>
      <c r="B2512" s="70" t="s">
        <v>41</v>
      </c>
      <c r="C2512" s="10">
        <v>70</v>
      </c>
      <c r="D2512" s="10">
        <v>247</v>
      </c>
      <c r="E2512" s="10" t="s">
        <v>39</v>
      </c>
      <c r="I2512" s="5">
        <v>2</v>
      </c>
      <c r="J2512" s="5">
        <v>23</v>
      </c>
      <c r="K2512" s="5">
        <f>COUNTIF(E2478:E2513,"VIA0")</f>
        <v>9</v>
      </c>
      <c r="L2512" s="5">
        <f>COUNTIF(E2478:E2513,"VIA1")</f>
        <v>0</v>
      </c>
      <c r="M2512" s="5">
        <f>COUNTIF(E2478:E2513,"VIA2")</f>
        <v>2</v>
      </c>
      <c r="N2512" s="5">
        <f>COUNTIF(E2478:E2513,"VIA3")</f>
        <v>0</v>
      </c>
      <c r="O2512" s="5">
        <f>COUNTIF(E2478:E2513,"VIA4")</f>
        <v>0</v>
      </c>
      <c r="P2512" s="5">
        <f>COUNTIF(E2478:E2513,"VIB")</f>
        <v>0</v>
      </c>
      <c r="R2512" s="7">
        <f>AVERAGE(C2478:C2513)</f>
        <v>70.083333333333329</v>
      </c>
      <c r="S2512" s="8">
        <f>AVERAGE(D2478:D2513)</f>
        <v>290.66666666666669</v>
      </c>
      <c r="T2512" s="8"/>
      <c r="U2512" s="8" t="e">
        <f>AVERAGE(#REF!)</f>
        <v>#REF!</v>
      </c>
    </row>
    <row r="2513" spans="1:16" s="4" customFormat="1" x14ac:dyDescent="0.35">
      <c r="A2513" s="3">
        <v>42804</v>
      </c>
      <c r="B2513" s="44" t="s">
        <v>41</v>
      </c>
      <c r="C2513" s="11">
        <v>71</v>
      </c>
      <c r="D2513" s="11">
        <v>296</v>
      </c>
      <c r="E2513" s="4" t="s">
        <v>39</v>
      </c>
      <c r="I2513" s="6">
        <f>I2512/36*100</f>
        <v>5.5555555555555554</v>
      </c>
      <c r="J2513" s="6">
        <f t="shared" ref="J2513:P2513" si="79">J2512/36*100</f>
        <v>63.888888888888886</v>
      </c>
      <c r="K2513" s="6">
        <f t="shared" si="79"/>
        <v>25</v>
      </c>
      <c r="L2513" s="6">
        <f t="shared" si="79"/>
        <v>0</v>
      </c>
      <c r="M2513" s="6">
        <f t="shared" si="79"/>
        <v>5.5555555555555554</v>
      </c>
      <c r="N2513" s="6">
        <f t="shared" si="79"/>
        <v>0</v>
      </c>
      <c r="O2513" s="6">
        <f t="shared" si="79"/>
        <v>0</v>
      </c>
      <c r="P2513" s="6">
        <f t="shared" si="79"/>
        <v>0</v>
      </c>
    </row>
    <row r="2514" spans="1:16" x14ac:dyDescent="0.35">
      <c r="A2514" s="2">
        <v>42807</v>
      </c>
      <c r="B2514" s="70" t="s">
        <v>38</v>
      </c>
      <c r="C2514" s="10">
        <v>106</v>
      </c>
      <c r="D2514" s="10">
        <v>1467</v>
      </c>
      <c r="E2514" s="10" t="s">
        <v>98</v>
      </c>
    </row>
    <row r="2515" spans="1:16" x14ac:dyDescent="0.35">
      <c r="A2515" s="2">
        <v>42807</v>
      </c>
      <c r="B2515" s="70" t="s">
        <v>38</v>
      </c>
      <c r="C2515" s="10">
        <v>113</v>
      </c>
      <c r="D2515" s="10">
        <v>1516</v>
      </c>
      <c r="E2515" s="10" t="s">
        <v>98</v>
      </c>
    </row>
    <row r="2516" spans="1:16" x14ac:dyDescent="0.35">
      <c r="A2516" s="2">
        <v>42807</v>
      </c>
      <c r="B2516" s="70" t="s">
        <v>38</v>
      </c>
      <c r="C2516" s="10">
        <v>67</v>
      </c>
      <c r="D2516" s="10">
        <v>200</v>
      </c>
      <c r="E2516" s="10" t="s">
        <v>36</v>
      </c>
    </row>
    <row r="2517" spans="1:16" x14ac:dyDescent="0.35">
      <c r="A2517" s="2">
        <v>42807</v>
      </c>
      <c r="B2517" s="70" t="s">
        <v>38</v>
      </c>
      <c r="C2517" s="10">
        <v>73</v>
      </c>
      <c r="D2517" s="10">
        <v>284</v>
      </c>
      <c r="E2517" s="10" t="s">
        <v>39</v>
      </c>
    </row>
    <row r="2518" spans="1:16" x14ac:dyDescent="0.35">
      <c r="A2518" s="2">
        <v>42807</v>
      </c>
      <c r="B2518" s="70" t="s">
        <v>38</v>
      </c>
      <c r="C2518" s="10">
        <v>71</v>
      </c>
      <c r="D2518" s="10">
        <v>297</v>
      </c>
      <c r="E2518" s="10" t="s">
        <v>40</v>
      </c>
    </row>
    <row r="2519" spans="1:16" x14ac:dyDescent="0.35">
      <c r="A2519" s="2">
        <v>42807</v>
      </c>
      <c r="B2519" s="70" t="s">
        <v>38</v>
      </c>
      <c r="C2519" s="10">
        <v>68</v>
      </c>
      <c r="D2519" s="10">
        <v>258</v>
      </c>
      <c r="E2519" s="10" t="s">
        <v>39</v>
      </c>
    </row>
    <row r="2520" spans="1:16" x14ac:dyDescent="0.35">
      <c r="A2520" s="2">
        <v>42807</v>
      </c>
      <c r="B2520" s="70" t="s">
        <v>38</v>
      </c>
      <c r="C2520" s="10">
        <v>68</v>
      </c>
      <c r="D2520" s="10">
        <v>262</v>
      </c>
      <c r="E2520" s="10" t="s">
        <v>39</v>
      </c>
    </row>
    <row r="2521" spans="1:16" x14ac:dyDescent="0.35">
      <c r="A2521" s="2">
        <v>42807</v>
      </c>
      <c r="B2521" s="70" t="s">
        <v>38</v>
      </c>
      <c r="C2521" s="10">
        <v>73</v>
      </c>
      <c r="D2521" s="10">
        <v>267</v>
      </c>
      <c r="E2521" s="10" t="s">
        <v>34</v>
      </c>
    </row>
    <row r="2522" spans="1:16" x14ac:dyDescent="0.35">
      <c r="A2522" s="2">
        <v>42807</v>
      </c>
      <c r="B2522" s="70" t="s">
        <v>38</v>
      </c>
      <c r="C2522" s="10">
        <v>65</v>
      </c>
      <c r="D2522" s="10">
        <v>186</v>
      </c>
      <c r="E2522" s="10" t="s">
        <v>33</v>
      </c>
    </row>
    <row r="2523" spans="1:16" x14ac:dyDescent="0.35">
      <c r="A2523" s="2">
        <v>42807</v>
      </c>
      <c r="B2523" s="70" t="s">
        <v>38</v>
      </c>
      <c r="C2523" s="10">
        <v>72</v>
      </c>
      <c r="D2523" s="10">
        <v>320</v>
      </c>
      <c r="E2523" s="10" t="s">
        <v>39</v>
      </c>
    </row>
    <row r="2524" spans="1:16" x14ac:dyDescent="0.35">
      <c r="A2524" s="2">
        <v>42807</v>
      </c>
      <c r="B2524" s="70" t="s">
        <v>38</v>
      </c>
      <c r="C2524" s="10">
        <v>73</v>
      </c>
      <c r="D2524" s="10">
        <v>307</v>
      </c>
      <c r="E2524" s="10" t="s">
        <v>40</v>
      </c>
    </row>
    <row r="2525" spans="1:16" x14ac:dyDescent="0.35">
      <c r="A2525" s="2">
        <v>42807</v>
      </c>
      <c r="B2525" s="70" t="s">
        <v>38</v>
      </c>
      <c r="C2525" s="10">
        <v>73</v>
      </c>
      <c r="D2525" s="10">
        <v>314</v>
      </c>
      <c r="E2525" s="10" t="s">
        <v>39</v>
      </c>
    </row>
    <row r="2526" spans="1:16" x14ac:dyDescent="0.35">
      <c r="A2526" s="2">
        <v>42807</v>
      </c>
      <c r="B2526" s="70" t="s">
        <v>38</v>
      </c>
      <c r="C2526" s="10">
        <v>77</v>
      </c>
      <c r="D2526" s="10">
        <v>367</v>
      </c>
      <c r="E2526" s="10" t="s">
        <v>39</v>
      </c>
    </row>
    <row r="2527" spans="1:16" x14ac:dyDescent="0.35">
      <c r="A2527" s="2">
        <v>42807</v>
      </c>
      <c r="B2527" s="70" t="s">
        <v>38</v>
      </c>
      <c r="C2527" s="10">
        <v>67</v>
      </c>
      <c r="D2527" s="10">
        <v>257</v>
      </c>
      <c r="E2527" s="10" t="s">
        <v>33</v>
      </c>
    </row>
    <row r="2528" spans="1:16" x14ac:dyDescent="0.35">
      <c r="A2528" s="2">
        <v>42807</v>
      </c>
      <c r="B2528" s="70" t="s">
        <v>38</v>
      </c>
      <c r="C2528" s="10">
        <v>68</v>
      </c>
      <c r="D2528" s="10">
        <v>234</v>
      </c>
      <c r="E2528" s="10" t="s">
        <v>39</v>
      </c>
    </row>
    <row r="2529" spans="1:6" x14ac:dyDescent="0.35">
      <c r="A2529" s="2">
        <v>42807</v>
      </c>
      <c r="B2529" s="70" t="s">
        <v>38</v>
      </c>
      <c r="C2529" s="10">
        <v>73</v>
      </c>
      <c r="D2529" s="10">
        <v>295</v>
      </c>
      <c r="E2529" s="10" t="s">
        <v>36</v>
      </c>
    </row>
    <row r="2530" spans="1:6" x14ac:dyDescent="0.35">
      <c r="A2530" s="2">
        <v>42807</v>
      </c>
      <c r="B2530" s="70" t="s">
        <v>38</v>
      </c>
      <c r="C2530" s="10">
        <v>74</v>
      </c>
      <c r="D2530" s="10">
        <v>390</v>
      </c>
      <c r="E2530" s="10" t="s">
        <v>39</v>
      </c>
    </row>
    <row r="2531" spans="1:6" x14ac:dyDescent="0.35">
      <c r="A2531" s="2">
        <v>42807</v>
      </c>
      <c r="B2531" s="70" t="s">
        <v>38</v>
      </c>
      <c r="C2531" s="10">
        <v>70</v>
      </c>
      <c r="D2531" s="10">
        <v>284</v>
      </c>
      <c r="E2531" s="10" t="s">
        <v>39</v>
      </c>
    </row>
    <row r="2532" spans="1:6" x14ac:dyDescent="0.35">
      <c r="A2532" s="2">
        <v>42807</v>
      </c>
      <c r="B2532" s="70" t="s">
        <v>38</v>
      </c>
      <c r="C2532" s="10">
        <v>68</v>
      </c>
      <c r="D2532" s="10">
        <v>303</v>
      </c>
      <c r="E2532" s="10" t="s">
        <v>33</v>
      </c>
    </row>
    <row r="2533" spans="1:6" x14ac:dyDescent="0.35">
      <c r="A2533" s="2">
        <v>42807</v>
      </c>
      <c r="B2533" s="70" t="s">
        <v>38</v>
      </c>
      <c r="C2533" s="10">
        <v>74</v>
      </c>
      <c r="D2533" s="10">
        <v>326</v>
      </c>
      <c r="E2533" s="10" t="s">
        <v>40</v>
      </c>
    </row>
    <row r="2534" spans="1:6" x14ac:dyDescent="0.35">
      <c r="A2534" s="2">
        <v>42807</v>
      </c>
      <c r="B2534" s="70" t="s">
        <v>38</v>
      </c>
      <c r="C2534" s="10">
        <v>71</v>
      </c>
      <c r="D2534" s="10">
        <v>321</v>
      </c>
      <c r="E2534" s="10" t="s">
        <v>34</v>
      </c>
    </row>
    <row r="2535" spans="1:6" x14ac:dyDescent="0.35">
      <c r="A2535" s="2">
        <v>42807</v>
      </c>
      <c r="B2535" s="70" t="s">
        <v>38</v>
      </c>
      <c r="C2535" s="10">
        <v>67</v>
      </c>
      <c r="D2535" s="10">
        <v>217</v>
      </c>
      <c r="E2535" s="10" t="s">
        <v>34</v>
      </c>
    </row>
    <row r="2536" spans="1:6" x14ac:dyDescent="0.35">
      <c r="A2536" s="2">
        <v>42807</v>
      </c>
      <c r="B2536" s="70" t="s">
        <v>38</v>
      </c>
      <c r="C2536" s="10">
        <v>73</v>
      </c>
      <c r="D2536" s="10">
        <v>311</v>
      </c>
      <c r="E2536" s="10" t="s">
        <v>39</v>
      </c>
    </row>
    <row r="2537" spans="1:6" x14ac:dyDescent="0.35">
      <c r="A2537" s="2">
        <v>42807</v>
      </c>
      <c r="B2537" s="70" t="s">
        <v>38</v>
      </c>
      <c r="C2537" s="10">
        <v>70</v>
      </c>
      <c r="D2537" s="10">
        <v>277</v>
      </c>
      <c r="E2537" s="10" t="s">
        <v>33</v>
      </c>
    </row>
    <row r="2538" spans="1:6" x14ac:dyDescent="0.35">
      <c r="A2538" s="2">
        <v>42807</v>
      </c>
      <c r="B2538" s="70" t="s">
        <v>38</v>
      </c>
      <c r="C2538" s="10">
        <v>70</v>
      </c>
      <c r="D2538" s="10">
        <v>349</v>
      </c>
      <c r="E2538" s="10" t="s">
        <v>33</v>
      </c>
    </row>
    <row r="2539" spans="1:6" x14ac:dyDescent="0.35">
      <c r="A2539" s="2">
        <v>42807</v>
      </c>
      <c r="B2539" s="70" t="s">
        <v>38</v>
      </c>
      <c r="C2539" s="10">
        <v>76</v>
      </c>
      <c r="D2539" s="10">
        <v>369</v>
      </c>
      <c r="E2539" s="10" t="s">
        <v>36</v>
      </c>
    </row>
    <row r="2540" spans="1:6" x14ac:dyDescent="0.35">
      <c r="A2540" s="2">
        <v>42807</v>
      </c>
      <c r="B2540" s="70" t="s">
        <v>38</v>
      </c>
      <c r="C2540" s="10">
        <v>73</v>
      </c>
      <c r="D2540" s="10">
        <v>313</v>
      </c>
      <c r="E2540" s="10" t="s">
        <v>40</v>
      </c>
    </row>
    <row r="2541" spans="1:6" x14ac:dyDescent="0.35">
      <c r="A2541" s="2">
        <v>42807</v>
      </c>
      <c r="B2541" s="70" t="s">
        <v>38</v>
      </c>
      <c r="C2541" s="10">
        <v>70</v>
      </c>
      <c r="D2541" s="10">
        <v>260</v>
      </c>
      <c r="E2541" s="10" t="s">
        <v>33</v>
      </c>
    </row>
    <row r="2542" spans="1:6" x14ac:dyDescent="0.35">
      <c r="A2542" s="2">
        <v>42807</v>
      </c>
      <c r="B2542" s="70" t="s">
        <v>38</v>
      </c>
      <c r="C2542" s="10">
        <v>70</v>
      </c>
      <c r="D2542" s="10">
        <v>325</v>
      </c>
      <c r="E2542" s="10" t="s">
        <v>39</v>
      </c>
    </row>
    <row r="2543" spans="1:6" x14ac:dyDescent="0.35">
      <c r="A2543" s="2">
        <v>42807</v>
      </c>
      <c r="B2543" s="70" t="s">
        <v>38</v>
      </c>
      <c r="C2543" s="10">
        <v>68</v>
      </c>
      <c r="D2543" s="10">
        <v>273</v>
      </c>
      <c r="E2543" s="10" t="s">
        <v>39</v>
      </c>
    </row>
    <row r="2544" spans="1:6" x14ac:dyDescent="0.35">
      <c r="A2544" s="2">
        <v>42807</v>
      </c>
      <c r="B2544" s="70" t="s">
        <v>38</v>
      </c>
      <c r="C2544" s="10">
        <v>70</v>
      </c>
      <c r="D2544" s="10">
        <v>279</v>
      </c>
      <c r="E2544" s="10" t="s">
        <v>39</v>
      </c>
      <c r="F2544" t="s">
        <v>211</v>
      </c>
    </row>
    <row r="2545" spans="1:5" x14ac:dyDescent="0.35">
      <c r="A2545" s="2">
        <v>42807</v>
      </c>
      <c r="B2545" s="70" t="s">
        <v>38</v>
      </c>
      <c r="C2545" s="10">
        <v>67</v>
      </c>
      <c r="D2545" s="10">
        <v>225</v>
      </c>
      <c r="E2545" s="10" t="s">
        <v>34</v>
      </c>
    </row>
    <row r="2546" spans="1:5" x14ac:dyDescent="0.35">
      <c r="A2546" s="2">
        <v>42807</v>
      </c>
      <c r="B2546" s="70" t="s">
        <v>38</v>
      </c>
      <c r="C2546" s="10">
        <v>72</v>
      </c>
      <c r="D2546" s="10">
        <v>321</v>
      </c>
      <c r="E2546" s="10" t="s">
        <v>33</v>
      </c>
    </row>
    <row r="2547" spans="1:5" x14ac:dyDescent="0.35">
      <c r="A2547" s="2">
        <v>42807</v>
      </c>
      <c r="B2547" s="70" t="s">
        <v>38</v>
      </c>
      <c r="C2547" s="10">
        <v>70</v>
      </c>
      <c r="D2547" s="10">
        <v>331</v>
      </c>
      <c r="E2547" s="10" t="s">
        <v>40</v>
      </c>
    </row>
    <row r="2548" spans="1:5" x14ac:dyDescent="0.35">
      <c r="A2548" s="2">
        <v>42807</v>
      </c>
      <c r="B2548" s="70" t="s">
        <v>38</v>
      </c>
      <c r="C2548" s="10">
        <v>73</v>
      </c>
      <c r="D2548" s="10">
        <v>355</v>
      </c>
      <c r="E2548" s="10" t="s">
        <v>40</v>
      </c>
    </row>
    <row r="2549" spans="1:5" x14ac:dyDescent="0.35">
      <c r="A2549" s="2">
        <v>42807</v>
      </c>
      <c r="B2549" s="70" t="s">
        <v>38</v>
      </c>
      <c r="C2549" s="10">
        <v>64</v>
      </c>
      <c r="D2549" s="10">
        <v>235</v>
      </c>
      <c r="E2549" s="10" t="s">
        <v>34</v>
      </c>
    </row>
    <row r="2550" spans="1:5" x14ac:dyDescent="0.35">
      <c r="A2550" s="2">
        <v>42807</v>
      </c>
      <c r="B2550" s="70" t="s">
        <v>38</v>
      </c>
      <c r="C2550" s="10">
        <v>69</v>
      </c>
      <c r="D2550" s="10">
        <v>242</v>
      </c>
      <c r="E2550" s="10" t="s">
        <v>40</v>
      </c>
    </row>
    <row r="2551" spans="1:5" x14ac:dyDescent="0.35">
      <c r="A2551" s="2">
        <v>42807</v>
      </c>
      <c r="B2551" s="70" t="s">
        <v>38</v>
      </c>
      <c r="C2551" s="10">
        <v>70</v>
      </c>
      <c r="D2551" s="10">
        <v>314</v>
      </c>
      <c r="E2551" s="10" t="s">
        <v>33</v>
      </c>
    </row>
    <row r="2552" spans="1:5" x14ac:dyDescent="0.35">
      <c r="A2552" s="2">
        <v>42807</v>
      </c>
      <c r="B2552" s="70" t="s">
        <v>38</v>
      </c>
      <c r="C2552" s="10">
        <v>71</v>
      </c>
      <c r="D2552" s="10">
        <v>230</v>
      </c>
      <c r="E2552" s="10" t="s">
        <v>34</v>
      </c>
    </row>
    <row r="2553" spans="1:5" x14ac:dyDescent="0.35">
      <c r="A2553" s="2">
        <v>42807</v>
      </c>
      <c r="B2553" s="70" t="s">
        <v>38</v>
      </c>
      <c r="C2553" s="10">
        <v>71</v>
      </c>
      <c r="D2553" s="10">
        <v>279</v>
      </c>
      <c r="E2553" s="10" t="s">
        <v>40</v>
      </c>
    </row>
    <row r="2554" spans="1:5" x14ac:dyDescent="0.35">
      <c r="A2554" s="2">
        <v>42807</v>
      </c>
      <c r="B2554" s="70" t="s">
        <v>38</v>
      </c>
      <c r="C2554" s="10">
        <v>72</v>
      </c>
      <c r="D2554" s="10">
        <v>311</v>
      </c>
      <c r="E2554" s="10" t="s">
        <v>40</v>
      </c>
    </row>
    <row r="2555" spans="1:5" x14ac:dyDescent="0.35">
      <c r="A2555" s="2">
        <v>42807</v>
      </c>
      <c r="B2555" s="70" t="s">
        <v>38</v>
      </c>
      <c r="C2555" s="10">
        <v>73</v>
      </c>
      <c r="D2555" s="10">
        <v>313</v>
      </c>
      <c r="E2555" s="10" t="s">
        <v>39</v>
      </c>
    </row>
    <row r="2556" spans="1:5" x14ac:dyDescent="0.35">
      <c r="A2556" s="2">
        <v>42807</v>
      </c>
      <c r="B2556" s="70" t="s">
        <v>38</v>
      </c>
      <c r="C2556" s="10">
        <v>69</v>
      </c>
      <c r="D2556" s="10">
        <v>300</v>
      </c>
      <c r="E2556" s="10" t="s">
        <v>33</v>
      </c>
    </row>
    <row r="2557" spans="1:5" x14ac:dyDescent="0.35">
      <c r="A2557" s="2">
        <v>42807</v>
      </c>
      <c r="B2557" s="70" t="s">
        <v>38</v>
      </c>
      <c r="C2557" s="10">
        <v>68</v>
      </c>
      <c r="D2557" s="10">
        <v>266</v>
      </c>
      <c r="E2557" s="10" t="s">
        <v>40</v>
      </c>
    </row>
    <row r="2558" spans="1:5" x14ac:dyDescent="0.35">
      <c r="A2558" s="2">
        <v>42807</v>
      </c>
      <c r="B2558" s="70" t="s">
        <v>38</v>
      </c>
      <c r="C2558" s="10">
        <v>69</v>
      </c>
      <c r="D2558" s="10">
        <v>234</v>
      </c>
      <c r="E2558" s="10" t="s">
        <v>33</v>
      </c>
    </row>
    <row r="2559" spans="1:5" x14ac:dyDescent="0.35">
      <c r="A2559" s="2">
        <v>42807</v>
      </c>
      <c r="B2559" s="70" t="s">
        <v>38</v>
      </c>
      <c r="C2559" s="10">
        <v>65</v>
      </c>
      <c r="D2559" s="10">
        <v>221</v>
      </c>
      <c r="E2559" s="10" t="s">
        <v>39</v>
      </c>
    </row>
    <row r="2560" spans="1:5" x14ac:dyDescent="0.35">
      <c r="A2560" s="2">
        <v>42807</v>
      </c>
      <c r="B2560" s="70" t="s">
        <v>38</v>
      </c>
      <c r="C2560" s="10">
        <v>69</v>
      </c>
      <c r="D2560" s="10">
        <v>291</v>
      </c>
      <c r="E2560" s="10" t="s">
        <v>40</v>
      </c>
    </row>
    <row r="2561" spans="1:21" x14ac:dyDescent="0.35">
      <c r="A2561" s="2">
        <v>42807</v>
      </c>
      <c r="B2561" s="70" t="s">
        <v>38</v>
      </c>
      <c r="C2561" s="10">
        <v>67</v>
      </c>
      <c r="D2561" s="10">
        <v>276</v>
      </c>
      <c r="E2561" s="10" t="s">
        <v>33</v>
      </c>
    </row>
    <row r="2562" spans="1:21" x14ac:dyDescent="0.35">
      <c r="A2562" s="2">
        <v>42807</v>
      </c>
      <c r="B2562" s="70" t="s">
        <v>38</v>
      </c>
      <c r="C2562" s="10">
        <v>72</v>
      </c>
      <c r="D2562" s="10">
        <v>307</v>
      </c>
      <c r="E2562" s="10" t="s">
        <v>39</v>
      </c>
      <c r="I2562" t="s">
        <v>42</v>
      </c>
      <c r="J2562" t="s">
        <v>39</v>
      </c>
      <c r="K2562" t="s">
        <v>40</v>
      </c>
      <c r="L2562" t="s">
        <v>36</v>
      </c>
      <c r="M2562" t="s">
        <v>33</v>
      </c>
      <c r="N2562" t="s">
        <v>34</v>
      </c>
      <c r="O2562" t="s">
        <v>32</v>
      </c>
      <c r="P2562" t="s">
        <v>37</v>
      </c>
      <c r="R2562" t="s">
        <v>43</v>
      </c>
      <c r="S2562" t="s">
        <v>44</v>
      </c>
    </row>
    <row r="2563" spans="1:21" x14ac:dyDescent="0.35">
      <c r="A2563" s="2">
        <v>42807</v>
      </c>
      <c r="B2563" s="70" t="s">
        <v>38</v>
      </c>
      <c r="C2563" s="10">
        <v>70</v>
      </c>
      <c r="D2563" s="10">
        <v>263</v>
      </c>
      <c r="E2563" s="10" t="s">
        <v>39</v>
      </c>
      <c r="I2563" s="5">
        <f>COUNTIF(E2516:E2564,"VA")</f>
        <v>0</v>
      </c>
      <c r="J2563" s="5">
        <f>COUNTIF(E2516:E2564,"VB")</f>
        <v>18</v>
      </c>
      <c r="K2563" s="5">
        <f>COUNTIF(E2516:E2564,"VIA0")</f>
        <v>11</v>
      </c>
      <c r="L2563" s="5">
        <f>COUNTIF(E2516:E2564,"VIA1")</f>
        <v>3</v>
      </c>
      <c r="M2563" s="5">
        <f>COUNTIF(E2516:E2564,"VIA2")</f>
        <v>11</v>
      </c>
      <c r="N2563" s="5">
        <f>COUNTIF(E2514:E2564,"VIA3")</f>
        <v>6</v>
      </c>
      <c r="O2563" s="5">
        <f>COUNTIF(E2515:E2564,"VIA4")</f>
        <v>0</v>
      </c>
      <c r="P2563" s="5">
        <f>COUNTIF(E2529:E2564,"VIB")</f>
        <v>0</v>
      </c>
      <c r="R2563" s="7">
        <f>AVERAGE(C2516:C2564)</f>
        <v>70.265306122448976</v>
      </c>
      <c r="S2563" s="8">
        <f>AVERAGE(D2516:D2564)</f>
        <v>287.16326530612247</v>
      </c>
      <c r="T2563" s="8"/>
      <c r="U2563" s="8" t="e">
        <f>AVERAGE(#REF!)</f>
        <v>#REF!</v>
      </c>
    </row>
    <row r="2564" spans="1:21" s="4" customFormat="1" x14ac:dyDescent="0.35">
      <c r="A2564" s="3">
        <v>42807</v>
      </c>
      <c r="B2564" s="44" t="s">
        <v>38</v>
      </c>
      <c r="C2564" s="11">
        <v>70</v>
      </c>
      <c r="D2564" s="11">
        <v>312</v>
      </c>
      <c r="E2564" s="11" t="s">
        <v>39</v>
      </c>
      <c r="I2564" s="6">
        <f>I2563/49*100</f>
        <v>0</v>
      </c>
      <c r="J2564" s="6">
        <f t="shared" ref="J2564:P2564" si="80">J2563/49*100</f>
        <v>36.734693877551024</v>
      </c>
      <c r="K2564" s="6">
        <f t="shared" si="80"/>
        <v>22.448979591836736</v>
      </c>
      <c r="L2564" s="6">
        <f t="shared" si="80"/>
        <v>6.1224489795918364</v>
      </c>
      <c r="M2564" s="6">
        <f t="shared" si="80"/>
        <v>22.448979591836736</v>
      </c>
      <c r="N2564" s="6">
        <f t="shared" si="80"/>
        <v>12.244897959183673</v>
      </c>
      <c r="O2564" s="6">
        <f t="shared" si="80"/>
        <v>0</v>
      </c>
      <c r="P2564" s="6">
        <f t="shared" si="80"/>
        <v>0</v>
      </c>
    </row>
    <row r="2565" spans="1:21" x14ac:dyDescent="0.35">
      <c r="A2565" s="2">
        <v>42807</v>
      </c>
      <c r="B2565" s="70" t="s">
        <v>29</v>
      </c>
      <c r="C2565" s="10">
        <v>144</v>
      </c>
      <c r="D2565" s="10">
        <v>3794</v>
      </c>
      <c r="E2565" s="10" t="s">
        <v>98</v>
      </c>
    </row>
    <row r="2566" spans="1:21" x14ac:dyDescent="0.35">
      <c r="A2566" s="2">
        <v>42807</v>
      </c>
      <c r="B2566" s="70" t="s">
        <v>29</v>
      </c>
      <c r="C2566" s="10">
        <v>110</v>
      </c>
      <c r="D2566" s="10">
        <v>1629</v>
      </c>
      <c r="E2566" s="10" t="s">
        <v>98</v>
      </c>
    </row>
    <row r="2567" spans="1:21" x14ac:dyDescent="0.35">
      <c r="A2567" s="2">
        <v>42807</v>
      </c>
      <c r="B2567" s="70" t="s">
        <v>29</v>
      </c>
      <c r="C2567" s="10">
        <v>104</v>
      </c>
      <c r="D2567" s="10">
        <v>1264</v>
      </c>
      <c r="E2567" s="10" t="s">
        <v>98</v>
      </c>
    </row>
    <row r="2568" spans="1:21" x14ac:dyDescent="0.35">
      <c r="A2568" s="2">
        <v>42807</v>
      </c>
      <c r="B2568" s="70" t="s">
        <v>29</v>
      </c>
      <c r="C2568" s="10">
        <v>126</v>
      </c>
      <c r="D2568" s="10">
        <v>2008</v>
      </c>
      <c r="E2568" s="10" t="s">
        <v>98</v>
      </c>
    </row>
    <row r="2569" spans="1:21" x14ac:dyDescent="0.35">
      <c r="A2569" s="2">
        <v>42807</v>
      </c>
      <c r="B2569" s="70" t="s">
        <v>29</v>
      </c>
      <c r="C2569" s="10">
        <v>98</v>
      </c>
      <c r="D2569" s="10">
        <v>1071</v>
      </c>
      <c r="E2569" s="10" t="s">
        <v>98</v>
      </c>
    </row>
    <row r="2570" spans="1:21" x14ac:dyDescent="0.35">
      <c r="A2570" s="2">
        <v>42807</v>
      </c>
      <c r="B2570" s="70" t="s">
        <v>29</v>
      </c>
      <c r="C2570" s="10">
        <v>71</v>
      </c>
      <c r="D2570" s="10">
        <v>309</v>
      </c>
      <c r="E2570" s="10" t="s">
        <v>40</v>
      </c>
    </row>
    <row r="2571" spans="1:21" x14ac:dyDescent="0.35">
      <c r="A2571" s="2">
        <v>42807</v>
      </c>
      <c r="B2571" s="70" t="s">
        <v>29</v>
      </c>
      <c r="C2571" s="10">
        <v>75</v>
      </c>
      <c r="D2571" s="10">
        <v>371</v>
      </c>
      <c r="E2571" s="10" t="s">
        <v>39</v>
      </c>
    </row>
    <row r="2572" spans="1:21" x14ac:dyDescent="0.35">
      <c r="A2572" s="2">
        <v>42807</v>
      </c>
      <c r="B2572" s="70" t="s">
        <v>29</v>
      </c>
      <c r="C2572" s="10">
        <v>69</v>
      </c>
      <c r="D2572" s="10">
        <v>281</v>
      </c>
      <c r="E2572" s="10" t="s">
        <v>40</v>
      </c>
    </row>
    <row r="2573" spans="1:21" x14ac:dyDescent="0.35">
      <c r="A2573" s="2">
        <v>42807</v>
      </c>
      <c r="B2573" s="70" t="s">
        <v>29</v>
      </c>
      <c r="C2573" s="10">
        <v>76</v>
      </c>
      <c r="D2573" s="10">
        <v>368</v>
      </c>
      <c r="E2573" s="10" t="s">
        <v>33</v>
      </c>
    </row>
    <row r="2574" spans="1:21" x14ac:dyDescent="0.35">
      <c r="A2574" s="2">
        <v>42807</v>
      </c>
      <c r="B2574" s="70" t="s">
        <v>29</v>
      </c>
      <c r="C2574" s="10">
        <v>70</v>
      </c>
      <c r="D2574" s="10">
        <v>302</v>
      </c>
      <c r="E2574" s="10" t="s">
        <v>40</v>
      </c>
    </row>
    <row r="2575" spans="1:21" x14ac:dyDescent="0.35">
      <c r="A2575" s="2">
        <v>42807</v>
      </c>
      <c r="B2575" s="70" t="s">
        <v>29</v>
      </c>
      <c r="C2575" s="10">
        <v>69</v>
      </c>
      <c r="D2575" s="10">
        <v>274</v>
      </c>
      <c r="E2575" s="10" t="s">
        <v>39</v>
      </c>
    </row>
    <row r="2576" spans="1:21" x14ac:dyDescent="0.35">
      <c r="A2576" s="2">
        <v>42807</v>
      </c>
      <c r="B2576" s="70" t="s">
        <v>29</v>
      </c>
      <c r="C2576" s="10">
        <v>75</v>
      </c>
      <c r="D2576" s="10">
        <v>381</v>
      </c>
      <c r="E2576" s="10" t="s">
        <v>33</v>
      </c>
    </row>
    <row r="2577" spans="1:5" x14ac:dyDescent="0.35">
      <c r="A2577" s="2">
        <v>42807</v>
      </c>
      <c r="B2577" s="70" t="s">
        <v>29</v>
      </c>
      <c r="C2577" s="10">
        <v>67</v>
      </c>
      <c r="D2577" s="10">
        <v>230</v>
      </c>
      <c r="E2577" s="10" t="s">
        <v>39</v>
      </c>
    </row>
    <row r="2578" spans="1:5" x14ac:dyDescent="0.35">
      <c r="A2578" s="2">
        <v>42807</v>
      </c>
      <c r="B2578" s="70" t="s">
        <v>29</v>
      </c>
      <c r="C2578" s="10">
        <v>69</v>
      </c>
      <c r="D2578" s="10">
        <v>249</v>
      </c>
      <c r="E2578" s="10" t="s">
        <v>39</v>
      </c>
    </row>
    <row r="2579" spans="1:5" x14ac:dyDescent="0.35">
      <c r="A2579" s="2">
        <v>42807</v>
      </c>
      <c r="B2579" s="70" t="s">
        <v>29</v>
      </c>
      <c r="C2579" s="10">
        <v>71</v>
      </c>
      <c r="D2579" s="10">
        <v>315</v>
      </c>
      <c r="E2579" s="10" t="s">
        <v>33</v>
      </c>
    </row>
    <row r="2580" spans="1:5" x14ac:dyDescent="0.35">
      <c r="A2580" s="2">
        <v>42807</v>
      </c>
      <c r="B2580" s="70" t="s">
        <v>29</v>
      </c>
      <c r="C2580" s="10">
        <v>67</v>
      </c>
      <c r="D2580" s="10">
        <v>240</v>
      </c>
      <c r="E2580" s="10" t="s">
        <v>39</v>
      </c>
    </row>
    <row r="2581" spans="1:5" x14ac:dyDescent="0.35">
      <c r="A2581" s="2">
        <v>42807</v>
      </c>
      <c r="B2581" s="70" t="s">
        <v>29</v>
      </c>
      <c r="C2581" s="10">
        <v>75</v>
      </c>
      <c r="D2581" s="10">
        <v>332</v>
      </c>
      <c r="E2581" s="10" t="s">
        <v>34</v>
      </c>
    </row>
    <row r="2582" spans="1:5" x14ac:dyDescent="0.35">
      <c r="A2582" s="2">
        <v>42807</v>
      </c>
      <c r="B2582" s="70" t="s">
        <v>29</v>
      </c>
      <c r="C2582" s="10">
        <v>68</v>
      </c>
      <c r="D2582" s="10">
        <v>263</v>
      </c>
      <c r="E2582" s="10" t="s">
        <v>34</v>
      </c>
    </row>
    <row r="2583" spans="1:5" x14ac:dyDescent="0.35">
      <c r="A2583" s="2">
        <v>42807</v>
      </c>
      <c r="B2583" s="70" t="s">
        <v>29</v>
      </c>
      <c r="C2583" s="10">
        <v>76</v>
      </c>
      <c r="D2583" s="10">
        <v>354</v>
      </c>
      <c r="E2583" s="10" t="s">
        <v>40</v>
      </c>
    </row>
    <row r="2584" spans="1:5" x14ac:dyDescent="0.35">
      <c r="A2584" s="2">
        <v>42807</v>
      </c>
      <c r="B2584" s="70" t="s">
        <v>29</v>
      </c>
      <c r="C2584" s="10">
        <v>70</v>
      </c>
      <c r="D2584" s="10">
        <v>303</v>
      </c>
      <c r="E2584" s="10" t="s">
        <v>39</v>
      </c>
    </row>
    <row r="2585" spans="1:5" x14ac:dyDescent="0.35">
      <c r="A2585" s="2">
        <v>42807</v>
      </c>
      <c r="B2585" s="70" t="s">
        <v>29</v>
      </c>
      <c r="C2585" s="10">
        <v>73</v>
      </c>
      <c r="D2585" s="10">
        <v>347</v>
      </c>
      <c r="E2585" s="10" t="s">
        <v>39</v>
      </c>
    </row>
    <row r="2586" spans="1:5" x14ac:dyDescent="0.35">
      <c r="A2586" s="2">
        <v>42807</v>
      </c>
      <c r="B2586" s="70" t="s">
        <v>29</v>
      </c>
      <c r="C2586" s="10">
        <v>74</v>
      </c>
      <c r="D2586" s="10">
        <v>384</v>
      </c>
      <c r="E2586" s="10" t="s">
        <v>39</v>
      </c>
    </row>
    <row r="2587" spans="1:5" x14ac:dyDescent="0.35">
      <c r="A2587" s="2">
        <v>42807</v>
      </c>
      <c r="B2587" s="70" t="s">
        <v>29</v>
      </c>
      <c r="C2587" s="10">
        <v>66</v>
      </c>
      <c r="D2587" s="10">
        <v>264</v>
      </c>
      <c r="E2587" s="10" t="s">
        <v>40</v>
      </c>
    </row>
    <row r="2588" spans="1:5" x14ac:dyDescent="0.35">
      <c r="A2588" s="2">
        <v>42807</v>
      </c>
      <c r="B2588" s="70" t="s">
        <v>29</v>
      </c>
      <c r="C2588" s="10">
        <v>69</v>
      </c>
      <c r="D2588" s="10">
        <v>259</v>
      </c>
      <c r="E2588" s="10" t="s">
        <v>34</v>
      </c>
    </row>
    <row r="2589" spans="1:5" x14ac:dyDescent="0.35">
      <c r="A2589" s="2">
        <v>42807</v>
      </c>
      <c r="B2589" s="70" t="s">
        <v>29</v>
      </c>
      <c r="C2589" s="10">
        <v>69</v>
      </c>
      <c r="D2589" s="10">
        <v>277</v>
      </c>
      <c r="E2589" s="10" t="s">
        <v>39</v>
      </c>
    </row>
    <row r="2590" spans="1:5" x14ac:dyDescent="0.35">
      <c r="A2590" s="2">
        <v>42807</v>
      </c>
      <c r="B2590" s="70" t="s">
        <v>29</v>
      </c>
      <c r="C2590" s="10">
        <v>63</v>
      </c>
      <c r="D2590" s="10">
        <v>190</v>
      </c>
      <c r="E2590" s="10" t="s">
        <v>34</v>
      </c>
    </row>
    <row r="2591" spans="1:5" x14ac:dyDescent="0.35">
      <c r="A2591" s="2">
        <v>42807</v>
      </c>
      <c r="B2591" s="70" t="s">
        <v>29</v>
      </c>
      <c r="C2591" s="10">
        <v>65</v>
      </c>
      <c r="D2591" s="10">
        <v>254</v>
      </c>
      <c r="E2591" s="10" t="s">
        <v>39</v>
      </c>
    </row>
    <row r="2592" spans="1:5" x14ac:dyDescent="0.35">
      <c r="A2592" s="2">
        <v>42807</v>
      </c>
      <c r="B2592" s="70" t="s">
        <v>29</v>
      </c>
      <c r="C2592" s="10">
        <v>70</v>
      </c>
      <c r="D2592" s="10">
        <v>274</v>
      </c>
      <c r="E2592" s="10" t="s">
        <v>33</v>
      </c>
    </row>
    <row r="2593" spans="1:5" x14ac:dyDescent="0.35">
      <c r="A2593" s="2">
        <v>42807</v>
      </c>
      <c r="B2593" s="70" t="s">
        <v>29</v>
      </c>
      <c r="C2593" s="10">
        <v>70</v>
      </c>
      <c r="D2593" s="10">
        <v>300</v>
      </c>
      <c r="E2593" s="10" t="s">
        <v>33</v>
      </c>
    </row>
    <row r="2594" spans="1:5" x14ac:dyDescent="0.35">
      <c r="A2594" s="2">
        <v>42807</v>
      </c>
      <c r="B2594" s="70" t="s">
        <v>29</v>
      </c>
      <c r="C2594" s="10">
        <v>74</v>
      </c>
      <c r="D2594" s="10">
        <v>335</v>
      </c>
      <c r="E2594" s="10" t="s">
        <v>39</v>
      </c>
    </row>
    <row r="2595" spans="1:5" x14ac:dyDescent="0.35">
      <c r="A2595" s="2">
        <v>42807</v>
      </c>
      <c r="B2595" s="70" t="s">
        <v>29</v>
      </c>
      <c r="C2595" s="10">
        <v>78</v>
      </c>
      <c r="D2595" s="10">
        <v>432</v>
      </c>
      <c r="E2595" s="10" t="s">
        <v>40</v>
      </c>
    </row>
    <row r="2596" spans="1:5" x14ac:dyDescent="0.35">
      <c r="A2596" s="2">
        <v>42807</v>
      </c>
      <c r="B2596" s="70" t="s">
        <v>29</v>
      </c>
      <c r="C2596" s="10">
        <v>73</v>
      </c>
      <c r="D2596" s="10">
        <v>329</v>
      </c>
      <c r="E2596" s="10" t="s">
        <v>39</v>
      </c>
    </row>
    <row r="2597" spans="1:5" x14ac:dyDescent="0.35">
      <c r="A2597" s="2">
        <v>42807</v>
      </c>
      <c r="B2597" s="70" t="s">
        <v>29</v>
      </c>
      <c r="C2597" s="10">
        <v>72</v>
      </c>
      <c r="D2597" s="10">
        <v>328</v>
      </c>
      <c r="E2597" s="10" t="s">
        <v>39</v>
      </c>
    </row>
    <row r="2598" spans="1:5" x14ac:dyDescent="0.35">
      <c r="A2598" s="2">
        <v>42807</v>
      </c>
      <c r="B2598" s="70" t="s">
        <v>29</v>
      </c>
      <c r="C2598" s="10">
        <v>63</v>
      </c>
      <c r="D2598" s="10">
        <v>189</v>
      </c>
      <c r="E2598" s="10" t="s">
        <v>39</v>
      </c>
    </row>
    <row r="2599" spans="1:5" x14ac:dyDescent="0.35">
      <c r="A2599" s="2">
        <v>42807</v>
      </c>
      <c r="B2599" s="70" t="s">
        <v>29</v>
      </c>
      <c r="C2599" s="10">
        <v>66</v>
      </c>
      <c r="D2599" s="10">
        <v>228</v>
      </c>
      <c r="E2599" s="10" t="s">
        <v>33</v>
      </c>
    </row>
    <row r="2600" spans="1:5" x14ac:dyDescent="0.35">
      <c r="A2600" s="2">
        <v>42807</v>
      </c>
      <c r="B2600" s="70" t="s">
        <v>29</v>
      </c>
      <c r="C2600" s="10">
        <v>72</v>
      </c>
      <c r="D2600" s="10">
        <v>343</v>
      </c>
      <c r="E2600" s="10" t="s">
        <v>34</v>
      </c>
    </row>
    <row r="2601" spans="1:5" x14ac:dyDescent="0.35">
      <c r="A2601" s="2">
        <v>42807</v>
      </c>
      <c r="B2601" s="70" t="s">
        <v>29</v>
      </c>
      <c r="C2601" s="10">
        <v>72</v>
      </c>
      <c r="D2601" s="10">
        <v>326</v>
      </c>
      <c r="E2601" s="10" t="s">
        <v>34</v>
      </c>
    </row>
    <row r="2602" spans="1:5" x14ac:dyDescent="0.35">
      <c r="A2602" s="2">
        <v>42807</v>
      </c>
      <c r="B2602" s="70" t="s">
        <v>29</v>
      </c>
      <c r="C2602" s="10">
        <v>65</v>
      </c>
      <c r="D2602" s="10">
        <v>176</v>
      </c>
      <c r="E2602" s="10" t="s">
        <v>39</v>
      </c>
    </row>
    <row r="2603" spans="1:5" x14ac:dyDescent="0.35">
      <c r="A2603" s="2">
        <v>42807</v>
      </c>
      <c r="B2603" s="70" t="s">
        <v>29</v>
      </c>
      <c r="C2603" s="10">
        <v>66</v>
      </c>
      <c r="D2603" s="10">
        <v>285</v>
      </c>
      <c r="E2603" s="10" t="s">
        <v>39</v>
      </c>
    </row>
    <row r="2604" spans="1:5" x14ac:dyDescent="0.35">
      <c r="A2604" s="2">
        <v>42807</v>
      </c>
      <c r="B2604" s="70" t="s">
        <v>29</v>
      </c>
      <c r="C2604" s="10">
        <v>73</v>
      </c>
      <c r="D2604" s="10">
        <v>323</v>
      </c>
      <c r="E2604" s="10" t="s">
        <v>39</v>
      </c>
    </row>
    <row r="2605" spans="1:5" x14ac:dyDescent="0.35">
      <c r="A2605" s="2">
        <v>42807</v>
      </c>
      <c r="B2605" s="70" t="s">
        <v>29</v>
      </c>
      <c r="C2605" s="10">
        <v>75</v>
      </c>
      <c r="D2605" s="10">
        <v>344</v>
      </c>
      <c r="E2605" s="10" t="s">
        <v>36</v>
      </c>
    </row>
    <row r="2606" spans="1:5" x14ac:dyDescent="0.35">
      <c r="A2606" s="2">
        <v>42807</v>
      </c>
      <c r="B2606" s="70" t="s">
        <v>29</v>
      </c>
      <c r="C2606" s="10">
        <v>73</v>
      </c>
      <c r="D2606" s="10">
        <v>322</v>
      </c>
      <c r="E2606" s="10" t="s">
        <v>39</v>
      </c>
    </row>
    <row r="2607" spans="1:5" x14ac:dyDescent="0.35">
      <c r="A2607" s="2">
        <v>42807</v>
      </c>
      <c r="B2607" s="70" t="s">
        <v>29</v>
      </c>
      <c r="C2607" s="10">
        <v>70</v>
      </c>
      <c r="D2607" s="10">
        <v>329</v>
      </c>
      <c r="E2607" s="10" t="s">
        <v>39</v>
      </c>
    </row>
    <row r="2608" spans="1:5" x14ac:dyDescent="0.35">
      <c r="A2608" s="2">
        <v>42807</v>
      </c>
      <c r="B2608" s="70" t="s">
        <v>29</v>
      </c>
      <c r="C2608" s="10">
        <v>74</v>
      </c>
      <c r="D2608" s="10">
        <v>309</v>
      </c>
      <c r="E2608" s="10" t="s">
        <v>40</v>
      </c>
    </row>
    <row r="2609" spans="1:24" x14ac:dyDescent="0.35">
      <c r="A2609" s="2">
        <v>42807</v>
      </c>
      <c r="B2609" s="70" t="s">
        <v>29</v>
      </c>
      <c r="C2609" s="10">
        <v>77</v>
      </c>
      <c r="D2609" s="10">
        <v>406</v>
      </c>
      <c r="E2609" s="10" t="s">
        <v>33</v>
      </c>
    </row>
    <row r="2610" spans="1:24" x14ac:dyDescent="0.35">
      <c r="A2610" s="2">
        <v>42807</v>
      </c>
      <c r="B2610" s="70" t="s">
        <v>29</v>
      </c>
      <c r="C2610" s="10">
        <v>71</v>
      </c>
      <c r="D2610" s="10">
        <v>305</v>
      </c>
      <c r="E2610" s="10" t="s">
        <v>36</v>
      </c>
    </row>
    <row r="2611" spans="1:24" x14ac:dyDescent="0.35">
      <c r="A2611" s="2">
        <v>42807</v>
      </c>
      <c r="B2611" s="70" t="s">
        <v>29</v>
      </c>
      <c r="C2611" s="10">
        <v>75</v>
      </c>
      <c r="D2611" s="10">
        <v>362</v>
      </c>
      <c r="E2611" s="10" t="s">
        <v>34</v>
      </c>
    </row>
    <row r="2612" spans="1:24" x14ac:dyDescent="0.35">
      <c r="A2612" s="2">
        <v>42807</v>
      </c>
      <c r="B2612" s="70" t="s">
        <v>29</v>
      </c>
      <c r="C2612" s="10">
        <v>70</v>
      </c>
      <c r="D2612" s="10">
        <v>282</v>
      </c>
      <c r="E2612" s="10" t="s">
        <v>39</v>
      </c>
    </row>
    <row r="2613" spans="1:24" x14ac:dyDescent="0.35">
      <c r="A2613" s="2">
        <v>42807</v>
      </c>
      <c r="B2613" s="70" t="s">
        <v>29</v>
      </c>
      <c r="C2613" s="10">
        <v>67</v>
      </c>
      <c r="D2613" s="10">
        <v>291</v>
      </c>
      <c r="E2613" s="10" t="s">
        <v>39</v>
      </c>
      <c r="I2613" t="s">
        <v>42</v>
      </c>
      <c r="J2613" t="s">
        <v>39</v>
      </c>
      <c r="K2613" t="s">
        <v>40</v>
      </c>
      <c r="L2613" t="s">
        <v>36</v>
      </c>
      <c r="M2613" t="s">
        <v>33</v>
      </c>
      <c r="N2613" t="s">
        <v>34</v>
      </c>
      <c r="O2613" t="s">
        <v>32</v>
      </c>
      <c r="P2613" t="s">
        <v>37</v>
      </c>
      <c r="R2613" t="s">
        <v>43</v>
      </c>
      <c r="S2613" t="s">
        <v>44</v>
      </c>
    </row>
    <row r="2614" spans="1:24" x14ac:dyDescent="0.35">
      <c r="A2614" s="2">
        <v>42807</v>
      </c>
      <c r="B2614" s="70" t="s">
        <v>29</v>
      </c>
      <c r="C2614" s="10">
        <v>74</v>
      </c>
      <c r="D2614" s="10">
        <v>337</v>
      </c>
      <c r="E2614" s="10" t="s">
        <v>39</v>
      </c>
      <c r="I2614" s="5">
        <f>COUNTIF(E2567:E2619,"VA")</f>
        <v>0</v>
      </c>
      <c r="J2614" s="5">
        <f>COUNTIF(E2567:E2619,"VB")</f>
        <v>24</v>
      </c>
      <c r="K2614" s="5">
        <f>COUNTIF(E2567:E2619,"VIA0")</f>
        <v>8</v>
      </c>
      <c r="L2614" s="5">
        <f>COUNTIF(E2567:E2619,"VIA1")</f>
        <v>2</v>
      </c>
      <c r="M2614" s="5">
        <f>COUNTIF(E2567:E2619,"VIA2")</f>
        <v>8</v>
      </c>
      <c r="N2614" s="5">
        <f>COUNTIF(E2565:E2619,"VIA3")</f>
        <v>8</v>
      </c>
      <c r="O2614" s="5">
        <f>COUNTIF(E2566:E2619,"VIA4")</f>
        <v>0</v>
      </c>
      <c r="P2614" s="5">
        <f>COUNTIF(E2580:E2615,"VIB")</f>
        <v>0</v>
      </c>
      <c r="R2614" s="7">
        <f>AVERAGE(C2570:C2619)</f>
        <v>70.64</v>
      </c>
      <c r="S2614" s="7">
        <f>AVERAGE(D2570:D2619)</f>
        <v>300.66000000000003</v>
      </c>
      <c r="T2614" s="7"/>
      <c r="U2614" s="7" t="e">
        <f>AVERAGE(#REF!)</f>
        <v>#REF!</v>
      </c>
    </row>
    <row r="2615" spans="1:24" x14ac:dyDescent="0.35">
      <c r="A2615" s="2">
        <v>42807</v>
      </c>
      <c r="B2615" s="70" t="s">
        <v>29</v>
      </c>
      <c r="C2615" s="10">
        <v>74</v>
      </c>
      <c r="D2615" s="10">
        <v>338</v>
      </c>
      <c r="E2615" s="10" t="s">
        <v>40</v>
      </c>
      <c r="I2615" s="6">
        <f>I2614/50*100</f>
        <v>0</v>
      </c>
      <c r="J2615" s="6">
        <f t="shared" ref="J2615:P2615" si="81">J2614/50*100</f>
        <v>48</v>
      </c>
      <c r="K2615" s="6">
        <f t="shared" si="81"/>
        <v>16</v>
      </c>
      <c r="L2615" s="6">
        <f t="shared" si="81"/>
        <v>4</v>
      </c>
      <c r="M2615" s="6">
        <f t="shared" si="81"/>
        <v>16</v>
      </c>
      <c r="N2615" s="6">
        <f t="shared" si="81"/>
        <v>16</v>
      </c>
      <c r="O2615" s="6">
        <f t="shared" si="81"/>
        <v>0</v>
      </c>
      <c r="P2615" s="6">
        <f t="shared" si="81"/>
        <v>0</v>
      </c>
      <c r="Q2615" s="4"/>
      <c r="R2615" s="4"/>
      <c r="S2615" s="4"/>
    </row>
    <row r="2616" spans="1:24" x14ac:dyDescent="0.35">
      <c r="A2616" s="2">
        <v>42807</v>
      </c>
      <c r="B2616" s="70" t="s">
        <v>29</v>
      </c>
      <c r="C2616" s="10">
        <v>74</v>
      </c>
      <c r="D2616" s="10">
        <v>328</v>
      </c>
      <c r="E2616" s="10" t="s">
        <v>39</v>
      </c>
    </row>
    <row r="2617" spans="1:24" x14ac:dyDescent="0.35">
      <c r="A2617" s="2">
        <v>42807</v>
      </c>
      <c r="B2617" s="70" t="s">
        <v>29</v>
      </c>
      <c r="C2617" s="10">
        <v>67</v>
      </c>
      <c r="D2617" s="10">
        <v>211</v>
      </c>
      <c r="E2617" s="10" t="s">
        <v>33</v>
      </c>
      <c r="I2617" t="s">
        <v>42</v>
      </c>
      <c r="J2617" t="s">
        <v>39</v>
      </c>
      <c r="K2617" t="s">
        <v>40</v>
      </c>
      <c r="L2617" t="s">
        <v>36</v>
      </c>
      <c r="M2617" t="s">
        <v>33</v>
      </c>
      <c r="N2617" t="s">
        <v>34</v>
      </c>
      <c r="O2617" t="s">
        <v>32</v>
      </c>
      <c r="P2617" t="s">
        <v>37</v>
      </c>
      <c r="R2617" t="s">
        <v>43</v>
      </c>
      <c r="S2617" t="s">
        <v>44</v>
      </c>
    </row>
    <row r="2618" spans="1:24" x14ac:dyDescent="0.35">
      <c r="A2618" s="2">
        <v>42807</v>
      </c>
      <c r="B2618" s="70" t="s">
        <v>29</v>
      </c>
      <c r="C2618" s="10">
        <v>60</v>
      </c>
      <c r="D2618" s="10">
        <v>157</v>
      </c>
      <c r="E2618" s="10" t="s">
        <v>34</v>
      </c>
      <c r="I2618" s="5">
        <f>COUNTIF(E2514:E2619,"VA")</f>
        <v>0</v>
      </c>
      <c r="J2618" s="5">
        <f>COUNTIF(E2514:E2619,"VB")</f>
        <v>42</v>
      </c>
      <c r="K2618" s="5">
        <f>COUNTIF(E2514:E2619,"VIA0")</f>
        <v>19</v>
      </c>
      <c r="L2618" s="5">
        <f>COUNTIF(E2514:E2619,"VIA1")</f>
        <v>5</v>
      </c>
      <c r="M2618" s="5">
        <f>COUNTIF(E2514:E2619,"VIA2")</f>
        <v>19</v>
      </c>
      <c r="N2618" s="5">
        <f>COUNTIF(E2514:E2619,"VIA3")</f>
        <v>14</v>
      </c>
      <c r="O2618" s="5">
        <f>COUNTIF(E2514:E2619,"VIA4")</f>
        <v>0</v>
      </c>
      <c r="P2618" s="5">
        <f>COUNTIF(E2514:E2619,"VIB")</f>
        <v>0</v>
      </c>
      <c r="R2618" s="7">
        <f>AVERAGE(C2570:C2619,C2516:C2564)</f>
        <v>70.454545454545453</v>
      </c>
      <c r="S2618" s="7">
        <f>AVERAGE(D2570:D2619,D2516:D2564)</f>
        <v>293.97979797979798</v>
      </c>
      <c r="U2618">
        <f>AVERAGE(C2565:C2569,C2514:C2515)</f>
        <v>114.42857142857143</v>
      </c>
      <c r="V2618">
        <f>AVERAGE(D2565:D2569,D2514:D2515)</f>
        <v>1821.2857142857142</v>
      </c>
      <c r="W2618" t="e">
        <f>AVERAGE(E2565:E2569,E2514:E2515)</f>
        <v>#DIV/0!</v>
      </c>
      <c r="X2618" t="e">
        <f>AVERAGE(#REF!,#REF!)</f>
        <v>#REF!</v>
      </c>
    </row>
    <row r="2619" spans="1:24" s="4" customFormat="1" x14ac:dyDescent="0.35">
      <c r="A2619" s="3">
        <v>42807</v>
      </c>
      <c r="B2619" s="44" t="s">
        <v>29</v>
      </c>
      <c r="C2619" s="11">
        <v>70</v>
      </c>
      <c r="D2619" s="11">
        <v>297</v>
      </c>
      <c r="E2619" s="11" t="s">
        <v>39</v>
      </c>
      <c r="I2619" s="6">
        <f t="shared" ref="I2619:P2619" si="82">I2618/99*100</f>
        <v>0</v>
      </c>
      <c r="J2619" s="6">
        <f t="shared" si="82"/>
        <v>42.424242424242422</v>
      </c>
      <c r="K2619" s="6">
        <f t="shared" si="82"/>
        <v>19.19191919191919</v>
      </c>
      <c r="L2619" s="6">
        <f t="shared" si="82"/>
        <v>5.0505050505050502</v>
      </c>
      <c r="M2619" s="6">
        <f t="shared" si="82"/>
        <v>19.19191919191919</v>
      </c>
      <c r="N2619" s="6">
        <f t="shared" si="82"/>
        <v>14.14141414141414</v>
      </c>
      <c r="O2619" s="6">
        <f t="shared" si="82"/>
        <v>0</v>
      </c>
      <c r="P2619" s="6">
        <f t="shared" si="82"/>
        <v>0</v>
      </c>
    </row>
    <row r="2620" spans="1:24" x14ac:dyDescent="0.35">
      <c r="A2620" s="2">
        <v>42811</v>
      </c>
      <c r="B2620" s="70" t="s">
        <v>38</v>
      </c>
      <c r="C2620" s="10">
        <v>107</v>
      </c>
      <c r="D2620" s="10">
        <v>1083</v>
      </c>
      <c r="E2620" s="10" t="s">
        <v>98</v>
      </c>
    </row>
    <row r="2621" spans="1:24" x14ac:dyDescent="0.35">
      <c r="A2621" s="2">
        <v>42811</v>
      </c>
      <c r="B2621" s="70" t="s">
        <v>38</v>
      </c>
      <c r="C2621" s="10">
        <v>108</v>
      </c>
      <c r="D2621" s="10">
        <v>1461</v>
      </c>
      <c r="E2621" s="10" t="s">
        <v>98</v>
      </c>
    </row>
    <row r="2622" spans="1:24" x14ac:dyDescent="0.35">
      <c r="A2622" s="2">
        <v>42811</v>
      </c>
      <c r="B2622" s="70" t="s">
        <v>38</v>
      </c>
      <c r="C2622" s="10">
        <v>154</v>
      </c>
      <c r="D2622" s="10">
        <v>4176</v>
      </c>
      <c r="E2622" s="10" t="s">
        <v>98</v>
      </c>
    </row>
    <row r="2623" spans="1:24" x14ac:dyDescent="0.35">
      <c r="A2623" s="2">
        <v>42811</v>
      </c>
      <c r="B2623" s="70" t="s">
        <v>38</v>
      </c>
      <c r="C2623" s="10">
        <v>125</v>
      </c>
      <c r="D2623" s="10">
        <v>2617</v>
      </c>
      <c r="E2623" s="10" t="s">
        <v>98</v>
      </c>
    </row>
    <row r="2624" spans="1:24" x14ac:dyDescent="0.35">
      <c r="A2624" s="2">
        <v>42811</v>
      </c>
      <c r="B2624" s="70" t="s">
        <v>38</v>
      </c>
      <c r="C2624" s="10">
        <v>107</v>
      </c>
      <c r="D2624" s="10">
        <v>1222</v>
      </c>
      <c r="E2624" s="10" t="s">
        <v>98</v>
      </c>
    </row>
    <row r="2625" spans="1:12" x14ac:dyDescent="0.35">
      <c r="A2625" s="2">
        <v>42811</v>
      </c>
      <c r="B2625" s="70" t="s">
        <v>38</v>
      </c>
      <c r="C2625" s="10">
        <v>106</v>
      </c>
      <c r="D2625" s="10">
        <v>1594</v>
      </c>
      <c r="E2625" s="10" t="s">
        <v>98</v>
      </c>
    </row>
    <row r="2626" spans="1:12" x14ac:dyDescent="0.35">
      <c r="A2626" s="2">
        <v>42811</v>
      </c>
      <c r="B2626" s="70" t="s">
        <v>38</v>
      </c>
      <c r="C2626" s="10">
        <v>97</v>
      </c>
      <c r="D2626" s="10">
        <v>1000</v>
      </c>
      <c r="E2626" s="10" t="s">
        <v>98</v>
      </c>
    </row>
    <row r="2627" spans="1:12" x14ac:dyDescent="0.35">
      <c r="A2627" s="2">
        <v>42811</v>
      </c>
      <c r="B2627" s="70" t="s">
        <v>38</v>
      </c>
      <c r="C2627" s="10">
        <v>86</v>
      </c>
      <c r="D2627" s="10">
        <v>781</v>
      </c>
      <c r="E2627" s="10" t="s">
        <v>98</v>
      </c>
    </row>
    <row r="2628" spans="1:12" x14ac:dyDescent="0.35">
      <c r="A2628" s="2">
        <v>42811</v>
      </c>
      <c r="B2628" s="70" t="s">
        <v>38</v>
      </c>
      <c r="C2628" s="10">
        <v>86</v>
      </c>
      <c r="D2628" s="10">
        <v>716</v>
      </c>
      <c r="E2628" s="10" t="s">
        <v>98</v>
      </c>
    </row>
    <row r="2629" spans="1:12" x14ac:dyDescent="0.35">
      <c r="A2629" s="2">
        <v>42811</v>
      </c>
      <c r="B2629" s="70" t="s">
        <v>38</v>
      </c>
      <c r="C2629" s="10">
        <v>99</v>
      </c>
      <c r="D2629" s="10">
        <v>1093</v>
      </c>
      <c r="E2629" s="10" t="s">
        <v>98</v>
      </c>
    </row>
    <row r="2630" spans="1:12" x14ac:dyDescent="0.35">
      <c r="A2630" s="2">
        <v>42811</v>
      </c>
      <c r="B2630" s="70" t="s">
        <v>38</v>
      </c>
      <c r="C2630" s="55">
        <v>80</v>
      </c>
      <c r="D2630" s="55">
        <v>596</v>
      </c>
      <c r="E2630" s="55" t="s">
        <v>159</v>
      </c>
    </row>
    <row r="2631" spans="1:12" x14ac:dyDescent="0.35">
      <c r="A2631" s="2">
        <v>42811</v>
      </c>
      <c r="B2631" s="70" t="s">
        <v>38</v>
      </c>
      <c r="C2631" s="10">
        <v>107</v>
      </c>
      <c r="D2631" s="10">
        <v>1213</v>
      </c>
      <c r="E2631" s="10" t="s">
        <v>98</v>
      </c>
      <c r="L2631" s="42" t="e">
        <f>AVERAGE(#REF!)</f>
        <v>#REF!</v>
      </c>
    </row>
    <row r="2632" spans="1:12" x14ac:dyDescent="0.35">
      <c r="A2632" s="2">
        <v>42811</v>
      </c>
      <c r="B2632" s="70" t="s">
        <v>38</v>
      </c>
      <c r="C2632" s="10">
        <v>72</v>
      </c>
      <c r="D2632" s="10">
        <v>286</v>
      </c>
      <c r="E2632" t="s">
        <v>33</v>
      </c>
      <c r="F2632" t="s">
        <v>212</v>
      </c>
    </row>
    <row r="2633" spans="1:12" x14ac:dyDescent="0.35">
      <c r="A2633" s="2">
        <v>42811</v>
      </c>
      <c r="B2633" s="70" t="s">
        <v>38</v>
      </c>
      <c r="C2633" s="10">
        <v>74</v>
      </c>
      <c r="D2633" s="10">
        <v>450</v>
      </c>
      <c r="E2633" t="s">
        <v>36</v>
      </c>
      <c r="F2633" t="s">
        <v>213</v>
      </c>
    </row>
    <row r="2634" spans="1:12" x14ac:dyDescent="0.35">
      <c r="A2634" s="2">
        <v>42811</v>
      </c>
      <c r="B2634" s="70" t="s">
        <v>38</v>
      </c>
      <c r="C2634" s="10">
        <v>76</v>
      </c>
      <c r="D2634" s="10">
        <v>402</v>
      </c>
      <c r="E2634" t="s">
        <v>40</v>
      </c>
      <c r="F2634" t="s">
        <v>214</v>
      </c>
    </row>
    <row r="2635" spans="1:12" x14ac:dyDescent="0.35">
      <c r="A2635" s="2">
        <v>42811</v>
      </c>
      <c r="B2635" s="70" t="s">
        <v>38</v>
      </c>
      <c r="C2635" s="10">
        <v>69</v>
      </c>
      <c r="D2635" s="10">
        <v>237</v>
      </c>
      <c r="E2635" t="s">
        <v>33</v>
      </c>
      <c r="F2635" t="s">
        <v>215</v>
      </c>
    </row>
    <row r="2636" spans="1:12" x14ac:dyDescent="0.35">
      <c r="A2636" s="2">
        <v>42811</v>
      </c>
      <c r="B2636" s="70" t="s">
        <v>38</v>
      </c>
      <c r="C2636" s="10">
        <v>79</v>
      </c>
      <c r="D2636" s="10">
        <v>380</v>
      </c>
      <c r="E2636" t="s">
        <v>34</v>
      </c>
      <c r="F2636" t="s">
        <v>216</v>
      </c>
    </row>
    <row r="2637" spans="1:12" x14ac:dyDescent="0.35">
      <c r="A2637" s="2">
        <v>42811</v>
      </c>
      <c r="B2637" s="70" t="s">
        <v>38</v>
      </c>
      <c r="C2637" s="10">
        <v>73</v>
      </c>
      <c r="D2637" s="10">
        <v>330</v>
      </c>
      <c r="E2637" t="s">
        <v>33</v>
      </c>
    </row>
    <row r="2638" spans="1:12" x14ac:dyDescent="0.35">
      <c r="A2638" s="2">
        <v>42811</v>
      </c>
      <c r="B2638" s="70" t="s">
        <v>38</v>
      </c>
      <c r="C2638" s="10">
        <v>68</v>
      </c>
      <c r="D2638" s="10">
        <v>318</v>
      </c>
      <c r="E2638" t="s">
        <v>40</v>
      </c>
    </row>
    <row r="2639" spans="1:12" x14ac:dyDescent="0.35">
      <c r="A2639" s="2">
        <v>42811</v>
      </c>
      <c r="B2639" s="70" t="s">
        <v>38</v>
      </c>
      <c r="C2639" s="10">
        <v>71</v>
      </c>
      <c r="D2639" s="10">
        <v>294</v>
      </c>
      <c r="E2639" t="s">
        <v>40</v>
      </c>
    </row>
    <row r="2640" spans="1:12" x14ac:dyDescent="0.35">
      <c r="A2640" s="2">
        <v>42811</v>
      </c>
      <c r="B2640" s="70" t="s">
        <v>38</v>
      </c>
      <c r="C2640" s="10">
        <v>72</v>
      </c>
      <c r="D2640" s="10">
        <v>260</v>
      </c>
      <c r="E2640" t="s">
        <v>39</v>
      </c>
    </row>
    <row r="2641" spans="1:6" x14ac:dyDescent="0.35">
      <c r="A2641" s="2">
        <v>42811</v>
      </c>
      <c r="B2641" s="70" t="s">
        <v>38</v>
      </c>
      <c r="C2641" s="10">
        <v>70</v>
      </c>
      <c r="D2641" s="10">
        <v>285</v>
      </c>
      <c r="E2641" t="s">
        <v>39</v>
      </c>
    </row>
    <row r="2642" spans="1:6" x14ac:dyDescent="0.35">
      <c r="A2642" s="2">
        <v>42811</v>
      </c>
      <c r="B2642" s="70" t="s">
        <v>38</v>
      </c>
      <c r="C2642" s="10">
        <v>73</v>
      </c>
      <c r="D2642" s="10">
        <v>374</v>
      </c>
      <c r="E2642" t="s">
        <v>34</v>
      </c>
    </row>
    <row r="2643" spans="1:6" x14ac:dyDescent="0.35">
      <c r="A2643" s="2">
        <v>42811</v>
      </c>
      <c r="B2643" s="70" t="s">
        <v>38</v>
      </c>
      <c r="C2643" s="10">
        <v>69</v>
      </c>
      <c r="D2643" s="10">
        <v>297</v>
      </c>
      <c r="E2643" t="s">
        <v>40</v>
      </c>
    </row>
    <row r="2644" spans="1:6" x14ac:dyDescent="0.35">
      <c r="A2644" s="2">
        <v>42811</v>
      </c>
      <c r="B2644" s="70" t="s">
        <v>38</v>
      </c>
      <c r="C2644" s="10">
        <v>65</v>
      </c>
      <c r="D2644" s="10">
        <v>215</v>
      </c>
      <c r="E2644" t="s">
        <v>34</v>
      </c>
    </row>
    <row r="2645" spans="1:6" x14ac:dyDescent="0.35">
      <c r="A2645" s="2">
        <v>42811</v>
      </c>
      <c r="B2645" s="70" t="s">
        <v>38</v>
      </c>
      <c r="C2645" s="10">
        <v>76</v>
      </c>
      <c r="D2645" s="10">
        <v>420</v>
      </c>
      <c r="E2645" t="s">
        <v>39</v>
      </c>
    </row>
    <row r="2646" spans="1:6" x14ac:dyDescent="0.35">
      <c r="A2646" s="2">
        <v>42811</v>
      </c>
      <c r="B2646" s="70" t="s">
        <v>38</v>
      </c>
      <c r="C2646" s="10">
        <v>74</v>
      </c>
      <c r="D2646" s="10">
        <v>355</v>
      </c>
      <c r="E2646" t="s">
        <v>33</v>
      </c>
    </row>
    <row r="2647" spans="1:6" x14ac:dyDescent="0.35">
      <c r="A2647" s="2">
        <v>42811</v>
      </c>
      <c r="B2647" s="70" t="s">
        <v>38</v>
      </c>
      <c r="C2647" s="10">
        <v>68</v>
      </c>
      <c r="D2647" s="10">
        <v>199</v>
      </c>
      <c r="E2647" t="s">
        <v>39</v>
      </c>
    </row>
    <row r="2648" spans="1:6" x14ac:dyDescent="0.35">
      <c r="A2648" s="2">
        <v>42811</v>
      </c>
      <c r="B2648" s="70" t="s">
        <v>38</v>
      </c>
      <c r="C2648" s="10">
        <v>69</v>
      </c>
      <c r="D2648" s="10">
        <v>235</v>
      </c>
      <c r="E2648" t="s">
        <v>33</v>
      </c>
    </row>
    <row r="2649" spans="1:6" x14ac:dyDescent="0.35">
      <c r="A2649" s="2">
        <v>42811</v>
      </c>
      <c r="B2649" s="70" t="s">
        <v>38</v>
      </c>
      <c r="C2649" s="10">
        <v>70</v>
      </c>
      <c r="D2649" s="10">
        <v>290</v>
      </c>
      <c r="E2649" t="s">
        <v>39</v>
      </c>
    </row>
    <row r="2650" spans="1:6" x14ac:dyDescent="0.35">
      <c r="A2650" s="2">
        <v>42811</v>
      </c>
      <c r="B2650" s="70" t="s">
        <v>38</v>
      </c>
      <c r="C2650" s="10">
        <v>70</v>
      </c>
      <c r="D2650" s="10">
        <v>289</v>
      </c>
      <c r="E2650" t="s">
        <v>39</v>
      </c>
    </row>
    <row r="2651" spans="1:6" x14ac:dyDescent="0.35">
      <c r="A2651" s="2">
        <v>42811</v>
      </c>
      <c r="B2651" s="70" t="s">
        <v>38</v>
      </c>
      <c r="C2651" s="10">
        <v>70</v>
      </c>
      <c r="D2651" s="10">
        <v>302</v>
      </c>
      <c r="E2651" t="s">
        <v>40</v>
      </c>
    </row>
    <row r="2652" spans="1:6" x14ac:dyDescent="0.35">
      <c r="A2652" s="2">
        <v>42811</v>
      </c>
      <c r="B2652" s="70" t="s">
        <v>38</v>
      </c>
      <c r="C2652" s="10">
        <v>71</v>
      </c>
      <c r="D2652" s="10">
        <v>279</v>
      </c>
      <c r="E2652" t="s">
        <v>34</v>
      </c>
    </row>
    <row r="2653" spans="1:6" x14ac:dyDescent="0.35">
      <c r="A2653" s="2">
        <v>42811</v>
      </c>
      <c r="B2653" s="70" t="s">
        <v>38</v>
      </c>
      <c r="C2653" s="10">
        <v>67</v>
      </c>
      <c r="D2653" s="10">
        <v>208</v>
      </c>
      <c r="E2653" t="s">
        <v>39</v>
      </c>
    </row>
    <row r="2654" spans="1:6" x14ac:dyDescent="0.35">
      <c r="A2654" s="2">
        <v>42811</v>
      </c>
      <c r="B2654" s="70" t="s">
        <v>38</v>
      </c>
      <c r="C2654" s="10">
        <v>76</v>
      </c>
      <c r="D2654" s="10">
        <v>324</v>
      </c>
      <c r="E2654" t="s">
        <v>39</v>
      </c>
      <c r="F2654" t="s">
        <v>198</v>
      </c>
    </row>
    <row r="2655" spans="1:6" x14ac:dyDescent="0.35">
      <c r="A2655" s="2">
        <v>42811</v>
      </c>
      <c r="B2655" s="70" t="s">
        <v>38</v>
      </c>
      <c r="C2655" s="10">
        <v>71</v>
      </c>
      <c r="D2655" s="10">
        <v>281</v>
      </c>
      <c r="E2655" t="s">
        <v>39</v>
      </c>
    </row>
    <row r="2656" spans="1:6" x14ac:dyDescent="0.35">
      <c r="A2656" s="2">
        <v>42811</v>
      </c>
      <c r="B2656" s="70" t="s">
        <v>38</v>
      </c>
      <c r="C2656" s="10">
        <v>65</v>
      </c>
      <c r="D2656" s="10">
        <v>290</v>
      </c>
      <c r="E2656" t="s">
        <v>33</v>
      </c>
    </row>
    <row r="2657" spans="1:6" x14ac:dyDescent="0.35">
      <c r="A2657" s="2">
        <v>42811</v>
      </c>
      <c r="B2657" s="70" t="s">
        <v>38</v>
      </c>
      <c r="C2657" s="10">
        <v>67</v>
      </c>
      <c r="D2657" s="10">
        <v>280</v>
      </c>
      <c r="E2657" t="s">
        <v>33</v>
      </c>
    </row>
    <row r="2658" spans="1:6" x14ac:dyDescent="0.35">
      <c r="A2658" s="2">
        <v>42811</v>
      </c>
      <c r="B2658" s="70" t="s">
        <v>38</v>
      </c>
      <c r="C2658" s="10">
        <v>69</v>
      </c>
      <c r="D2658" s="10">
        <v>271</v>
      </c>
      <c r="E2658" t="s">
        <v>40</v>
      </c>
    </row>
    <row r="2659" spans="1:6" x14ac:dyDescent="0.35">
      <c r="A2659" s="2">
        <v>42811</v>
      </c>
      <c r="B2659" s="70" t="s">
        <v>38</v>
      </c>
      <c r="C2659" s="10">
        <v>73</v>
      </c>
      <c r="D2659" s="10">
        <v>324</v>
      </c>
      <c r="E2659" t="s">
        <v>33</v>
      </c>
    </row>
    <row r="2660" spans="1:6" x14ac:dyDescent="0.35">
      <c r="A2660" s="2">
        <v>42811</v>
      </c>
      <c r="B2660" s="70" t="s">
        <v>38</v>
      </c>
      <c r="C2660" s="10">
        <v>66</v>
      </c>
      <c r="D2660" s="10">
        <v>195</v>
      </c>
      <c r="E2660" t="s">
        <v>39</v>
      </c>
    </row>
    <row r="2661" spans="1:6" x14ac:dyDescent="0.35">
      <c r="A2661" s="2">
        <v>42811</v>
      </c>
      <c r="B2661" s="70" t="s">
        <v>38</v>
      </c>
      <c r="C2661" s="10">
        <v>70</v>
      </c>
      <c r="D2661" s="10">
        <v>287</v>
      </c>
      <c r="E2661" t="s">
        <v>39</v>
      </c>
    </row>
    <row r="2662" spans="1:6" x14ac:dyDescent="0.35">
      <c r="A2662" s="2">
        <v>42811</v>
      </c>
      <c r="B2662" s="70" t="s">
        <v>38</v>
      </c>
      <c r="C2662" s="10">
        <v>67</v>
      </c>
      <c r="D2662" s="10">
        <v>205</v>
      </c>
      <c r="E2662" t="s">
        <v>40</v>
      </c>
      <c r="F2662" t="s">
        <v>198</v>
      </c>
    </row>
    <row r="2663" spans="1:6" x14ac:dyDescent="0.35">
      <c r="A2663" s="2">
        <v>42811</v>
      </c>
      <c r="B2663" s="70" t="s">
        <v>38</v>
      </c>
      <c r="C2663" s="10">
        <v>61</v>
      </c>
      <c r="D2663" s="10">
        <v>184</v>
      </c>
      <c r="E2663" t="s">
        <v>39</v>
      </c>
    </row>
    <row r="2664" spans="1:6" x14ac:dyDescent="0.35">
      <c r="A2664" s="2">
        <v>42811</v>
      </c>
      <c r="B2664" s="70" t="s">
        <v>38</v>
      </c>
      <c r="C2664" s="10">
        <v>70</v>
      </c>
      <c r="D2664" s="10">
        <v>259</v>
      </c>
      <c r="E2664" t="s">
        <v>34</v>
      </c>
    </row>
    <row r="2665" spans="1:6" x14ac:dyDescent="0.35">
      <c r="A2665" s="2">
        <v>42811</v>
      </c>
      <c r="B2665" s="70" t="s">
        <v>38</v>
      </c>
      <c r="C2665" s="10">
        <v>77</v>
      </c>
      <c r="D2665" s="10">
        <v>445</v>
      </c>
      <c r="E2665" t="s">
        <v>39</v>
      </c>
    </row>
    <row r="2666" spans="1:6" x14ac:dyDescent="0.35">
      <c r="A2666" s="2">
        <v>42811</v>
      </c>
      <c r="B2666" s="70" t="s">
        <v>38</v>
      </c>
      <c r="C2666" s="10">
        <v>79</v>
      </c>
      <c r="D2666" s="10">
        <v>387</v>
      </c>
      <c r="E2666" t="s">
        <v>39</v>
      </c>
    </row>
    <row r="2667" spans="1:6" x14ac:dyDescent="0.35">
      <c r="A2667" s="2">
        <v>42811</v>
      </c>
      <c r="B2667" s="70" t="s">
        <v>38</v>
      </c>
      <c r="C2667" s="10">
        <v>72</v>
      </c>
      <c r="D2667" s="10">
        <v>326</v>
      </c>
      <c r="E2667" t="s">
        <v>34</v>
      </c>
    </row>
    <row r="2668" spans="1:6" x14ac:dyDescent="0.35">
      <c r="A2668" s="2">
        <v>42811</v>
      </c>
      <c r="B2668" s="70" t="s">
        <v>38</v>
      </c>
      <c r="C2668" s="10">
        <v>67</v>
      </c>
      <c r="D2668" s="10">
        <v>301</v>
      </c>
      <c r="E2668" t="s">
        <v>39</v>
      </c>
    </row>
    <row r="2669" spans="1:6" x14ac:dyDescent="0.35">
      <c r="A2669" s="2">
        <v>42811</v>
      </c>
      <c r="B2669" s="70" t="s">
        <v>38</v>
      </c>
      <c r="C2669" s="10">
        <v>72</v>
      </c>
      <c r="D2669" s="10">
        <v>309</v>
      </c>
      <c r="E2669" t="s">
        <v>39</v>
      </c>
    </row>
    <row r="2670" spans="1:6" x14ac:dyDescent="0.35">
      <c r="A2670" s="2">
        <v>42811</v>
      </c>
      <c r="B2670" s="70" t="s">
        <v>38</v>
      </c>
      <c r="C2670" s="10">
        <v>74</v>
      </c>
      <c r="D2670" s="10">
        <v>312</v>
      </c>
      <c r="E2670" t="s">
        <v>40</v>
      </c>
    </row>
    <row r="2671" spans="1:6" x14ac:dyDescent="0.35">
      <c r="A2671" s="2">
        <v>42811</v>
      </c>
      <c r="B2671" s="70" t="s">
        <v>38</v>
      </c>
      <c r="C2671" s="10">
        <v>71</v>
      </c>
      <c r="D2671" s="10">
        <v>256</v>
      </c>
      <c r="E2671" t="s">
        <v>33</v>
      </c>
    </row>
    <row r="2672" spans="1:6" x14ac:dyDescent="0.35">
      <c r="A2672" s="2">
        <v>42811</v>
      </c>
      <c r="B2672" s="70" t="s">
        <v>38</v>
      </c>
      <c r="C2672" s="10">
        <v>72</v>
      </c>
      <c r="D2672" s="10">
        <v>266</v>
      </c>
      <c r="E2672" t="s">
        <v>39</v>
      </c>
    </row>
    <row r="2673" spans="1:21" x14ac:dyDescent="0.35">
      <c r="A2673" s="2">
        <v>42811</v>
      </c>
      <c r="B2673" s="70" t="s">
        <v>38</v>
      </c>
      <c r="C2673" s="10">
        <v>65</v>
      </c>
      <c r="D2673" s="10">
        <v>201</v>
      </c>
      <c r="E2673" t="s">
        <v>36</v>
      </c>
    </row>
    <row r="2674" spans="1:21" x14ac:dyDescent="0.35">
      <c r="A2674" s="2">
        <v>42811</v>
      </c>
      <c r="B2674" s="70" t="s">
        <v>38</v>
      </c>
      <c r="C2674" s="10">
        <v>70</v>
      </c>
      <c r="D2674" s="10">
        <v>307</v>
      </c>
      <c r="E2674" t="s">
        <v>33</v>
      </c>
    </row>
    <row r="2675" spans="1:21" x14ac:dyDescent="0.35">
      <c r="A2675" s="2">
        <v>42811</v>
      </c>
      <c r="B2675" s="70" t="s">
        <v>38</v>
      </c>
      <c r="C2675" s="10">
        <v>72</v>
      </c>
      <c r="D2675" s="10">
        <v>322</v>
      </c>
      <c r="E2675" t="s">
        <v>40</v>
      </c>
    </row>
    <row r="2676" spans="1:21" x14ac:dyDescent="0.35">
      <c r="A2676" s="2">
        <v>42811</v>
      </c>
      <c r="B2676" s="70" t="s">
        <v>38</v>
      </c>
      <c r="C2676" s="10">
        <v>69</v>
      </c>
      <c r="D2676" s="10">
        <v>307</v>
      </c>
      <c r="E2676" t="s">
        <v>39</v>
      </c>
    </row>
    <row r="2677" spans="1:21" x14ac:dyDescent="0.35">
      <c r="A2677" s="2">
        <v>42811</v>
      </c>
      <c r="B2677" s="70" t="s">
        <v>38</v>
      </c>
      <c r="C2677" s="10">
        <v>68</v>
      </c>
      <c r="D2677" s="10">
        <v>246</v>
      </c>
      <c r="E2677" t="s">
        <v>33</v>
      </c>
    </row>
    <row r="2678" spans="1:21" x14ac:dyDescent="0.35">
      <c r="A2678" s="2">
        <v>42811</v>
      </c>
      <c r="B2678" s="70" t="s">
        <v>38</v>
      </c>
      <c r="C2678" s="10">
        <v>73</v>
      </c>
      <c r="D2678" s="10">
        <v>320</v>
      </c>
      <c r="E2678" t="s">
        <v>36</v>
      </c>
    </row>
    <row r="2679" spans="1:21" x14ac:dyDescent="0.35">
      <c r="A2679" s="2">
        <v>42811</v>
      </c>
      <c r="B2679" s="70" t="s">
        <v>38</v>
      </c>
      <c r="C2679" s="10">
        <v>71</v>
      </c>
      <c r="D2679" s="10">
        <v>301</v>
      </c>
      <c r="E2679" t="s">
        <v>33</v>
      </c>
      <c r="F2679" t="s">
        <v>198</v>
      </c>
    </row>
    <row r="2680" spans="1:21" x14ac:dyDescent="0.35">
      <c r="A2680" s="2">
        <v>42811</v>
      </c>
      <c r="B2680" s="70" t="s">
        <v>38</v>
      </c>
      <c r="C2680" s="10">
        <v>70</v>
      </c>
      <c r="D2680" s="10">
        <v>286</v>
      </c>
      <c r="E2680" t="s">
        <v>40</v>
      </c>
    </row>
    <row r="2681" spans="1:21" x14ac:dyDescent="0.35">
      <c r="A2681" s="2">
        <v>42811</v>
      </c>
      <c r="B2681" s="70" t="s">
        <v>38</v>
      </c>
      <c r="C2681" s="10">
        <v>62</v>
      </c>
      <c r="D2681" s="10">
        <v>194</v>
      </c>
      <c r="E2681" t="s">
        <v>39</v>
      </c>
    </row>
    <row r="2682" spans="1:21" x14ac:dyDescent="0.35">
      <c r="A2682" s="2">
        <v>42811</v>
      </c>
      <c r="B2682" s="70" t="s">
        <v>38</v>
      </c>
      <c r="C2682" s="10">
        <v>72</v>
      </c>
      <c r="D2682" s="10">
        <v>329</v>
      </c>
      <c r="E2682" t="s">
        <v>40</v>
      </c>
    </row>
    <row r="2683" spans="1:21" x14ac:dyDescent="0.35">
      <c r="A2683" s="2">
        <v>42811</v>
      </c>
      <c r="B2683" s="70" t="s">
        <v>38</v>
      </c>
      <c r="C2683" s="10">
        <v>66</v>
      </c>
      <c r="D2683" s="10">
        <v>228</v>
      </c>
      <c r="E2683" t="s">
        <v>33</v>
      </c>
    </row>
    <row r="2684" spans="1:21" x14ac:dyDescent="0.35">
      <c r="A2684" s="2">
        <v>42811</v>
      </c>
      <c r="B2684" s="70" t="s">
        <v>38</v>
      </c>
      <c r="C2684" s="10">
        <v>67</v>
      </c>
      <c r="D2684" s="10">
        <v>251</v>
      </c>
      <c r="E2684" t="s">
        <v>33</v>
      </c>
    </row>
    <row r="2685" spans="1:21" x14ac:dyDescent="0.35">
      <c r="A2685" s="2">
        <v>42811</v>
      </c>
      <c r="B2685" s="70" t="s">
        <v>38</v>
      </c>
      <c r="C2685" s="10">
        <v>73</v>
      </c>
      <c r="D2685" s="10">
        <v>339</v>
      </c>
      <c r="E2685" t="s">
        <v>33</v>
      </c>
    </row>
    <row r="2686" spans="1:21" x14ac:dyDescent="0.35">
      <c r="A2686" s="2">
        <v>42811</v>
      </c>
      <c r="B2686" s="70" t="s">
        <v>38</v>
      </c>
      <c r="C2686" s="10">
        <v>64</v>
      </c>
      <c r="D2686" s="10">
        <v>219</v>
      </c>
      <c r="E2686" t="s">
        <v>33</v>
      </c>
    </row>
    <row r="2687" spans="1:21" x14ac:dyDescent="0.35">
      <c r="A2687" s="2">
        <v>42811</v>
      </c>
      <c r="B2687" s="70" t="s">
        <v>38</v>
      </c>
      <c r="C2687" s="10">
        <v>68</v>
      </c>
      <c r="D2687" s="10">
        <v>256</v>
      </c>
      <c r="E2687" t="s">
        <v>40</v>
      </c>
      <c r="I2687" t="s">
        <v>42</v>
      </c>
      <c r="J2687" t="s">
        <v>39</v>
      </c>
      <c r="K2687" t="s">
        <v>40</v>
      </c>
      <c r="L2687" t="s">
        <v>36</v>
      </c>
      <c r="M2687" t="s">
        <v>33</v>
      </c>
      <c r="N2687" t="s">
        <v>34</v>
      </c>
      <c r="O2687" t="s">
        <v>32</v>
      </c>
      <c r="P2687" t="s">
        <v>37</v>
      </c>
      <c r="R2687" t="s">
        <v>43</v>
      </c>
      <c r="S2687" t="s">
        <v>44</v>
      </c>
    </row>
    <row r="2688" spans="1:21" x14ac:dyDescent="0.35">
      <c r="A2688" s="2">
        <v>42811</v>
      </c>
      <c r="B2688" s="70" t="s">
        <v>38</v>
      </c>
      <c r="C2688" s="10">
        <v>69</v>
      </c>
      <c r="D2688" s="10">
        <v>282</v>
      </c>
      <c r="E2688" t="s">
        <v>39</v>
      </c>
      <c r="I2688" s="5">
        <f>COUNTIF(E2632:E2689,"VA")</f>
        <v>0</v>
      </c>
      <c r="J2688" s="5">
        <f>COUNTIF(E2632:E2689,"VB")</f>
        <v>20</v>
      </c>
      <c r="K2688" s="5">
        <f>COUNTIF(E2632:E2689,"VIA0")</f>
        <v>12</v>
      </c>
      <c r="L2688" s="5">
        <f>COUNTIF(E2632:E2689,"VIA1")</f>
        <v>3</v>
      </c>
      <c r="M2688" s="5">
        <f>COUNTIF(E2632:E2689,"VIA2")</f>
        <v>17</v>
      </c>
      <c r="N2688" s="5">
        <f>COUNTIF(E2632:E2691,"VIA3")</f>
        <v>6</v>
      </c>
      <c r="O2688" s="5">
        <f>COUNTIF(E2632:E2690,"VIA4")</f>
        <v>0</v>
      </c>
      <c r="P2688" s="5">
        <f>COUNTIF(E2654:E2689,"VIB")</f>
        <v>0</v>
      </c>
      <c r="R2688" s="7">
        <f>AVERAGE(C2632:C2689)</f>
        <v>70.293103448275858</v>
      </c>
      <c r="S2688" s="7">
        <f>AVERAGE(D2632:D2689)</f>
        <v>291.72413793103448</v>
      </c>
      <c r="T2688" s="7"/>
      <c r="U2688" s="7" t="e">
        <f>AVERAGE(#REF!)</f>
        <v>#REF!</v>
      </c>
    </row>
    <row r="2689" spans="1:16" s="4" customFormat="1" x14ac:dyDescent="0.35">
      <c r="A2689" s="3">
        <v>42811</v>
      </c>
      <c r="B2689" s="44" t="s">
        <v>38</v>
      </c>
      <c r="C2689" s="11">
        <v>73</v>
      </c>
      <c r="D2689" s="11">
        <v>325</v>
      </c>
      <c r="E2689" s="4" t="s">
        <v>33</v>
      </c>
      <c r="I2689" s="6">
        <f>I2688/58*100</f>
        <v>0</v>
      </c>
      <c r="J2689" s="6">
        <f t="shared" ref="J2689:P2689" si="83">J2688/58*100</f>
        <v>34.482758620689658</v>
      </c>
      <c r="K2689" s="6">
        <f t="shared" si="83"/>
        <v>20.689655172413794</v>
      </c>
      <c r="L2689" s="6">
        <f t="shared" si="83"/>
        <v>5.1724137931034484</v>
      </c>
      <c r="M2689" s="6">
        <f t="shared" si="83"/>
        <v>29.310344827586203</v>
      </c>
      <c r="N2689" s="6">
        <f t="shared" si="83"/>
        <v>10.344827586206897</v>
      </c>
      <c r="O2689" s="6">
        <f t="shared" si="83"/>
        <v>0</v>
      </c>
      <c r="P2689" s="6">
        <f t="shared" si="83"/>
        <v>0</v>
      </c>
    </row>
    <row r="2690" spans="1:16" x14ac:dyDescent="0.35">
      <c r="A2690" s="2">
        <v>42811</v>
      </c>
      <c r="B2690" s="70" t="s">
        <v>29</v>
      </c>
      <c r="C2690" s="10">
        <v>102</v>
      </c>
      <c r="D2690" s="10">
        <v>1399</v>
      </c>
      <c r="E2690" s="10" t="s">
        <v>98</v>
      </c>
    </row>
    <row r="2691" spans="1:16" x14ac:dyDescent="0.35">
      <c r="A2691" s="2">
        <v>42811</v>
      </c>
      <c r="B2691" s="70" t="s">
        <v>29</v>
      </c>
      <c r="C2691" s="10">
        <v>109</v>
      </c>
      <c r="D2691" s="10">
        <v>1611</v>
      </c>
      <c r="E2691" s="10" t="s">
        <v>98</v>
      </c>
    </row>
    <row r="2692" spans="1:16" x14ac:dyDescent="0.35">
      <c r="A2692" s="2">
        <v>42811</v>
      </c>
      <c r="B2692" s="70" t="s">
        <v>29</v>
      </c>
      <c r="C2692" s="10">
        <v>113</v>
      </c>
      <c r="D2692" s="10">
        <v>1707</v>
      </c>
      <c r="E2692" s="10" t="s">
        <v>98</v>
      </c>
    </row>
    <row r="2693" spans="1:16" x14ac:dyDescent="0.35">
      <c r="A2693" s="2">
        <v>42811</v>
      </c>
      <c r="B2693" s="70" t="s">
        <v>29</v>
      </c>
      <c r="C2693" s="10">
        <v>126</v>
      </c>
      <c r="D2693" s="10">
        <v>3016</v>
      </c>
      <c r="E2693" s="10" t="s">
        <v>98</v>
      </c>
    </row>
    <row r="2694" spans="1:16" x14ac:dyDescent="0.35">
      <c r="A2694" s="2">
        <v>42811</v>
      </c>
      <c r="B2694" s="70" t="s">
        <v>29</v>
      </c>
      <c r="C2694" s="10">
        <v>167</v>
      </c>
      <c r="D2694" s="10">
        <v>4740</v>
      </c>
      <c r="E2694" s="10" t="s">
        <v>98</v>
      </c>
    </row>
    <row r="2695" spans="1:16" x14ac:dyDescent="0.35">
      <c r="A2695" s="2">
        <v>42811</v>
      </c>
      <c r="B2695" s="70" t="s">
        <v>29</v>
      </c>
      <c r="C2695" s="10">
        <v>107</v>
      </c>
      <c r="D2695" s="10">
        <v>1620</v>
      </c>
      <c r="E2695" s="10" t="s">
        <v>98</v>
      </c>
    </row>
    <row r="2696" spans="1:16" x14ac:dyDescent="0.35">
      <c r="A2696" s="2">
        <v>42811</v>
      </c>
      <c r="B2696" s="70" t="s">
        <v>29</v>
      </c>
      <c r="C2696" s="10">
        <v>163</v>
      </c>
      <c r="D2696" s="10">
        <v>5815</v>
      </c>
      <c r="E2696" s="10" t="s">
        <v>98</v>
      </c>
    </row>
    <row r="2697" spans="1:16" x14ac:dyDescent="0.35">
      <c r="A2697" s="2">
        <v>42811</v>
      </c>
      <c r="B2697" s="70" t="s">
        <v>29</v>
      </c>
      <c r="C2697" s="10">
        <v>103</v>
      </c>
      <c r="D2697" s="10">
        <v>1212</v>
      </c>
      <c r="E2697" s="10" t="s">
        <v>98</v>
      </c>
    </row>
    <row r="2698" spans="1:16" x14ac:dyDescent="0.35">
      <c r="A2698" s="2">
        <v>42811</v>
      </c>
      <c r="B2698" s="70" t="s">
        <v>29</v>
      </c>
      <c r="C2698" s="10">
        <v>97</v>
      </c>
      <c r="D2698" s="10">
        <v>933</v>
      </c>
      <c r="E2698" s="10" t="s">
        <v>98</v>
      </c>
    </row>
    <row r="2699" spans="1:16" x14ac:dyDescent="0.35">
      <c r="A2699" s="2">
        <v>42811</v>
      </c>
      <c r="B2699" s="70" t="s">
        <v>29</v>
      </c>
      <c r="C2699" s="10">
        <v>123</v>
      </c>
      <c r="D2699" s="10">
        <v>2125</v>
      </c>
      <c r="E2699" s="10" t="s">
        <v>98</v>
      </c>
    </row>
    <row r="2700" spans="1:16" x14ac:dyDescent="0.35">
      <c r="A2700" s="2">
        <v>42811</v>
      </c>
      <c r="B2700" s="70" t="s">
        <v>29</v>
      </c>
      <c r="C2700" s="10">
        <v>102</v>
      </c>
      <c r="D2700" s="10">
        <v>1173</v>
      </c>
      <c r="E2700" s="10" t="s">
        <v>98</v>
      </c>
    </row>
    <row r="2701" spans="1:16" x14ac:dyDescent="0.35">
      <c r="A2701" s="2">
        <v>42811</v>
      </c>
      <c r="B2701" s="70" t="s">
        <v>29</v>
      </c>
      <c r="C2701" s="10">
        <v>156</v>
      </c>
      <c r="D2701" s="10">
        <v>4629</v>
      </c>
      <c r="E2701" s="10" t="s">
        <v>98</v>
      </c>
    </row>
    <row r="2702" spans="1:16" x14ac:dyDescent="0.35">
      <c r="A2702" s="2">
        <v>42811</v>
      </c>
      <c r="B2702" s="70" t="s">
        <v>29</v>
      </c>
      <c r="C2702" s="10">
        <v>120</v>
      </c>
      <c r="D2702" s="10">
        <v>2386</v>
      </c>
      <c r="E2702" s="10" t="s">
        <v>98</v>
      </c>
    </row>
    <row r="2703" spans="1:16" x14ac:dyDescent="0.35">
      <c r="A2703" s="2">
        <v>42811</v>
      </c>
      <c r="B2703" s="70" t="s">
        <v>29</v>
      </c>
      <c r="C2703" s="10">
        <v>119</v>
      </c>
      <c r="D2703" s="10">
        <v>1931</v>
      </c>
      <c r="E2703" s="10" t="s">
        <v>98</v>
      </c>
    </row>
    <row r="2704" spans="1:16" x14ac:dyDescent="0.35">
      <c r="A2704" s="2">
        <v>42811</v>
      </c>
      <c r="B2704" s="70" t="s">
        <v>29</v>
      </c>
      <c r="C2704" s="10">
        <v>109</v>
      </c>
      <c r="D2704" s="10">
        <v>1633</v>
      </c>
      <c r="E2704" s="10" t="s">
        <v>98</v>
      </c>
    </row>
    <row r="2705" spans="1:8" x14ac:dyDescent="0.35">
      <c r="A2705" s="2">
        <v>42811</v>
      </c>
      <c r="B2705" s="70" t="s">
        <v>29</v>
      </c>
      <c r="C2705" s="10">
        <v>134</v>
      </c>
      <c r="D2705" s="10">
        <v>2815</v>
      </c>
      <c r="E2705" s="10" t="s">
        <v>98</v>
      </c>
    </row>
    <row r="2706" spans="1:8" x14ac:dyDescent="0.35">
      <c r="A2706" s="2">
        <v>42811</v>
      </c>
      <c r="B2706" s="70" t="s">
        <v>29</v>
      </c>
      <c r="C2706" s="10">
        <v>102</v>
      </c>
      <c r="D2706" s="10">
        <v>1433</v>
      </c>
      <c r="E2706" s="10" t="s">
        <v>98</v>
      </c>
    </row>
    <row r="2707" spans="1:8" x14ac:dyDescent="0.35">
      <c r="A2707" s="2">
        <v>42811</v>
      </c>
      <c r="B2707" s="70" t="s">
        <v>29</v>
      </c>
      <c r="C2707" s="10">
        <v>110</v>
      </c>
      <c r="D2707" s="10">
        <v>1743</v>
      </c>
      <c r="E2707" s="10" t="s">
        <v>98</v>
      </c>
    </row>
    <row r="2708" spans="1:8" x14ac:dyDescent="0.35">
      <c r="A2708" s="2">
        <v>42811</v>
      </c>
      <c r="B2708" s="70" t="s">
        <v>29</v>
      </c>
      <c r="C2708" s="10">
        <v>107</v>
      </c>
      <c r="D2708" s="10">
        <v>1505</v>
      </c>
      <c r="E2708" s="10" t="s">
        <v>98</v>
      </c>
      <c r="H2708" s="42" t="e">
        <f>AVERAGE(#REF!)</f>
        <v>#REF!</v>
      </c>
    </row>
    <row r="2709" spans="1:8" x14ac:dyDescent="0.35">
      <c r="A2709" s="2">
        <v>42811</v>
      </c>
      <c r="B2709" s="70" t="s">
        <v>29</v>
      </c>
      <c r="C2709" s="10">
        <v>71</v>
      </c>
      <c r="D2709" s="10">
        <v>265</v>
      </c>
      <c r="E2709" s="10" t="s">
        <v>39</v>
      </c>
      <c r="H2709" s="42" t="e">
        <f>AVERAGE(#REF!,#REF!)</f>
        <v>#REF!</v>
      </c>
    </row>
    <row r="2710" spans="1:8" x14ac:dyDescent="0.35">
      <c r="A2710" s="2">
        <v>42811</v>
      </c>
      <c r="B2710" s="70" t="s">
        <v>29</v>
      </c>
      <c r="C2710" s="10">
        <v>65</v>
      </c>
      <c r="D2710" s="10">
        <v>232</v>
      </c>
      <c r="E2710" s="10" t="s">
        <v>39</v>
      </c>
    </row>
    <row r="2711" spans="1:8" x14ac:dyDescent="0.35">
      <c r="A2711" s="2">
        <v>42811</v>
      </c>
      <c r="B2711" s="70" t="s">
        <v>29</v>
      </c>
      <c r="C2711" s="10">
        <v>75</v>
      </c>
      <c r="D2711" s="10">
        <v>260</v>
      </c>
      <c r="E2711" s="10" t="s">
        <v>39</v>
      </c>
    </row>
    <row r="2712" spans="1:8" x14ac:dyDescent="0.35">
      <c r="A2712" s="2">
        <v>42811</v>
      </c>
      <c r="B2712" s="70" t="s">
        <v>29</v>
      </c>
      <c r="C2712" s="10">
        <v>66</v>
      </c>
      <c r="D2712" s="10">
        <v>274</v>
      </c>
      <c r="E2712" s="10" t="s">
        <v>34</v>
      </c>
    </row>
    <row r="2713" spans="1:8" x14ac:dyDescent="0.35">
      <c r="A2713" s="2">
        <v>42811</v>
      </c>
      <c r="B2713" s="70" t="s">
        <v>29</v>
      </c>
      <c r="C2713" s="10">
        <v>65</v>
      </c>
      <c r="D2713" s="10">
        <v>302</v>
      </c>
      <c r="E2713" s="10" t="s">
        <v>33</v>
      </c>
      <c r="F2713" t="s">
        <v>217</v>
      </c>
      <c r="H2713" t="s">
        <v>222</v>
      </c>
    </row>
    <row r="2714" spans="1:8" x14ac:dyDescent="0.35">
      <c r="A2714" s="2">
        <v>42811</v>
      </c>
      <c r="B2714" s="70" t="s">
        <v>29</v>
      </c>
      <c r="C2714" s="10">
        <v>73</v>
      </c>
      <c r="D2714" s="10">
        <v>324</v>
      </c>
      <c r="E2714" s="10" t="s">
        <v>39</v>
      </c>
      <c r="F2714" t="s">
        <v>218</v>
      </c>
    </row>
    <row r="2715" spans="1:8" x14ac:dyDescent="0.35">
      <c r="A2715" s="2">
        <v>42811</v>
      </c>
      <c r="B2715" s="70" t="s">
        <v>29</v>
      </c>
      <c r="C2715" s="10">
        <v>70</v>
      </c>
      <c r="D2715" s="10">
        <v>293</v>
      </c>
      <c r="E2715" s="10" t="s">
        <v>33</v>
      </c>
      <c r="F2715" t="s">
        <v>219</v>
      </c>
    </row>
    <row r="2716" spans="1:8" x14ac:dyDescent="0.35">
      <c r="A2716" s="2">
        <v>42811</v>
      </c>
      <c r="B2716" s="70" t="s">
        <v>29</v>
      </c>
      <c r="C2716" s="10">
        <v>74</v>
      </c>
      <c r="D2716" s="10">
        <v>360</v>
      </c>
      <c r="E2716" s="10" t="s">
        <v>34</v>
      </c>
      <c r="F2716" t="s">
        <v>220</v>
      </c>
    </row>
    <row r="2717" spans="1:8" x14ac:dyDescent="0.35">
      <c r="A2717" s="2">
        <v>42811</v>
      </c>
      <c r="B2717" s="70" t="s">
        <v>29</v>
      </c>
      <c r="C2717" s="10">
        <v>71</v>
      </c>
      <c r="D2717" s="10">
        <v>257</v>
      </c>
      <c r="E2717" s="10" t="s">
        <v>34</v>
      </c>
      <c r="F2717" t="s">
        <v>221</v>
      </c>
    </row>
    <row r="2718" spans="1:8" x14ac:dyDescent="0.35">
      <c r="A2718" s="2">
        <v>42811</v>
      </c>
      <c r="B2718" s="70" t="s">
        <v>29</v>
      </c>
      <c r="C2718" s="10">
        <v>71</v>
      </c>
      <c r="D2718" s="10">
        <v>276</v>
      </c>
      <c r="E2718" s="10" t="s">
        <v>40</v>
      </c>
    </row>
    <row r="2719" spans="1:8" x14ac:dyDescent="0.35">
      <c r="A2719" s="2">
        <v>42811</v>
      </c>
      <c r="B2719" s="70" t="s">
        <v>29</v>
      </c>
      <c r="C2719" s="10">
        <v>77</v>
      </c>
      <c r="D2719" s="10">
        <v>331</v>
      </c>
      <c r="E2719" s="10" t="s">
        <v>40</v>
      </c>
    </row>
    <row r="2720" spans="1:8" x14ac:dyDescent="0.35">
      <c r="A2720" s="2">
        <v>42811</v>
      </c>
      <c r="B2720" s="70" t="s">
        <v>29</v>
      </c>
      <c r="C2720" s="10">
        <v>71</v>
      </c>
      <c r="D2720" s="10">
        <v>245</v>
      </c>
      <c r="E2720" s="10" t="s">
        <v>40</v>
      </c>
    </row>
    <row r="2721" spans="1:8" x14ac:dyDescent="0.35">
      <c r="A2721" s="2">
        <v>42811</v>
      </c>
      <c r="B2721" s="70" t="s">
        <v>29</v>
      </c>
      <c r="C2721" s="10">
        <v>69</v>
      </c>
      <c r="D2721" s="10">
        <v>315</v>
      </c>
      <c r="E2721" s="10" t="s">
        <v>34</v>
      </c>
    </row>
    <row r="2722" spans="1:8" x14ac:dyDescent="0.35">
      <c r="A2722" s="2">
        <v>42811</v>
      </c>
      <c r="B2722" s="70" t="s">
        <v>29</v>
      </c>
      <c r="C2722" s="10">
        <v>72</v>
      </c>
      <c r="D2722" s="10">
        <v>263</v>
      </c>
      <c r="E2722" s="10" t="s">
        <v>33</v>
      </c>
    </row>
    <row r="2723" spans="1:8" x14ac:dyDescent="0.35">
      <c r="A2723" s="2">
        <v>42811</v>
      </c>
      <c r="B2723" s="70" t="s">
        <v>29</v>
      </c>
      <c r="C2723" s="10">
        <v>70</v>
      </c>
      <c r="D2723" s="10">
        <v>288</v>
      </c>
      <c r="E2723" s="10" t="s">
        <v>40</v>
      </c>
    </row>
    <row r="2724" spans="1:8" x14ac:dyDescent="0.35">
      <c r="A2724" s="2">
        <v>42811</v>
      </c>
      <c r="B2724" s="70" t="s">
        <v>29</v>
      </c>
      <c r="C2724" s="10">
        <v>70</v>
      </c>
      <c r="D2724" s="10">
        <v>328</v>
      </c>
      <c r="E2724" s="10" t="s">
        <v>33</v>
      </c>
    </row>
    <row r="2725" spans="1:8" x14ac:dyDescent="0.35">
      <c r="A2725" s="2">
        <v>42811</v>
      </c>
      <c r="B2725" s="70" t="s">
        <v>29</v>
      </c>
      <c r="C2725" s="10">
        <v>70</v>
      </c>
      <c r="D2725" s="10">
        <v>314</v>
      </c>
      <c r="E2725" s="10" t="s">
        <v>40</v>
      </c>
    </row>
    <row r="2726" spans="1:8" x14ac:dyDescent="0.35">
      <c r="A2726" s="2">
        <v>42811</v>
      </c>
      <c r="B2726" s="70" t="s">
        <v>29</v>
      </c>
      <c r="C2726" s="10">
        <v>68</v>
      </c>
      <c r="D2726" s="10">
        <v>261</v>
      </c>
      <c r="E2726" s="10" t="s">
        <v>39</v>
      </c>
      <c r="F2726" t="s">
        <v>223</v>
      </c>
      <c r="H2726" t="s">
        <v>222</v>
      </c>
    </row>
    <row r="2727" spans="1:8" x14ac:dyDescent="0.35">
      <c r="A2727" s="2">
        <v>42811</v>
      </c>
      <c r="B2727" s="70" t="s">
        <v>29</v>
      </c>
      <c r="C2727" s="10">
        <v>70</v>
      </c>
      <c r="D2727" s="10">
        <v>346</v>
      </c>
      <c r="E2727" s="10" t="s">
        <v>40</v>
      </c>
    </row>
    <row r="2728" spans="1:8" x14ac:dyDescent="0.35">
      <c r="A2728" s="2">
        <v>42811</v>
      </c>
      <c r="B2728" s="70" t="s">
        <v>29</v>
      </c>
      <c r="C2728" s="10">
        <v>70</v>
      </c>
      <c r="D2728" s="10">
        <v>266</v>
      </c>
      <c r="E2728" s="10" t="s">
        <v>33</v>
      </c>
    </row>
    <row r="2729" spans="1:8" x14ac:dyDescent="0.35">
      <c r="A2729" s="2">
        <v>42811</v>
      </c>
      <c r="B2729" s="70" t="s">
        <v>29</v>
      </c>
      <c r="C2729" s="10">
        <v>64</v>
      </c>
      <c r="D2729" s="10">
        <v>218</v>
      </c>
      <c r="E2729" s="10" t="s">
        <v>40</v>
      </c>
    </row>
    <row r="2730" spans="1:8" x14ac:dyDescent="0.35">
      <c r="A2730" s="2">
        <v>42811</v>
      </c>
      <c r="B2730" s="70" t="s">
        <v>29</v>
      </c>
      <c r="C2730" s="10">
        <v>69</v>
      </c>
      <c r="D2730" s="10">
        <v>295</v>
      </c>
      <c r="E2730" s="10" t="s">
        <v>33</v>
      </c>
    </row>
    <row r="2731" spans="1:8" x14ac:dyDescent="0.35">
      <c r="A2731" s="2">
        <v>42811</v>
      </c>
      <c r="B2731" s="70" t="s">
        <v>29</v>
      </c>
      <c r="C2731" s="10">
        <v>76</v>
      </c>
      <c r="D2731" s="10">
        <v>386</v>
      </c>
      <c r="E2731" s="10" t="s">
        <v>33</v>
      </c>
    </row>
    <row r="2732" spans="1:8" x14ac:dyDescent="0.35">
      <c r="A2732" s="2">
        <v>42811</v>
      </c>
      <c r="B2732" s="70" t="s">
        <v>29</v>
      </c>
      <c r="C2732" s="10">
        <v>66</v>
      </c>
      <c r="D2732" s="10">
        <v>284</v>
      </c>
      <c r="E2732" s="10" t="s">
        <v>39</v>
      </c>
    </row>
    <row r="2733" spans="1:8" x14ac:dyDescent="0.35">
      <c r="A2733" s="2">
        <v>42811</v>
      </c>
      <c r="B2733" s="70" t="s">
        <v>29</v>
      </c>
      <c r="C2733" s="10">
        <v>75</v>
      </c>
      <c r="D2733" s="10">
        <v>335</v>
      </c>
      <c r="E2733" s="10" t="s">
        <v>39</v>
      </c>
    </row>
    <row r="2734" spans="1:8" x14ac:dyDescent="0.35">
      <c r="A2734" s="2">
        <v>42811</v>
      </c>
      <c r="B2734" s="70" t="s">
        <v>29</v>
      </c>
      <c r="C2734" s="10">
        <v>77</v>
      </c>
      <c r="D2734" s="10">
        <v>360</v>
      </c>
      <c r="E2734" s="10" t="s">
        <v>33</v>
      </c>
    </row>
    <row r="2735" spans="1:8" x14ac:dyDescent="0.35">
      <c r="A2735" s="2">
        <v>42811</v>
      </c>
      <c r="B2735" s="70" t="s">
        <v>29</v>
      </c>
      <c r="C2735" s="10">
        <v>78</v>
      </c>
      <c r="D2735" s="10">
        <v>474</v>
      </c>
      <c r="E2735" s="10" t="s">
        <v>33</v>
      </c>
    </row>
    <row r="2736" spans="1:8" x14ac:dyDescent="0.35">
      <c r="A2736" s="2">
        <v>42811</v>
      </c>
      <c r="B2736" s="70" t="s">
        <v>29</v>
      </c>
      <c r="C2736" s="10">
        <v>72</v>
      </c>
      <c r="D2736" s="10">
        <v>276</v>
      </c>
      <c r="E2736" s="10" t="s">
        <v>40</v>
      </c>
    </row>
    <row r="2737" spans="1:21" x14ac:dyDescent="0.35">
      <c r="A2737" s="2">
        <v>42811</v>
      </c>
      <c r="B2737" s="70" t="s">
        <v>29</v>
      </c>
      <c r="C2737" s="10">
        <v>74</v>
      </c>
      <c r="D2737" s="10">
        <v>345</v>
      </c>
      <c r="E2737" s="10" t="s">
        <v>33</v>
      </c>
    </row>
    <row r="2738" spans="1:21" x14ac:dyDescent="0.35">
      <c r="A2738" s="2">
        <v>42811</v>
      </c>
      <c r="B2738" s="70" t="s">
        <v>29</v>
      </c>
      <c r="C2738" s="10">
        <v>73</v>
      </c>
      <c r="D2738" s="10">
        <v>355</v>
      </c>
      <c r="E2738" s="10" t="s">
        <v>39</v>
      </c>
      <c r="H2738" t="s">
        <v>222</v>
      </c>
    </row>
    <row r="2739" spans="1:21" x14ac:dyDescent="0.35">
      <c r="A2739" s="2">
        <v>42811</v>
      </c>
      <c r="B2739" s="70" t="s">
        <v>29</v>
      </c>
      <c r="C2739" s="10">
        <v>69</v>
      </c>
      <c r="D2739" s="10">
        <v>302</v>
      </c>
      <c r="E2739" s="10" t="s">
        <v>39</v>
      </c>
    </row>
    <row r="2740" spans="1:21" x14ac:dyDescent="0.35">
      <c r="A2740" s="2">
        <v>42811</v>
      </c>
      <c r="B2740" s="70" t="s">
        <v>29</v>
      </c>
      <c r="C2740" s="10">
        <v>66</v>
      </c>
      <c r="D2740" s="10">
        <v>245</v>
      </c>
      <c r="E2740" s="10" t="s">
        <v>40</v>
      </c>
    </row>
    <row r="2741" spans="1:21" x14ac:dyDescent="0.35">
      <c r="A2741" s="2">
        <v>42811</v>
      </c>
      <c r="B2741" s="70" t="s">
        <v>29</v>
      </c>
      <c r="C2741" s="10">
        <v>69</v>
      </c>
      <c r="D2741" s="10">
        <v>295</v>
      </c>
      <c r="E2741" s="10" t="s">
        <v>32</v>
      </c>
    </row>
    <row r="2742" spans="1:21" x14ac:dyDescent="0.35">
      <c r="A2742" s="2">
        <v>42811</v>
      </c>
      <c r="B2742" s="70" t="s">
        <v>29</v>
      </c>
      <c r="C2742" s="10">
        <v>70</v>
      </c>
      <c r="D2742" s="10">
        <v>300</v>
      </c>
      <c r="E2742" s="10" t="s">
        <v>39</v>
      </c>
    </row>
    <row r="2743" spans="1:21" x14ac:dyDescent="0.35">
      <c r="A2743" s="2">
        <v>42811</v>
      </c>
      <c r="B2743" s="70" t="s">
        <v>29</v>
      </c>
      <c r="C2743" s="10">
        <v>70</v>
      </c>
      <c r="D2743" s="10">
        <v>305</v>
      </c>
      <c r="E2743" s="10" t="s">
        <v>40</v>
      </c>
    </row>
    <row r="2744" spans="1:21" x14ac:dyDescent="0.35">
      <c r="A2744" s="2">
        <v>42811</v>
      </c>
      <c r="B2744" s="70" t="s">
        <v>29</v>
      </c>
      <c r="C2744" s="10">
        <v>73</v>
      </c>
      <c r="D2744" s="10">
        <v>378</v>
      </c>
      <c r="E2744" s="10" t="s">
        <v>33</v>
      </c>
    </row>
    <row r="2745" spans="1:21" x14ac:dyDescent="0.35">
      <c r="A2745" s="2">
        <v>42811</v>
      </c>
      <c r="B2745" s="70" t="s">
        <v>29</v>
      </c>
      <c r="C2745">
        <v>68</v>
      </c>
      <c r="D2745" s="10">
        <v>231</v>
      </c>
      <c r="E2745" s="10" t="s">
        <v>33</v>
      </c>
      <c r="R2745">
        <f>AVERAGE(C2690:C2708,C2620:C2631,C2565:C2569,C2514:C2515)</f>
        <v>114</v>
      </c>
      <c r="S2745">
        <f>AVERAGE(D2690:D2708,D2620:D2631,D2565:D2569,D2514:D2515)</f>
        <v>1940.1842105263158</v>
      </c>
      <c r="U2745" t="e">
        <f>AVERAGE(#REF!,#REF!,#REF!,#REF!)</f>
        <v>#REF!</v>
      </c>
    </row>
    <row r="2746" spans="1:21" x14ac:dyDescent="0.35">
      <c r="A2746" s="2">
        <v>42811</v>
      </c>
      <c r="B2746" s="70" t="s">
        <v>29</v>
      </c>
      <c r="C2746">
        <v>75</v>
      </c>
      <c r="D2746" s="10">
        <v>380</v>
      </c>
      <c r="E2746" s="10" t="s">
        <v>39</v>
      </c>
    </row>
    <row r="2747" spans="1:21" x14ac:dyDescent="0.35">
      <c r="A2747" s="2">
        <v>42811</v>
      </c>
      <c r="B2747" s="70" t="s">
        <v>29</v>
      </c>
      <c r="C2747">
        <v>71</v>
      </c>
      <c r="D2747" s="10">
        <v>270</v>
      </c>
      <c r="E2747" s="10" t="s">
        <v>34</v>
      </c>
    </row>
    <row r="2748" spans="1:21" x14ac:dyDescent="0.35">
      <c r="A2748" s="2">
        <v>42811</v>
      </c>
      <c r="B2748" s="70" t="s">
        <v>29</v>
      </c>
      <c r="C2748">
        <v>64</v>
      </c>
      <c r="D2748" s="10">
        <v>233</v>
      </c>
      <c r="E2748" s="10" t="s">
        <v>40</v>
      </c>
    </row>
    <row r="2749" spans="1:21" x14ac:dyDescent="0.35">
      <c r="A2749" s="2">
        <v>42811</v>
      </c>
      <c r="B2749" s="70" t="s">
        <v>29</v>
      </c>
      <c r="C2749">
        <v>70</v>
      </c>
      <c r="D2749" s="10">
        <v>262</v>
      </c>
      <c r="E2749" s="10" t="s">
        <v>33</v>
      </c>
    </row>
    <row r="2750" spans="1:21" x14ac:dyDescent="0.35">
      <c r="A2750" s="2">
        <v>42811</v>
      </c>
      <c r="B2750" s="70" t="s">
        <v>29</v>
      </c>
      <c r="C2750">
        <v>68</v>
      </c>
      <c r="D2750" s="10">
        <v>281</v>
      </c>
      <c r="E2750" s="10" t="s">
        <v>39</v>
      </c>
    </row>
    <row r="2751" spans="1:21" x14ac:dyDescent="0.35">
      <c r="A2751" s="2">
        <v>42811</v>
      </c>
      <c r="B2751" s="70" t="s">
        <v>29</v>
      </c>
      <c r="C2751">
        <v>67</v>
      </c>
      <c r="D2751" s="10">
        <v>271</v>
      </c>
      <c r="E2751" s="10" t="s">
        <v>33</v>
      </c>
    </row>
    <row r="2752" spans="1:21" x14ac:dyDescent="0.35">
      <c r="A2752" s="2">
        <v>42811</v>
      </c>
      <c r="B2752" s="70" t="s">
        <v>29</v>
      </c>
      <c r="C2752">
        <v>66</v>
      </c>
      <c r="D2752" s="10">
        <v>211</v>
      </c>
      <c r="E2752" s="10" t="s">
        <v>39</v>
      </c>
      <c r="I2752" t="s">
        <v>42</v>
      </c>
      <c r="J2752" t="s">
        <v>39</v>
      </c>
      <c r="K2752" t="s">
        <v>40</v>
      </c>
      <c r="L2752" t="s">
        <v>36</v>
      </c>
      <c r="M2752" t="s">
        <v>33</v>
      </c>
      <c r="N2752" t="s">
        <v>34</v>
      </c>
      <c r="O2752" t="s">
        <v>32</v>
      </c>
      <c r="P2752" t="s">
        <v>37</v>
      </c>
      <c r="R2752" t="s">
        <v>43</v>
      </c>
      <c r="S2752" t="s">
        <v>44</v>
      </c>
    </row>
    <row r="2753" spans="1:21" x14ac:dyDescent="0.35">
      <c r="A2753" s="2">
        <v>42811</v>
      </c>
      <c r="B2753" s="70" t="s">
        <v>29</v>
      </c>
      <c r="C2753">
        <v>66</v>
      </c>
      <c r="D2753" s="10">
        <v>196</v>
      </c>
      <c r="E2753" s="10" t="s">
        <v>33</v>
      </c>
      <c r="I2753" s="5">
        <f>COUNTIF(E2701:E2758,"VA")</f>
        <v>0</v>
      </c>
      <c r="J2753" s="5">
        <f>COUNTIF(E2697:E2758,"VB")</f>
        <v>16</v>
      </c>
      <c r="K2753" s="5">
        <f>COUNTIF(E2697:E2758,"VIA0")</f>
        <v>11</v>
      </c>
      <c r="L2753" s="5">
        <f>COUNTIF(E2697:E2758,"VIA1")</f>
        <v>0</v>
      </c>
      <c r="M2753" s="5">
        <f>COUNTIF(E2697:E2758,"VIA2")</f>
        <v>17</v>
      </c>
      <c r="N2753" s="5">
        <f>COUNTIF(E2697:E2758,"VIA3")</f>
        <v>5</v>
      </c>
      <c r="O2753" s="5">
        <f>COUNTIF(E2697:E2758,"VIA4")</f>
        <v>1</v>
      </c>
      <c r="P2753" s="5">
        <f>COUNTIF(E2719:E2754,"VIB")</f>
        <v>0</v>
      </c>
      <c r="R2753" s="7">
        <f>AVERAGE(C2709:C2758)</f>
        <v>70.3</v>
      </c>
      <c r="S2753" s="7">
        <f>AVERAGE(D2709:D2758)</f>
        <v>297.54000000000002</v>
      </c>
      <c r="T2753" s="7"/>
      <c r="U2753" s="7" t="e">
        <f>AVERAGE(#REF!)</f>
        <v>#REF!</v>
      </c>
    </row>
    <row r="2754" spans="1:21" x14ac:dyDescent="0.35">
      <c r="A2754" s="2">
        <v>42811</v>
      </c>
      <c r="B2754" s="70" t="s">
        <v>29</v>
      </c>
      <c r="C2754">
        <v>73</v>
      </c>
      <c r="D2754" s="10">
        <v>369</v>
      </c>
      <c r="E2754" s="10" t="s">
        <v>33</v>
      </c>
      <c r="I2754" s="6">
        <f>I2753/50*100</f>
        <v>0</v>
      </c>
      <c r="J2754" s="6">
        <f t="shared" ref="J2754:P2754" si="84">J2753/50*100</f>
        <v>32</v>
      </c>
      <c r="K2754" s="6">
        <f t="shared" si="84"/>
        <v>22</v>
      </c>
      <c r="L2754" s="6">
        <f t="shared" si="84"/>
        <v>0</v>
      </c>
      <c r="M2754" s="6">
        <f t="shared" si="84"/>
        <v>34</v>
      </c>
      <c r="N2754" s="6">
        <f t="shared" si="84"/>
        <v>10</v>
      </c>
      <c r="O2754" s="6">
        <f t="shared" si="84"/>
        <v>2</v>
      </c>
      <c r="P2754" s="6">
        <f t="shared" si="84"/>
        <v>0</v>
      </c>
      <c r="Q2754" s="4"/>
      <c r="R2754" s="4"/>
      <c r="S2754" s="4"/>
    </row>
    <row r="2755" spans="1:21" x14ac:dyDescent="0.35">
      <c r="A2755" s="2">
        <v>42811</v>
      </c>
      <c r="B2755" s="70" t="s">
        <v>29</v>
      </c>
      <c r="C2755">
        <v>68</v>
      </c>
      <c r="D2755" s="10">
        <v>266</v>
      </c>
      <c r="E2755" s="10" t="s">
        <v>39</v>
      </c>
    </row>
    <row r="2756" spans="1:21" x14ac:dyDescent="0.35">
      <c r="A2756" s="2">
        <v>42811</v>
      </c>
      <c r="B2756" s="70" t="s">
        <v>29</v>
      </c>
      <c r="C2756">
        <v>69</v>
      </c>
      <c r="D2756" s="10">
        <v>326</v>
      </c>
      <c r="E2756" s="10" t="s">
        <v>33</v>
      </c>
      <c r="I2756" t="s">
        <v>42</v>
      </c>
      <c r="J2756" t="s">
        <v>39</v>
      </c>
      <c r="K2756" t="s">
        <v>40</v>
      </c>
      <c r="L2756" t="s">
        <v>36</v>
      </c>
      <c r="M2756" t="s">
        <v>33</v>
      </c>
      <c r="N2756" t="s">
        <v>34</v>
      </c>
      <c r="O2756" t="s">
        <v>32</v>
      </c>
      <c r="P2756" t="s">
        <v>37</v>
      </c>
      <c r="R2756" t="s">
        <v>43</v>
      </c>
      <c r="S2756" t="s">
        <v>44</v>
      </c>
    </row>
    <row r="2757" spans="1:21" x14ac:dyDescent="0.35">
      <c r="A2757" s="2">
        <v>42811</v>
      </c>
      <c r="B2757" s="70" t="s">
        <v>29</v>
      </c>
      <c r="C2757">
        <v>74</v>
      </c>
      <c r="D2757" s="10">
        <v>384</v>
      </c>
      <c r="E2757" s="10" t="s">
        <v>39</v>
      </c>
      <c r="I2757" s="5">
        <f>COUNTIF(E2620:E2758,"VA")</f>
        <v>0</v>
      </c>
      <c r="J2757" s="5">
        <f>COUNTIF(E2620:E2758,"VB")</f>
        <v>36</v>
      </c>
      <c r="K2757" s="5">
        <f>COUNTIF(E2620:E2758,"VIA0")</f>
        <v>23</v>
      </c>
      <c r="L2757" s="5">
        <f>COUNTIF(E2620:E2758,"VIA1")</f>
        <v>3</v>
      </c>
      <c r="M2757" s="5">
        <f>COUNTIF(E2620:E2758,"VIA2")</f>
        <v>34</v>
      </c>
      <c r="N2757" s="5">
        <f>COUNTIF(E2627:E2758,"VIA3")</f>
        <v>11</v>
      </c>
      <c r="O2757" s="5">
        <f>COUNTIF(E2625:E2758,"VIA4")</f>
        <v>1</v>
      </c>
      <c r="P2757" s="5">
        <f>COUNTIF(E2653:E2758,"VIB")</f>
        <v>0</v>
      </c>
      <c r="R2757" s="7">
        <f>AVERAGE(C2709:C2758,C2632:C2689)</f>
        <v>70.296296296296291</v>
      </c>
      <c r="S2757" s="7">
        <f>AVERAGE(D2709:D2758,D2632:D2689)</f>
        <v>294.41666666666669</v>
      </c>
    </row>
    <row r="2758" spans="1:21" s="4" customFormat="1" x14ac:dyDescent="0.35">
      <c r="A2758" s="3">
        <v>42811</v>
      </c>
      <c r="B2758" s="44" t="s">
        <v>29</v>
      </c>
      <c r="C2758" s="4">
        <v>67</v>
      </c>
      <c r="D2758" s="11">
        <v>244</v>
      </c>
      <c r="E2758" s="11" t="s">
        <v>39</v>
      </c>
      <c r="I2758" s="6">
        <f t="shared" ref="I2758:O2758" si="85">I2757/108*100</f>
        <v>0</v>
      </c>
      <c r="J2758" s="6">
        <f t="shared" si="85"/>
        <v>33.333333333333329</v>
      </c>
      <c r="K2758" s="6">
        <f t="shared" si="85"/>
        <v>21.296296296296298</v>
      </c>
      <c r="L2758" s="6">
        <f t="shared" si="85"/>
        <v>2.7777777777777777</v>
      </c>
      <c r="M2758" s="6">
        <f t="shared" si="85"/>
        <v>31.481481481481481</v>
      </c>
      <c r="N2758" s="6">
        <f t="shared" si="85"/>
        <v>10.185185185185185</v>
      </c>
      <c r="O2758" s="6">
        <f t="shared" si="85"/>
        <v>0.92592592592592582</v>
      </c>
      <c r="P2758" s="6">
        <f t="shared" ref="P2758" si="86">P2757/99*100</f>
        <v>0</v>
      </c>
    </row>
    <row r="2759" spans="1:21" x14ac:dyDescent="0.35">
      <c r="A2759" s="13">
        <v>42811</v>
      </c>
      <c r="B2759" s="40" t="s">
        <v>66</v>
      </c>
      <c r="C2759" s="10">
        <v>109</v>
      </c>
      <c r="D2759" s="10">
        <v>1431</v>
      </c>
      <c r="E2759" s="10" t="s">
        <v>98</v>
      </c>
    </row>
    <row r="2760" spans="1:21" x14ac:dyDescent="0.35">
      <c r="A2760" s="13">
        <v>42811</v>
      </c>
      <c r="B2760" s="40" t="s">
        <v>66</v>
      </c>
      <c r="C2760" s="10">
        <v>69</v>
      </c>
      <c r="D2760" s="10">
        <v>292</v>
      </c>
      <c r="E2760" s="10" t="s">
        <v>39</v>
      </c>
      <c r="F2760" t="s">
        <v>224</v>
      </c>
    </row>
    <row r="2761" spans="1:21" x14ac:dyDescent="0.35">
      <c r="A2761" s="13">
        <v>42811</v>
      </c>
      <c r="B2761" s="40" t="s">
        <v>66</v>
      </c>
      <c r="C2761" s="10">
        <v>63</v>
      </c>
      <c r="D2761" s="10">
        <v>262</v>
      </c>
      <c r="E2761" s="10" t="s">
        <v>39</v>
      </c>
      <c r="F2761" t="s">
        <v>225</v>
      </c>
    </row>
    <row r="2762" spans="1:21" x14ac:dyDescent="0.35">
      <c r="A2762" s="13">
        <v>42811</v>
      </c>
      <c r="B2762" s="40" t="s">
        <v>66</v>
      </c>
      <c r="C2762" s="10">
        <v>69</v>
      </c>
      <c r="D2762" s="10">
        <v>278</v>
      </c>
      <c r="E2762" s="10" t="s">
        <v>39</v>
      </c>
      <c r="F2762" t="s">
        <v>226</v>
      </c>
    </row>
    <row r="2763" spans="1:21" x14ac:dyDescent="0.35">
      <c r="A2763" s="13">
        <v>42811</v>
      </c>
      <c r="B2763" s="40" t="s">
        <v>66</v>
      </c>
      <c r="C2763" s="10">
        <v>76</v>
      </c>
      <c r="D2763" s="10">
        <v>363</v>
      </c>
      <c r="E2763" s="10" t="s">
        <v>39</v>
      </c>
      <c r="F2763" t="s">
        <v>227</v>
      </c>
    </row>
    <row r="2764" spans="1:21" x14ac:dyDescent="0.35">
      <c r="A2764" s="13">
        <v>42811</v>
      </c>
      <c r="B2764" s="40" t="s">
        <v>66</v>
      </c>
      <c r="C2764" s="10">
        <v>66</v>
      </c>
      <c r="D2764" s="10">
        <v>274</v>
      </c>
      <c r="E2764" s="10" t="s">
        <v>34</v>
      </c>
      <c r="F2764" t="s">
        <v>228</v>
      </c>
      <c r="I2764" s="8"/>
      <c r="J2764" s="8"/>
    </row>
    <row r="2765" spans="1:21" x14ac:dyDescent="0.35">
      <c r="A2765" s="13">
        <v>42811</v>
      </c>
      <c r="B2765" s="40" t="s">
        <v>66</v>
      </c>
      <c r="C2765" s="10">
        <v>71</v>
      </c>
      <c r="D2765" s="10">
        <v>313</v>
      </c>
      <c r="E2765" s="10" t="s">
        <v>34</v>
      </c>
    </row>
    <row r="2766" spans="1:21" x14ac:dyDescent="0.35">
      <c r="A2766" s="13">
        <v>42811</v>
      </c>
      <c r="B2766" s="40" t="s">
        <v>66</v>
      </c>
      <c r="C2766" s="10">
        <v>68</v>
      </c>
      <c r="D2766" s="10">
        <v>312</v>
      </c>
      <c r="E2766" s="10" t="s">
        <v>33</v>
      </c>
    </row>
    <row r="2767" spans="1:21" s="4" customFormat="1" x14ac:dyDescent="0.35">
      <c r="A2767" s="3">
        <v>42811</v>
      </c>
      <c r="B2767" s="44" t="s">
        <v>66</v>
      </c>
      <c r="C2767" s="11">
        <v>78</v>
      </c>
      <c r="D2767" s="11">
        <v>478</v>
      </c>
      <c r="E2767" s="11" t="s">
        <v>34</v>
      </c>
    </row>
    <row r="2768" spans="1:21" x14ac:dyDescent="0.35">
      <c r="A2768" s="13">
        <v>42811</v>
      </c>
      <c r="B2768" s="40" t="s">
        <v>63</v>
      </c>
      <c r="C2768" s="10">
        <v>108</v>
      </c>
      <c r="D2768" s="10">
        <v>1356</v>
      </c>
      <c r="E2768" s="10" t="s">
        <v>98</v>
      </c>
    </row>
    <row r="2769" spans="1:9" x14ac:dyDescent="0.35">
      <c r="A2769" s="13">
        <v>42811</v>
      </c>
      <c r="B2769" s="40" t="s">
        <v>63</v>
      </c>
      <c r="C2769" s="10">
        <v>72</v>
      </c>
      <c r="D2769" s="10">
        <v>366</v>
      </c>
      <c r="E2769" s="10" t="s">
        <v>40</v>
      </c>
    </row>
    <row r="2770" spans="1:9" x14ac:dyDescent="0.35">
      <c r="A2770" s="13">
        <v>42811</v>
      </c>
      <c r="B2770" s="40" t="s">
        <v>63</v>
      </c>
      <c r="C2770" s="10">
        <v>69</v>
      </c>
      <c r="D2770" s="10">
        <v>290</v>
      </c>
      <c r="E2770" s="10" t="s">
        <v>40</v>
      </c>
    </row>
    <row r="2771" spans="1:9" x14ac:dyDescent="0.35">
      <c r="A2771" s="13">
        <v>42811</v>
      </c>
      <c r="B2771" s="40" t="s">
        <v>63</v>
      </c>
      <c r="C2771" s="10">
        <v>67</v>
      </c>
      <c r="D2771" s="10">
        <v>230</v>
      </c>
      <c r="E2771" s="10" t="s">
        <v>40</v>
      </c>
    </row>
    <row r="2772" spans="1:9" s="4" customFormat="1" x14ac:dyDescent="0.35">
      <c r="A2772" s="3">
        <v>42811</v>
      </c>
      <c r="B2772" s="44" t="s">
        <v>63</v>
      </c>
      <c r="C2772" s="11">
        <v>68</v>
      </c>
      <c r="D2772" s="11">
        <v>298</v>
      </c>
      <c r="E2772" s="11" t="s">
        <v>36</v>
      </c>
      <c r="I2772" s="51" t="e">
        <f>AVERAGE(#REF!,#REF!)</f>
        <v>#REF!</v>
      </c>
    </row>
    <row r="2773" spans="1:9" s="22" customFormat="1" x14ac:dyDescent="0.35">
      <c r="A2773" s="19">
        <v>42811</v>
      </c>
      <c r="B2773" s="72" t="s">
        <v>114</v>
      </c>
      <c r="C2773" s="20">
        <v>72</v>
      </c>
      <c r="D2773" s="20">
        <v>369</v>
      </c>
      <c r="E2773" s="20" t="s">
        <v>40</v>
      </c>
    </row>
    <row r="2774" spans="1:9" x14ac:dyDescent="0.35">
      <c r="A2774" s="2">
        <v>42811</v>
      </c>
      <c r="B2774" s="36" t="s">
        <v>143</v>
      </c>
      <c r="C2774" s="10">
        <v>70</v>
      </c>
      <c r="D2774" s="10">
        <v>378</v>
      </c>
      <c r="E2774" s="10" t="s">
        <v>39</v>
      </c>
    </row>
    <row r="2775" spans="1:9" s="4" customFormat="1" x14ac:dyDescent="0.35">
      <c r="A2775" s="3">
        <v>42811</v>
      </c>
      <c r="B2775" s="26" t="s">
        <v>143</v>
      </c>
      <c r="C2775" s="11">
        <v>69</v>
      </c>
      <c r="D2775" s="11">
        <v>311</v>
      </c>
      <c r="E2775" s="11" t="s">
        <v>40</v>
      </c>
    </row>
    <row r="2776" spans="1:9" x14ac:dyDescent="0.35">
      <c r="A2776" s="2">
        <v>42812</v>
      </c>
      <c r="B2776" s="70" t="s">
        <v>41</v>
      </c>
      <c r="C2776" s="10">
        <v>73</v>
      </c>
      <c r="D2776" s="10">
        <v>350</v>
      </c>
      <c r="E2776" s="10" t="s">
        <v>40</v>
      </c>
      <c r="F2776" t="s">
        <v>232</v>
      </c>
    </row>
    <row r="2777" spans="1:9" x14ac:dyDescent="0.35">
      <c r="A2777" s="2">
        <v>42812</v>
      </c>
      <c r="B2777" s="70" t="s">
        <v>41</v>
      </c>
      <c r="C2777" s="10">
        <v>75</v>
      </c>
      <c r="D2777" s="10">
        <v>329</v>
      </c>
      <c r="E2777" s="10" t="s">
        <v>33</v>
      </c>
      <c r="F2777" t="s">
        <v>233</v>
      </c>
    </row>
    <row r="2778" spans="1:9" x14ac:dyDescent="0.35">
      <c r="A2778" s="2">
        <v>42812</v>
      </c>
      <c r="B2778" s="70" t="s">
        <v>41</v>
      </c>
      <c r="C2778" s="10">
        <v>70</v>
      </c>
      <c r="D2778" s="10">
        <v>227</v>
      </c>
      <c r="E2778" s="10" t="s">
        <v>39</v>
      </c>
      <c r="F2778" t="s">
        <v>234</v>
      </c>
    </row>
    <row r="2779" spans="1:9" x14ac:dyDescent="0.35">
      <c r="A2779" s="2">
        <v>42812</v>
      </c>
      <c r="B2779" s="70" t="s">
        <v>41</v>
      </c>
      <c r="C2779" s="10">
        <v>72</v>
      </c>
      <c r="D2779" s="10">
        <v>349</v>
      </c>
      <c r="E2779" s="10" t="s">
        <v>36</v>
      </c>
      <c r="F2779" t="s">
        <v>235</v>
      </c>
    </row>
    <row r="2780" spans="1:9" x14ac:dyDescent="0.35">
      <c r="A2780" s="2">
        <v>42812</v>
      </c>
      <c r="B2780" s="70" t="s">
        <v>41</v>
      </c>
      <c r="C2780" s="10">
        <v>76</v>
      </c>
      <c r="D2780" s="10">
        <v>328</v>
      </c>
      <c r="E2780" s="10" t="s">
        <v>33</v>
      </c>
      <c r="F2780" t="s">
        <v>236</v>
      </c>
    </row>
    <row r="2781" spans="1:9" x14ac:dyDescent="0.35">
      <c r="A2781" s="2">
        <v>42812</v>
      </c>
      <c r="B2781" s="70" t="s">
        <v>41</v>
      </c>
      <c r="C2781" s="10">
        <v>76</v>
      </c>
      <c r="D2781" s="10">
        <v>357</v>
      </c>
      <c r="E2781" s="10" t="s">
        <v>39</v>
      </c>
    </row>
    <row r="2782" spans="1:9" x14ac:dyDescent="0.35">
      <c r="A2782" s="2">
        <v>42812</v>
      </c>
      <c r="B2782" s="70" t="s">
        <v>41</v>
      </c>
      <c r="C2782" s="10">
        <v>69</v>
      </c>
      <c r="D2782" s="10">
        <v>282</v>
      </c>
      <c r="E2782" s="10" t="s">
        <v>40</v>
      </c>
    </row>
    <row r="2783" spans="1:9" x14ac:dyDescent="0.35">
      <c r="A2783" s="2">
        <v>42812</v>
      </c>
      <c r="B2783" s="70" t="s">
        <v>41</v>
      </c>
      <c r="C2783" s="10">
        <v>73</v>
      </c>
      <c r="D2783" s="10">
        <v>300</v>
      </c>
      <c r="E2783" s="10" t="s">
        <v>39</v>
      </c>
    </row>
    <row r="2784" spans="1:9" x14ac:dyDescent="0.35">
      <c r="A2784" s="2">
        <v>42812</v>
      </c>
      <c r="B2784" s="70" t="s">
        <v>41</v>
      </c>
      <c r="C2784" s="10">
        <v>70</v>
      </c>
      <c r="D2784" s="10">
        <v>294</v>
      </c>
      <c r="E2784" s="10" t="s">
        <v>33</v>
      </c>
    </row>
    <row r="2785" spans="1:5" x14ac:dyDescent="0.35">
      <c r="A2785" s="2">
        <v>42812</v>
      </c>
      <c r="B2785" s="70" t="s">
        <v>41</v>
      </c>
      <c r="C2785" s="10">
        <v>67</v>
      </c>
      <c r="D2785" s="10">
        <v>235</v>
      </c>
      <c r="E2785" s="10" t="s">
        <v>39</v>
      </c>
    </row>
    <row r="2786" spans="1:5" x14ac:dyDescent="0.35">
      <c r="A2786" s="2">
        <v>42812</v>
      </c>
      <c r="B2786" s="70" t="s">
        <v>41</v>
      </c>
      <c r="C2786" s="10">
        <v>69</v>
      </c>
      <c r="D2786" s="10">
        <v>285</v>
      </c>
      <c r="E2786" s="10" t="s">
        <v>40</v>
      </c>
    </row>
    <row r="2787" spans="1:5" x14ac:dyDescent="0.35">
      <c r="A2787" s="2">
        <v>42812</v>
      </c>
      <c r="B2787" s="70" t="s">
        <v>41</v>
      </c>
      <c r="C2787" s="10">
        <v>68</v>
      </c>
      <c r="D2787" s="10">
        <v>216</v>
      </c>
      <c r="E2787" s="10" t="s">
        <v>33</v>
      </c>
    </row>
    <row r="2788" spans="1:5" x14ac:dyDescent="0.35">
      <c r="A2788" s="2">
        <v>42812</v>
      </c>
      <c r="B2788" s="70" t="s">
        <v>41</v>
      </c>
      <c r="C2788" s="10">
        <v>66</v>
      </c>
      <c r="D2788" s="10">
        <v>212</v>
      </c>
      <c r="E2788" s="10" t="s">
        <v>39</v>
      </c>
    </row>
    <row r="2789" spans="1:5" x14ac:dyDescent="0.35">
      <c r="A2789" s="2">
        <v>42812</v>
      </c>
      <c r="B2789" s="70" t="s">
        <v>41</v>
      </c>
      <c r="C2789" s="10">
        <v>69</v>
      </c>
      <c r="D2789" s="10">
        <v>280</v>
      </c>
      <c r="E2789" s="10" t="s">
        <v>39</v>
      </c>
    </row>
    <row r="2790" spans="1:5" x14ac:dyDescent="0.35">
      <c r="A2790" s="2">
        <v>42812</v>
      </c>
      <c r="B2790" s="70" t="s">
        <v>41</v>
      </c>
      <c r="C2790" s="10">
        <v>69</v>
      </c>
      <c r="D2790" s="10">
        <v>243</v>
      </c>
      <c r="E2790" s="10" t="s">
        <v>39</v>
      </c>
    </row>
    <row r="2791" spans="1:5" x14ac:dyDescent="0.35">
      <c r="A2791" s="2">
        <v>42812</v>
      </c>
      <c r="B2791" s="70" t="s">
        <v>41</v>
      </c>
      <c r="C2791" s="10">
        <v>65</v>
      </c>
      <c r="D2791" s="10">
        <v>200</v>
      </c>
      <c r="E2791" s="10" t="s">
        <v>33</v>
      </c>
    </row>
    <row r="2792" spans="1:5" x14ac:dyDescent="0.35">
      <c r="A2792" s="2">
        <v>42812</v>
      </c>
      <c r="B2792" s="70" t="s">
        <v>41</v>
      </c>
      <c r="C2792" s="10">
        <v>74</v>
      </c>
      <c r="D2792" s="10">
        <v>386</v>
      </c>
      <c r="E2792" s="10" t="s">
        <v>34</v>
      </c>
    </row>
    <row r="2793" spans="1:5" x14ac:dyDescent="0.35">
      <c r="A2793" s="2">
        <v>42812</v>
      </c>
      <c r="B2793" s="70" t="s">
        <v>41</v>
      </c>
      <c r="C2793" s="10">
        <v>57</v>
      </c>
      <c r="D2793" s="10">
        <v>239</v>
      </c>
      <c r="E2793" s="10" t="s">
        <v>39</v>
      </c>
    </row>
    <row r="2794" spans="1:5" x14ac:dyDescent="0.35">
      <c r="A2794" s="2">
        <v>42812</v>
      </c>
      <c r="B2794" s="70" t="s">
        <v>41</v>
      </c>
      <c r="C2794" s="10">
        <v>63</v>
      </c>
      <c r="D2794" s="10">
        <v>212</v>
      </c>
      <c r="E2794" s="10" t="s">
        <v>36</v>
      </c>
    </row>
    <row r="2795" spans="1:5" x14ac:dyDescent="0.35">
      <c r="A2795" s="2">
        <v>42812</v>
      </c>
      <c r="B2795" s="70" t="s">
        <v>41</v>
      </c>
      <c r="C2795" s="10">
        <v>69</v>
      </c>
      <c r="D2795" s="10">
        <v>262</v>
      </c>
      <c r="E2795" s="10" t="s">
        <v>40</v>
      </c>
    </row>
    <row r="2796" spans="1:5" x14ac:dyDescent="0.35">
      <c r="A2796" s="2">
        <v>42812</v>
      </c>
      <c r="B2796" s="70" t="s">
        <v>41</v>
      </c>
      <c r="C2796" s="10">
        <v>75</v>
      </c>
      <c r="D2796" s="10">
        <v>393</v>
      </c>
      <c r="E2796" s="10" t="s">
        <v>40</v>
      </c>
    </row>
    <row r="2797" spans="1:5" x14ac:dyDescent="0.35">
      <c r="A2797" s="2">
        <v>42812</v>
      </c>
      <c r="B2797" s="70" t="s">
        <v>41</v>
      </c>
      <c r="C2797" s="10">
        <v>70</v>
      </c>
      <c r="D2797" s="10">
        <v>335</v>
      </c>
      <c r="E2797" s="10" t="s">
        <v>36</v>
      </c>
    </row>
    <row r="2798" spans="1:5" x14ac:dyDescent="0.35">
      <c r="A2798" s="2">
        <v>42812</v>
      </c>
      <c r="B2798" s="70" t="s">
        <v>41</v>
      </c>
      <c r="C2798" s="10">
        <v>73</v>
      </c>
      <c r="D2798" s="10">
        <v>302</v>
      </c>
      <c r="E2798" s="10" t="s">
        <v>33</v>
      </c>
    </row>
    <row r="2799" spans="1:5" x14ac:dyDescent="0.35">
      <c r="A2799" s="2">
        <v>42812</v>
      </c>
      <c r="B2799" s="70" t="s">
        <v>41</v>
      </c>
      <c r="C2799" s="10">
        <v>70</v>
      </c>
      <c r="D2799" s="10">
        <v>322</v>
      </c>
      <c r="E2799" s="10" t="s">
        <v>33</v>
      </c>
    </row>
    <row r="2800" spans="1:5" x14ac:dyDescent="0.35">
      <c r="A2800" s="2">
        <v>42812</v>
      </c>
      <c r="B2800" s="70" t="s">
        <v>41</v>
      </c>
      <c r="C2800" s="10">
        <v>70</v>
      </c>
      <c r="D2800" s="10">
        <v>324</v>
      </c>
      <c r="E2800" s="10" t="s">
        <v>39</v>
      </c>
    </row>
    <row r="2801" spans="1:5" x14ac:dyDescent="0.35">
      <c r="A2801" s="2">
        <v>42812</v>
      </c>
      <c r="B2801" s="70" t="s">
        <v>41</v>
      </c>
      <c r="C2801" s="10">
        <v>74</v>
      </c>
      <c r="D2801" s="10">
        <v>354</v>
      </c>
      <c r="E2801" s="10" t="s">
        <v>40</v>
      </c>
    </row>
    <row r="2802" spans="1:5" x14ac:dyDescent="0.35">
      <c r="A2802" s="2">
        <v>42812</v>
      </c>
      <c r="B2802" s="70" t="s">
        <v>41</v>
      </c>
      <c r="C2802" s="10">
        <v>74</v>
      </c>
      <c r="D2802" s="10">
        <v>324</v>
      </c>
      <c r="E2802" s="10" t="s">
        <v>39</v>
      </c>
    </row>
    <row r="2803" spans="1:5" x14ac:dyDescent="0.35">
      <c r="A2803" s="2">
        <v>42812</v>
      </c>
      <c r="B2803" s="70" t="s">
        <v>41</v>
      </c>
      <c r="C2803" s="10">
        <v>69</v>
      </c>
      <c r="D2803" s="10">
        <v>332</v>
      </c>
      <c r="E2803" s="10" t="s">
        <v>36</v>
      </c>
    </row>
    <row r="2804" spans="1:5" x14ac:dyDescent="0.35">
      <c r="A2804" s="2">
        <v>42812</v>
      </c>
      <c r="B2804" s="70" t="s">
        <v>41</v>
      </c>
      <c r="C2804" s="10">
        <v>72</v>
      </c>
      <c r="D2804" s="10">
        <v>317</v>
      </c>
      <c r="E2804" s="10" t="s">
        <v>33</v>
      </c>
    </row>
    <row r="2805" spans="1:5" x14ac:dyDescent="0.35">
      <c r="A2805" s="2">
        <v>42812</v>
      </c>
      <c r="B2805" s="70" t="s">
        <v>41</v>
      </c>
      <c r="C2805" s="10">
        <v>70</v>
      </c>
      <c r="D2805" s="10">
        <v>350</v>
      </c>
      <c r="E2805" s="10" t="s">
        <v>33</v>
      </c>
    </row>
    <row r="2806" spans="1:5" x14ac:dyDescent="0.35">
      <c r="A2806" s="2">
        <v>42812</v>
      </c>
      <c r="B2806" s="70" t="s">
        <v>41</v>
      </c>
      <c r="C2806" s="10">
        <v>69</v>
      </c>
      <c r="D2806" s="10">
        <v>314</v>
      </c>
      <c r="E2806" s="10" t="s">
        <v>39</v>
      </c>
    </row>
    <row r="2807" spans="1:5" x14ac:dyDescent="0.35">
      <c r="A2807" s="2">
        <v>42812</v>
      </c>
      <c r="B2807" s="70" t="s">
        <v>41</v>
      </c>
      <c r="C2807" s="10">
        <v>69</v>
      </c>
      <c r="D2807" s="10">
        <v>292</v>
      </c>
      <c r="E2807" s="10" t="s">
        <v>39</v>
      </c>
    </row>
    <row r="2808" spans="1:5" x14ac:dyDescent="0.35">
      <c r="A2808" s="2">
        <v>42812</v>
      </c>
      <c r="B2808" s="70" t="s">
        <v>41</v>
      </c>
      <c r="C2808" s="10">
        <v>68</v>
      </c>
      <c r="D2808" s="10">
        <v>310</v>
      </c>
      <c r="E2808" s="10" t="s">
        <v>40</v>
      </c>
    </row>
    <row r="2809" spans="1:5" x14ac:dyDescent="0.35">
      <c r="A2809" s="2">
        <v>42812</v>
      </c>
      <c r="B2809" s="70" t="s">
        <v>41</v>
      </c>
      <c r="C2809" s="10">
        <v>69</v>
      </c>
      <c r="D2809" s="10">
        <v>307</v>
      </c>
      <c r="E2809" s="10" t="s">
        <v>40</v>
      </c>
    </row>
    <row r="2810" spans="1:5" x14ac:dyDescent="0.35">
      <c r="A2810" s="2">
        <v>42812</v>
      </c>
      <c r="B2810" s="70" t="s">
        <v>41</v>
      </c>
      <c r="C2810" s="10">
        <v>71</v>
      </c>
      <c r="D2810" s="10">
        <v>302</v>
      </c>
      <c r="E2810" s="10" t="s">
        <v>39</v>
      </c>
    </row>
    <row r="2811" spans="1:5" x14ac:dyDescent="0.35">
      <c r="A2811" s="2">
        <v>42812</v>
      </c>
      <c r="B2811" s="70" t="s">
        <v>41</v>
      </c>
      <c r="C2811" s="10">
        <v>75</v>
      </c>
      <c r="D2811" s="10">
        <v>349</v>
      </c>
      <c r="E2811" s="10" t="s">
        <v>33</v>
      </c>
    </row>
    <row r="2812" spans="1:5" x14ac:dyDescent="0.35">
      <c r="A2812" s="2">
        <v>42812</v>
      </c>
      <c r="B2812" s="70" t="s">
        <v>41</v>
      </c>
      <c r="C2812" s="10">
        <v>65</v>
      </c>
      <c r="D2812" s="10">
        <v>244</v>
      </c>
      <c r="E2812" s="10" t="s">
        <v>39</v>
      </c>
    </row>
    <row r="2813" spans="1:5" x14ac:dyDescent="0.35">
      <c r="A2813" s="2">
        <v>42812</v>
      </c>
      <c r="B2813" s="70" t="s">
        <v>41</v>
      </c>
      <c r="C2813" s="10">
        <v>73</v>
      </c>
      <c r="D2813" s="10">
        <v>372</v>
      </c>
      <c r="E2813" s="10" t="s">
        <v>33</v>
      </c>
    </row>
    <row r="2814" spans="1:5" x14ac:dyDescent="0.35">
      <c r="A2814" s="2">
        <v>42812</v>
      </c>
      <c r="B2814" s="70" t="s">
        <v>41</v>
      </c>
      <c r="C2814" s="10">
        <v>72</v>
      </c>
      <c r="D2814" s="10">
        <v>352</v>
      </c>
      <c r="E2814" s="10" t="s">
        <v>39</v>
      </c>
    </row>
    <row r="2815" spans="1:5" x14ac:dyDescent="0.35">
      <c r="A2815" s="2">
        <v>42812</v>
      </c>
      <c r="B2815" s="70" t="s">
        <v>41</v>
      </c>
      <c r="C2815" s="10">
        <v>67</v>
      </c>
      <c r="D2815" s="10">
        <v>294</v>
      </c>
      <c r="E2815" s="10" t="s">
        <v>33</v>
      </c>
    </row>
    <row r="2816" spans="1:5" x14ac:dyDescent="0.35">
      <c r="A2816" s="2">
        <v>42812</v>
      </c>
      <c r="B2816" s="70" t="s">
        <v>41</v>
      </c>
      <c r="C2816" s="10">
        <v>70</v>
      </c>
      <c r="D2816" s="10">
        <v>255</v>
      </c>
      <c r="E2816" s="10" t="s">
        <v>39</v>
      </c>
    </row>
    <row r="2817" spans="1:21" x14ac:dyDescent="0.35">
      <c r="A2817" s="2">
        <v>42812</v>
      </c>
      <c r="B2817" s="70" t="s">
        <v>41</v>
      </c>
      <c r="C2817" s="10">
        <v>77</v>
      </c>
      <c r="D2817" s="10">
        <v>422</v>
      </c>
      <c r="E2817" s="10" t="s">
        <v>33</v>
      </c>
    </row>
    <row r="2818" spans="1:21" x14ac:dyDescent="0.35">
      <c r="A2818" s="2">
        <v>42812</v>
      </c>
      <c r="B2818" s="70" t="s">
        <v>41</v>
      </c>
      <c r="C2818" s="10">
        <v>69</v>
      </c>
      <c r="D2818" s="10">
        <v>321</v>
      </c>
      <c r="E2818" s="10" t="s">
        <v>33</v>
      </c>
    </row>
    <row r="2819" spans="1:21" x14ac:dyDescent="0.35">
      <c r="A2819" s="2">
        <v>42812</v>
      </c>
      <c r="B2819" s="70" t="s">
        <v>41</v>
      </c>
      <c r="C2819" s="10">
        <v>71</v>
      </c>
      <c r="D2819" s="10">
        <v>285</v>
      </c>
      <c r="E2819" s="10" t="s">
        <v>39</v>
      </c>
    </row>
    <row r="2820" spans="1:21" x14ac:dyDescent="0.35">
      <c r="A2820" s="2">
        <v>42812</v>
      </c>
      <c r="B2820" s="70" t="s">
        <v>41</v>
      </c>
      <c r="C2820" s="10">
        <v>76</v>
      </c>
      <c r="D2820" s="10">
        <v>338</v>
      </c>
      <c r="E2820" s="10" t="s">
        <v>39</v>
      </c>
    </row>
    <row r="2821" spans="1:21" x14ac:dyDescent="0.35">
      <c r="A2821" s="2">
        <v>42812</v>
      </c>
      <c r="B2821" s="70" t="s">
        <v>41</v>
      </c>
      <c r="C2821" s="10">
        <v>65</v>
      </c>
      <c r="D2821" s="10">
        <v>240</v>
      </c>
      <c r="E2821" s="10" t="s">
        <v>36</v>
      </c>
    </row>
    <row r="2822" spans="1:21" x14ac:dyDescent="0.35">
      <c r="A2822" s="2">
        <v>42812</v>
      </c>
      <c r="B2822" s="70" t="s">
        <v>41</v>
      </c>
      <c r="C2822" s="10">
        <v>77</v>
      </c>
      <c r="D2822" s="10">
        <v>330</v>
      </c>
      <c r="E2822" s="10" t="s">
        <v>40</v>
      </c>
    </row>
    <row r="2823" spans="1:21" x14ac:dyDescent="0.35">
      <c r="A2823" s="2">
        <v>42812</v>
      </c>
      <c r="B2823" s="70" t="s">
        <v>41</v>
      </c>
      <c r="C2823" s="10">
        <v>70</v>
      </c>
      <c r="D2823" s="10">
        <v>300</v>
      </c>
      <c r="E2823" s="10" t="s">
        <v>39</v>
      </c>
      <c r="I2823" t="s">
        <v>42</v>
      </c>
      <c r="J2823" t="s">
        <v>39</v>
      </c>
      <c r="K2823" t="s">
        <v>40</v>
      </c>
      <c r="L2823" t="s">
        <v>36</v>
      </c>
      <c r="M2823" t="s">
        <v>33</v>
      </c>
      <c r="N2823" t="s">
        <v>34</v>
      </c>
      <c r="O2823" t="s">
        <v>32</v>
      </c>
      <c r="P2823" t="s">
        <v>37</v>
      </c>
      <c r="R2823" t="s">
        <v>43</v>
      </c>
      <c r="S2823" t="s">
        <v>44</v>
      </c>
    </row>
    <row r="2824" spans="1:21" x14ac:dyDescent="0.35">
      <c r="A2824" s="2">
        <v>42812</v>
      </c>
      <c r="B2824" s="70" t="s">
        <v>41</v>
      </c>
      <c r="C2824" s="10">
        <v>76</v>
      </c>
      <c r="D2824" s="10">
        <v>396</v>
      </c>
      <c r="E2824" s="10" t="s">
        <v>33</v>
      </c>
      <c r="I2824" s="5">
        <f>COUNTIF(E2776:E2825,"VA")</f>
        <v>0</v>
      </c>
      <c r="J2824" s="5">
        <f>COUNTIF(E2776:E2825,"VB")</f>
        <v>20</v>
      </c>
      <c r="K2824" s="5">
        <f>COUNTIF(E2776:E2825,"VIA0")</f>
        <v>9</v>
      </c>
      <c r="L2824" s="5">
        <f>COUNTIF(E2776:E2825,"VIA1")</f>
        <v>5</v>
      </c>
      <c r="M2824" s="5">
        <f>COUNTIF(E2776:E2825,"VIA2")</f>
        <v>15</v>
      </c>
      <c r="N2824" s="5">
        <f>COUNTIF(E2776:E2825,"VIA3")</f>
        <v>1</v>
      </c>
      <c r="O2824" s="5">
        <f>COUNTIF(E2776:E2825,"VIA4")</f>
        <v>0</v>
      </c>
      <c r="P2824" s="5">
        <f>COUNTIF(E2720:E2825,"VIB")</f>
        <v>0</v>
      </c>
      <c r="R2824" s="7">
        <f>AVERAGE(C2776:C2825)</f>
        <v>70.400000000000006</v>
      </c>
      <c r="S2824" s="7">
        <f>AVERAGE(D2776:D2825)</f>
        <v>304.44</v>
      </c>
      <c r="T2824" s="7"/>
      <c r="U2824" s="7" t="e">
        <f>AVERAGE(#REF!)</f>
        <v>#REF!</v>
      </c>
    </row>
    <row r="2825" spans="1:21" s="4" customFormat="1" x14ac:dyDescent="0.35">
      <c r="A2825" s="3">
        <v>42812</v>
      </c>
      <c r="B2825" s="44" t="s">
        <v>41</v>
      </c>
      <c r="C2825" s="11">
        <v>64</v>
      </c>
      <c r="D2825" s="11">
        <v>260</v>
      </c>
      <c r="E2825" s="11" t="s">
        <v>39</v>
      </c>
      <c r="I2825" s="6">
        <f>I2824/50*100</f>
        <v>0</v>
      </c>
      <c r="J2825" s="6">
        <f t="shared" ref="J2825:P2825" si="87">J2824/50*100</f>
        <v>40</v>
      </c>
      <c r="K2825" s="6">
        <f t="shared" si="87"/>
        <v>18</v>
      </c>
      <c r="L2825" s="6">
        <f t="shared" si="87"/>
        <v>10</v>
      </c>
      <c r="M2825" s="6">
        <f t="shared" si="87"/>
        <v>30</v>
      </c>
      <c r="N2825" s="6">
        <f t="shared" si="87"/>
        <v>2</v>
      </c>
      <c r="O2825" s="6">
        <f t="shared" si="87"/>
        <v>0</v>
      </c>
      <c r="P2825" s="6">
        <f t="shared" si="87"/>
        <v>0</v>
      </c>
    </row>
    <row r="2826" spans="1:21" x14ac:dyDescent="0.35">
      <c r="A2826" s="2">
        <v>42814</v>
      </c>
      <c r="B2826" s="70" t="s">
        <v>29</v>
      </c>
      <c r="C2826" s="10">
        <v>111</v>
      </c>
      <c r="D2826" s="10">
        <v>1474</v>
      </c>
      <c r="E2826" s="10" t="s">
        <v>98</v>
      </c>
    </row>
    <row r="2827" spans="1:21" x14ac:dyDescent="0.35">
      <c r="A2827" s="2">
        <v>42814</v>
      </c>
      <c r="B2827" s="70" t="s">
        <v>29</v>
      </c>
      <c r="C2827" s="10">
        <v>184</v>
      </c>
      <c r="D2827" s="10">
        <v>9089</v>
      </c>
      <c r="E2827" s="10" t="s">
        <v>98</v>
      </c>
    </row>
    <row r="2828" spans="1:21" x14ac:dyDescent="0.35">
      <c r="A2828" s="2">
        <v>42814</v>
      </c>
      <c r="B2828" s="70" t="s">
        <v>29</v>
      </c>
      <c r="C2828" s="10">
        <v>118</v>
      </c>
      <c r="D2828" s="10">
        <v>2236</v>
      </c>
      <c r="E2828" s="10" t="s">
        <v>98</v>
      </c>
    </row>
    <row r="2829" spans="1:21" x14ac:dyDescent="0.35">
      <c r="A2829" s="2">
        <v>42814</v>
      </c>
      <c r="B2829" s="70" t="s">
        <v>29</v>
      </c>
      <c r="C2829" s="10">
        <v>113</v>
      </c>
      <c r="D2829" s="10">
        <v>1165</v>
      </c>
      <c r="E2829" s="10" t="s">
        <v>98</v>
      </c>
    </row>
    <row r="2830" spans="1:21" x14ac:dyDescent="0.35">
      <c r="A2830" s="2">
        <v>42814</v>
      </c>
      <c r="B2830" s="70" t="s">
        <v>29</v>
      </c>
      <c r="C2830" s="10">
        <v>110</v>
      </c>
      <c r="D2830" s="10">
        <v>1585</v>
      </c>
      <c r="E2830" s="10" t="s">
        <v>98</v>
      </c>
    </row>
    <row r="2831" spans="1:21" x14ac:dyDescent="0.35">
      <c r="A2831" s="2">
        <v>42814</v>
      </c>
      <c r="B2831" s="70" t="s">
        <v>29</v>
      </c>
      <c r="C2831" s="10">
        <v>118</v>
      </c>
      <c r="D2831" s="10">
        <v>1726</v>
      </c>
      <c r="E2831" s="10" t="s">
        <v>98</v>
      </c>
    </row>
    <row r="2832" spans="1:21" x14ac:dyDescent="0.35">
      <c r="A2832" s="2">
        <v>42814</v>
      </c>
      <c r="B2832" s="70" t="s">
        <v>29</v>
      </c>
      <c r="C2832" s="10">
        <v>123</v>
      </c>
      <c r="D2832" s="10">
        <v>1920</v>
      </c>
      <c r="E2832" s="10" t="s">
        <v>98</v>
      </c>
    </row>
    <row r="2833" spans="1:7" x14ac:dyDescent="0.35">
      <c r="A2833" s="2">
        <v>42814</v>
      </c>
      <c r="B2833" s="70" t="s">
        <v>29</v>
      </c>
      <c r="C2833" s="10">
        <v>98</v>
      </c>
      <c r="D2833" s="10">
        <v>958</v>
      </c>
      <c r="E2833" s="10" t="s">
        <v>98</v>
      </c>
    </row>
    <row r="2834" spans="1:7" x14ac:dyDescent="0.35">
      <c r="A2834" s="2">
        <v>42814</v>
      </c>
      <c r="B2834" s="70" t="s">
        <v>29</v>
      </c>
      <c r="C2834" s="10">
        <v>110</v>
      </c>
      <c r="D2834" s="10">
        <v>1736</v>
      </c>
      <c r="E2834" s="10" t="s">
        <v>98</v>
      </c>
    </row>
    <row r="2835" spans="1:7" x14ac:dyDescent="0.35">
      <c r="A2835" s="2">
        <v>42814</v>
      </c>
      <c r="B2835" s="70" t="s">
        <v>29</v>
      </c>
      <c r="C2835" s="10">
        <v>115</v>
      </c>
      <c r="D2835" s="10">
        <v>1824</v>
      </c>
      <c r="E2835" s="10" t="s">
        <v>98</v>
      </c>
    </row>
    <row r="2836" spans="1:7" x14ac:dyDescent="0.35">
      <c r="A2836" s="2">
        <v>42814</v>
      </c>
      <c r="B2836" s="70" t="s">
        <v>29</v>
      </c>
      <c r="C2836" s="10">
        <v>103</v>
      </c>
      <c r="D2836" s="10">
        <v>1288</v>
      </c>
      <c r="E2836" s="10" t="s">
        <v>98</v>
      </c>
    </row>
    <row r="2837" spans="1:7" x14ac:dyDescent="0.35">
      <c r="A2837" s="2">
        <v>42814</v>
      </c>
      <c r="B2837" s="70" t="s">
        <v>29</v>
      </c>
      <c r="C2837" s="10">
        <v>120</v>
      </c>
      <c r="D2837" s="10">
        <v>1854</v>
      </c>
      <c r="E2837" s="10" t="s">
        <v>98</v>
      </c>
    </row>
    <row r="2838" spans="1:7" x14ac:dyDescent="0.35">
      <c r="A2838" s="2">
        <v>42814</v>
      </c>
      <c r="B2838" s="70" t="s">
        <v>29</v>
      </c>
      <c r="C2838" s="10">
        <v>108</v>
      </c>
      <c r="D2838" s="10">
        <v>1367</v>
      </c>
      <c r="E2838" s="10" t="s">
        <v>98</v>
      </c>
    </row>
    <row r="2839" spans="1:7" x14ac:dyDescent="0.35">
      <c r="A2839" s="2">
        <v>42814</v>
      </c>
      <c r="B2839" s="70" t="s">
        <v>29</v>
      </c>
      <c r="C2839" s="10">
        <v>90</v>
      </c>
      <c r="D2839" s="10">
        <v>820</v>
      </c>
      <c r="E2839" s="10" t="s">
        <v>98</v>
      </c>
    </row>
    <row r="2840" spans="1:7" x14ac:dyDescent="0.35">
      <c r="A2840" s="2">
        <v>42814</v>
      </c>
      <c r="B2840" s="70" t="s">
        <v>29</v>
      </c>
      <c r="C2840" s="10">
        <v>92</v>
      </c>
      <c r="D2840" s="10">
        <v>500</v>
      </c>
      <c r="E2840" s="10" t="s">
        <v>98</v>
      </c>
    </row>
    <row r="2841" spans="1:7" x14ac:dyDescent="0.35">
      <c r="A2841" s="2">
        <v>42814</v>
      </c>
      <c r="B2841" s="70" t="s">
        <v>29</v>
      </c>
      <c r="C2841" s="10">
        <v>115</v>
      </c>
      <c r="D2841" s="10">
        <v>1509</v>
      </c>
      <c r="E2841" s="10" t="s">
        <v>98</v>
      </c>
    </row>
    <row r="2842" spans="1:7" x14ac:dyDescent="0.35">
      <c r="A2842" s="2">
        <v>42814</v>
      </c>
      <c r="B2842" s="70" t="s">
        <v>29</v>
      </c>
      <c r="C2842" s="10">
        <v>117</v>
      </c>
      <c r="D2842" s="10">
        <v>1552</v>
      </c>
      <c r="E2842" s="10" t="s">
        <v>98</v>
      </c>
    </row>
    <row r="2843" spans="1:7" x14ac:dyDescent="0.35">
      <c r="A2843" s="2">
        <v>42814</v>
      </c>
      <c r="B2843" s="70" t="s">
        <v>29</v>
      </c>
      <c r="C2843" s="10">
        <v>100</v>
      </c>
      <c r="D2843" s="10">
        <v>1039</v>
      </c>
      <c r="E2843" s="10" t="s">
        <v>98</v>
      </c>
    </row>
    <row r="2844" spans="1:7" x14ac:dyDescent="0.35">
      <c r="A2844" s="2">
        <v>42814</v>
      </c>
      <c r="B2844" s="70" t="s">
        <v>29</v>
      </c>
      <c r="C2844" s="10">
        <v>102</v>
      </c>
      <c r="D2844" s="10">
        <v>1416</v>
      </c>
      <c r="E2844" s="10" t="s">
        <v>98</v>
      </c>
    </row>
    <row r="2845" spans="1:7" x14ac:dyDescent="0.35">
      <c r="A2845" s="2">
        <v>42814</v>
      </c>
      <c r="B2845" s="70" t="s">
        <v>29</v>
      </c>
      <c r="C2845" s="10">
        <v>123</v>
      </c>
      <c r="D2845" s="10">
        <v>1964</v>
      </c>
      <c r="E2845" s="10" t="s">
        <v>98</v>
      </c>
    </row>
    <row r="2846" spans="1:7" x14ac:dyDescent="0.35">
      <c r="A2846" s="2">
        <v>42814</v>
      </c>
      <c r="B2846" s="70" t="s">
        <v>29</v>
      </c>
      <c r="C2846" s="10">
        <v>114</v>
      </c>
      <c r="D2846" s="10">
        <v>1524</v>
      </c>
      <c r="E2846" s="10" t="s">
        <v>98</v>
      </c>
    </row>
    <row r="2847" spans="1:7" x14ac:dyDescent="0.35">
      <c r="A2847" s="2">
        <v>42814</v>
      </c>
      <c r="B2847" s="70" t="s">
        <v>29</v>
      </c>
      <c r="C2847" s="10">
        <v>103</v>
      </c>
      <c r="D2847" s="10">
        <v>1144</v>
      </c>
      <c r="E2847" s="10" t="s">
        <v>98</v>
      </c>
      <c r="G2847" s="42" t="e">
        <f>AVERAGE(#REF!)</f>
        <v>#REF!</v>
      </c>
    </row>
    <row r="2848" spans="1:7" x14ac:dyDescent="0.35">
      <c r="A2848" s="2">
        <v>42814</v>
      </c>
      <c r="B2848" s="70" t="s">
        <v>29</v>
      </c>
      <c r="C2848" s="10">
        <v>73</v>
      </c>
      <c r="D2848" s="10">
        <v>356</v>
      </c>
      <c r="E2848" s="10" t="s">
        <v>34</v>
      </c>
    </row>
    <row r="2849" spans="1:5" x14ac:dyDescent="0.35">
      <c r="A2849" s="2">
        <v>42814</v>
      </c>
      <c r="B2849" s="70" t="s">
        <v>29</v>
      </c>
      <c r="C2849" s="10">
        <v>74</v>
      </c>
      <c r="D2849" s="10">
        <v>328</v>
      </c>
      <c r="E2849" s="10" t="s">
        <v>40</v>
      </c>
    </row>
    <row r="2850" spans="1:5" x14ac:dyDescent="0.35">
      <c r="A2850" s="2">
        <v>42814</v>
      </c>
      <c r="B2850" s="70" t="s">
        <v>29</v>
      </c>
      <c r="C2850" s="10">
        <v>69</v>
      </c>
      <c r="D2850" s="10">
        <v>266</v>
      </c>
      <c r="E2850" s="10" t="s">
        <v>39</v>
      </c>
    </row>
    <row r="2851" spans="1:5" x14ac:dyDescent="0.35">
      <c r="A2851" s="2">
        <v>42814</v>
      </c>
      <c r="B2851" s="70" t="s">
        <v>29</v>
      </c>
      <c r="C2851" s="10">
        <v>71</v>
      </c>
      <c r="D2851" s="10">
        <v>315</v>
      </c>
      <c r="E2851" s="10" t="s">
        <v>39</v>
      </c>
    </row>
    <row r="2852" spans="1:5" x14ac:dyDescent="0.35">
      <c r="A2852" s="2">
        <v>42814</v>
      </c>
      <c r="B2852" s="70" t="s">
        <v>29</v>
      </c>
      <c r="C2852" s="10">
        <v>65</v>
      </c>
      <c r="D2852" s="10">
        <v>228</v>
      </c>
      <c r="E2852" s="10" t="s">
        <v>40</v>
      </c>
    </row>
    <row r="2853" spans="1:5" x14ac:dyDescent="0.35">
      <c r="A2853" s="2">
        <v>42814</v>
      </c>
      <c r="B2853" s="70" t="s">
        <v>29</v>
      </c>
      <c r="C2853" s="10">
        <v>74</v>
      </c>
      <c r="D2853" s="10">
        <v>332</v>
      </c>
      <c r="E2853" s="10" t="s">
        <v>39</v>
      </c>
    </row>
    <row r="2854" spans="1:5" x14ac:dyDescent="0.35">
      <c r="A2854" s="2">
        <v>42814</v>
      </c>
      <c r="B2854" s="70" t="s">
        <v>29</v>
      </c>
      <c r="C2854" s="10">
        <v>75</v>
      </c>
      <c r="D2854" s="10">
        <v>364</v>
      </c>
      <c r="E2854" s="10" t="s">
        <v>40</v>
      </c>
    </row>
    <row r="2855" spans="1:5" x14ac:dyDescent="0.35">
      <c r="A2855" s="2">
        <v>42814</v>
      </c>
      <c r="B2855" s="70" t="s">
        <v>29</v>
      </c>
      <c r="C2855" s="10">
        <v>71</v>
      </c>
      <c r="D2855" s="10">
        <v>323</v>
      </c>
      <c r="E2855" s="10" t="s">
        <v>40</v>
      </c>
    </row>
    <row r="2856" spans="1:5" x14ac:dyDescent="0.35">
      <c r="A2856" s="2">
        <v>42814</v>
      </c>
      <c r="B2856" s="70" t="s">
        <v>29</v>
      </c>
      <c r="C2856" s="10">
        <v>73</v>
      </c>
      <c r="D2856" s="10">
        <v>376</v>
      </c>
      <c r="E2856" s="10" t="s">
        <v>36</v>
      </c>
    </row>
    <row r="2857" spans="1:5" x14ac:dyDescent="0.35">
      <c r="A2857" s="2">
        <v>42814</v>
      </c>
      <c r="B2857" s="70" t="s">
        <v>29</v>
      </c>
      <c r="C2857" s="10">
        <v>71</v>
      </c>
      <c r="D2857" s="10">
        <v>365</v>
      </c>
      <c r="E2857" s="10" t="s">
        <v>34</v>
      </c>
    </row>
    <row r="2858" spans="1:5" x14ac:dyDescent="0.35">
      <c r="A2858" s="2">
        <v>42814</v>
      </c>
      <c r="B2858" s="70" t="s">
        <v>29</v>
      </c>
      <c r="C2858" s="10">
        <v>69</v>
      </c>
      <c r="D2858" s="10">
        <v>288</v>
      </c>
      <c r="E2858" s="10" t="s">
        <v>40</v>
      </c>
    </row>
    <row r="2859" spans="1:5" x14ac:dyDescent="0.35">
      <c r="A2859" s="2">
        <v>42814</v>
      </c>
      <c r="B2859" s="70" t="s">
        <v>29</v>
      </c>
      <c r="C2859" s="10">
        <v>68</v>
      </c>
      <c r="D2859" s="10">
        <v>289</v>
      </c>
      <c r="E2859" s="10" t="s">
        <v>40</v>
      </c>
    </row>
    <row r="2860" spans="1:5" x14ac:dyDescent="0.35">
      <c r="A2860" s="2">
        <v>42814</v>
      </c>
      <c r="B2860" s="70" t="s">
        <v>29</v>
      </c>
      <c r="C2860" s="10">
        <v>69</v>
      </c>
      <c r="D2860" s="10">
        <v>297</v>
      </c>
      <c r="E2860" s="10" t="s">
        <v>39</v>
      </c>
    </row>
    <row r="2861" spans="1:5" x14ac:dyDescent="0.35">
      <c r="A2861" s="2">
        <v>42814</v>
      </c>
      <c r="B2861" s="70" t="s">
        <v>29</v>
      </c>
      <c r="C2861" s="10">
        <v>72</v>
      </c>
      <c r="D2861" s="10">
        <v>299</v>
      </c>
      <c r="E2861" s="10" t="s">
        <v>39</v>
      </c>
    </row>
    <row r="2862" spans="1:5" x14ac:dyDescent="0.35">
      <c r="A2862" s="2">
        <v>42814</v>
      </c>
      <c r="B2862" s="70" t="s">
        <v>29</v>
      </c>
      <c r="C2862" s="10">
        <v>69</v>
      </c>
      <c r="D2862" s="10">
        <v>322</v>
      </c>
      <c r="E2862" s="10" t="s">
        <v>39</v>
      </c>
    </row>
    <row r="2863" spans="1:5" x14ac:dyDescent="0.35">
      <c r="A2863" s="2">
        <v>42814</v>
      </c>
      <c r="B2863" s="70" t="s">
        <v>29</v>
      </c>
      <c r="C2863" s="10">
        <v>70</v>
      </c>
      <c r="D2863" s="10">
        <v>298</v>
      </c>
      <c r="E2863" s="10" t="s">
        <v>40</v>
      </c>
    </row>
    <row r="2864" spans="1:5" x14ac:dyDescent="0.35">
      <c r="A2864" s="2">
        <v>42814</v>
      </c>
      <c r="B2864" s="70" t="s">
        <v>29</v>
      </c>
      <c r="C2864" s="10">
        <v>71</v>
      </c>
      <c r="D2864" s="10">
        <v>330</v>
      </c>
      <c r="E2864" s="10" t="s">
        <v>34</v>
      </c>
    </row>
    <row r="2865" spans="1:5" x14ac:dyDescent="0.35">
      <c r="A2865" s="2">
        <v>42814</v>
      </c>
      <c r="B2865" s="70" t="s">
        <v>29</v>
      </c>
      <c r="C2865" s="10">
        <v>74</v>
      </c>
      <c r="D2865" s="10">
        <v>364</v>
      </c>
      <c r="E2865" s="10" t="s">
        <v>34</v>
      </c>
    </row>
    <row r="2866" spans="1:5" x14ac:dyDescent="0.35">
      <c r="A2866" s="2">
        <v>42814</v>
      </c>
      <c r="B2866" s="70" t="s">
        <v>29</v>
      </c>
      <c r="C2866" s="10">
        <v>72</v>
      </c>
      <c r="D2866" s="10">
        <v>313</v>
      </c>
      <c r="E2866" s="10" t="s">
        <v>40</v>
      </c>
    </row>
    <row r="2867" spans="1:5" x14ac:dyDescent="0.35">
      <c r="A2867" s="2">
        <v>42814</v>
      </c>
      <c r="B2867" s="70" t="s">
        <v>29</v>
      </c>
      <c r="C2867" s="10">
        <v>70</v>
      </c>
      <c r="D2867" s="10">
        <v>292</v>
      </c>
      <c r="E2867" s="10" t="s">
        <v>34</v>
      </c>
    </row>
    <row r="2868" spans="1:5" x14ac:dyDescent="0.35">
      <c r="A2868" s="2">
        <v>42814</v>
      </c>
      <c r="B2868" s="70" t="s">
        <v>29</v>
      </c>
      <c r="C2868" s="10">
        <v>71</v>
      </c>
      <c r="D2868" s="10">
        <v>308</v>
      </c>
      <c r="E2868" s="10" t="s">
        <v>33</v>
      </c>
    </row>
    <row r="2869" spans="1:5" x14ac:dyDescent="0.35">
      <c r="A2869" s="2">
        <v>42814</v>
      </c>
      <c r="B2869" s="70" t="s">
        <v>29</v>
      </c>
      <c r="C2869" s="10">
        <v>70</v>
      </c>
      <c r="D2869" s="10">
        <v>244</v>
      </c>
      <c r="E2869" s="10" t="s">
        <v>33</v>
      </c>
    </row>
    <row r="2870" spans="1:5" x14ac:dyDescent="0.35">
      <c r="A2870" s="2">
        <v>42814</v>
      </c>
      <c r="B2870" s="70" t="s">
        <v>29</v>
      </c>
      <c r="C2870" s="10">
        <v>71</v>
      </c>
      <c r="D2870" s="10">
        <v>273</v>
      </c>
      <c r="E2870" s="10" t="s">
        <v>33</v>
      </c>
    </row>
    <row r="2871" spans="1:5" x14ac:dyDescent="0.35">
      <c r="A2871" s="2">
        <v>42814</v>
      </c>
      <c r="B2871" s="70" t="s">
        <v>29</v>
      </c>
      <c r="C2871" s="10">
        <v>75</v>
      </c>
      <c r="D2871" s="10">
        <v>334</v>
      </c>
      <c r="E2871" s="10" t="s">
        <v>34</v>
      </c>
    </row>
    <row r="2872" spans="1:5" x14ac:dyDescent="0.35">
      <c r="A2872" s="2">
        <v>42814</v>
      </c>
      <c r="B2872" s="70" t="s">
        <v>29</v>
      </c>
      <c r="C2872" s="10">
        <v>66</v>
      </c>
      <c r="D2872" s="10">
        <v>233</v>
      </c>
      <c r="E2872" s="10" t="s">
        <v>36</v>
      </c>
    </row>
    <row r="2873" spans="1:5" x14ac:dyDescent="0.35">
      <c r="A2873" s="2">
        <v>42814</v>
      </c>
      <c r="B2873" s="70" t="s">
        <v>29</v>
      </c>
      <c r="C2873" s="10">
        <v>76</v>
      </c>
      <c r="D2873" s="10">
        <v>394</v>
      </c>
      <c r="E2873" s="10" t="s">
        <v>34</v>
      </c>
    </row>
    <row r="2874" spans="1:5" x14ac:dyDescent="0.35">
      <c r="A2874" s="2">
        <v>42814</v>
      </c>
      <c r="B2874" s="70" t="s">
        <v>29</v>
      </c>
      <c r="C2874" s="10">
        <v>68</v>
      </c>
      <c r="D2874" s="10">
        <v>292</v>
      </c>
      <c r="E2874" s="10" t="s">
        <v>39</v>
      </c>
    </row>
    <row r="2875" spans="1:5" x14ac:dyDescent="0.35">
      <c r="A2875" s="2">
        <v>42814</v>
      </c>
      <c r="B2875" s="70" t="s">
        <v>29</v>
      </c>
      <c r="C2875" s="10">
        <v>68</v>
      </c>
      <c r="D2875" s="10">
        <v>304</v>
      </c>
      <c r="E2875" s="10" t="s">
        <v>34</v>
      </c>
    </row>
    <row r="2876" spans="1:5" x14ac:dyDescent="0.35">
      <c r="A2876" s="2">
        <v>42814</v>
      </c>
      <c r="B2876" s="70" t="s">
        <v>29</v>
      </c>
      <c r="C2876" s="10">
        <v>68</v>
      </c>
      <c r="D2876" s="10">
        <v>263</v>
      </c>
      <c r="E2876" s="10" t="s">
        <v>33</v>
      </c>
    </row>
    <row r="2877" spans="1:5" x14ac:dyDescent="0.35">
      <c r="A2877" s="2">
        <v>42814</v>
      </c>
      <c r="B2877" s="70" t="s">
        <v>29</v>
      </c>
      <c r="C2877" s="10">
        <v>70</v>
      </c>
      <c r="D2877" s="10">
        <v>255</v>
      </c>
      <c r="E2877" s="10" t="s">
        <v>34</v>
      </c>
    </row>
    <row r="2878" spans="1:5" x14ac:dyDescent="0.35">
      <c r="A2878" s="2">
        <v>42814</v>
      </c>
      <c r="B2878" s="70" t="s">
        <v>29</v>
      </c>
      <c r="C2878" s="10">
        <v>66</v>
      </c>
      <c r="D2878" s="10">
        <v>237</v>
      </c>
      <c r="E2878" s="10" t="s">
        <v>34</v>
      </c>
    </row>
    <row r="2879" spans="1:5" x14ac:dyDescent="0.35">
      <c r="A2879" s="2">
        <v>42814</v>
      </c>
      <c r="B2879" s="70" t="s">
        <v>29</v>
      </c>
      <c r="C2879" s="10">
        <v>65</v>
      </c>
      <c r="D2879" s="10">
        <v>230</v>
      </c>
      <c r="E2879" s="10" t="s">
        <v>34</v>
      </c>
    </row>
    <row r="2880" spans="1:5" x14ac:dyDescent="0.35">
      <c r="A2880" s="2">
        <v>42814</v>
      </c>
      <c r="B2880" s="70" t="s">
        <v>29</v>
      </c>
      <c r="C2880" s="10">
        <v>73</v>
      </c>
      <c r="D2880" s="10">
        <v>350</v>
      </c>
      <c r="E2880" s="10" t="s">
        <v>33</v>
      </c>
    </row>
    <row r="2881" spans="1:5" x14ac:dyDescent="0.35">
      <c r="A2881" s="2">
        <v>42814</v>
      </c>
      <c r="B2881" s="70" t="s">
        <v>29</v>
      </c>
      <c r="C2881" s="10">
        <v>68</v>
      </c>
      <c r="D2881" s="10">
        <v>244</v>
      </c>
      <c r="E2881" s="10" t="s">
        <v>33</v>
      </c>
    </row>
    <row r="2882" spans="1:5" x14ac:dyDescent="0.35">
      <c r="A2882" s="2">
        <v>42814</v>
      </c>
      <c r="B2882" s="70" t="s">
        <v>29</v>
      </c>
      <c r="C2882" s="10">
        <v>71</v>
      </c>
      <c r="D2882" s="10">
        <v>302</v>
      </c>
      <c r="E2882" s="10" t="s">
        <v>33</v>
      </c>
    </row>
    <row r="2883" spans="1:5" x14ac:dyDescent="0.35">
      <c r="A2883" s="2">
        <v>42814</v>
      </c>
      <c r="B2883" s="70" t="s">
        <v>29</v>
      </c>
      <c r="C2883" s="10">
        <v>70</v>
      </c>
      <c r="D2883" s="10">
        <v>248</v>
      </c>
      <c r="E2883" s="10" t="s">
        <v>33</v>
      </c>
    </row>
    <row r="2884" spans="1:5" x14ac:dyDescent="0.35">
      <c r="A2884" s="2">
        <v>42814</v>
      </c>
      <c r="B2884" s="70" t="s">
        <v>29</v>
      </c>
      <c r="C2884" s="10">
        <v>74</v>
      </c>
      <c r="D2884" s="10">
        <v>298</v>
      </c>
      <c r="E2884" s="10" t="s">
        <v>34</v>
      </c>
    </row>
    <row r="2885" spans="1:5" x14ac:dyDescent="0.35">
      <c r="A2885" s="2">
        <v>42814</v>
      </c>
      <c r="B2885" s="70" t="s">
        <v>29</v>
      </c>
      <c r="C2885" s="10">
        <v>73</v>
      </c>
      <c r="D2885" s="10">
        <v>334</v>
      </c>
      <c r="E2885" s="10" t="s">
        <v>39</v>
      </c>
    </row>
    <row r="2886" spans="1:5" x14ac:dyDescent="0.35">
      <c r="A2886" s="2">
        <v>42814</v>
      </c>
      <c r="B2886" s="70" t="s">
        <v>29</v>
      </c>
      <c r="C2886" s="10">
        <v>68</v>
      </c>
      <c r="D2886" s="10">
        <v>273</v>
      </c>
      <c r="E2886" s="10" t="s">
        <v>33</v>
      </c>
    </row>
    <row r="2887" spans="1:5" x14ac:dyDescent="0.35">
      <c r="A2887" s="2">
        <v>42814</v>
      </c>
      <c r="B2887" s="70" t="s">
        <v>29</v>
      </c>
      <c r="C2887" s="10">
        <v>72</v>
      </c>
      <c r="D2887" s="10">
        <v>317</v>
      </c>
      <c r="E2887" s="10" t="s">
        <v>39</v>
      </c>
    </row>
    <row r="2888" spans="1:5" x14ac:dyDescent="0.35">
      <c r="A2888" s="2">
        <v>42814</v>
      </c>
      <c r="B2888" s="70" t="s">
        <v>29</v>
      </c>
      <c r="C2888" s="10">
        <v>63</v>
      </c>
      <c r="D2888" s="10">
        <v>182</v>
      </c>
      <c r="E2888" s="10" t="s">
        <v>33</v>
      </c>
    </row>
    <row r="2889" spans="1:5" x14ac:dyDescent="0.35">
      <c r="A2889" s="2">
        <v>42814</v>
      </c>
      <c r="B2889" s="70" t="s">
        <v>29</v>
      </c>
      <c r="C2889" s="10">
        <v>70</v>
      </c>
      <c r="D2889" s="10">
        <v>272</v>
      </c>
      <c r="E2889" s="10" t="s">
        <v>34</v>
      </c>
    </row>
    <row r="2890" spans="1:5" x14ac:dyDescent="0.35">
      <c r="A2890" s="2">
        <v>42814</v>
      </c>
      <c r="B2890" s="70" t="s">
        <v>29</v>
      </c>
      <c r="C2890" s="10">
        <v>74</v>
      </c>
      <c r="D2890" s="10">
        <v>324</v>
      </c>
      <c r="E2890" s="10" t="s">
        <v>40</v>
      </c>
    </row>
    <row r="2891" spans="1:5" x14ac:dyDescent="0.35">
      <c r="A2891" s="2">
        <v>42814</v>
      </c>
      <c r="B2891" s="70" t="s">
        <v>29</v>
      </c>
      <c r="C2891" s="10">
        <v>66</v>
      </c>
      <c r="D2891" s="10">
        <v>181</v>
      </c>
      <c r="E2891" s="10" t="s">
        <v>39</v>
      </c>
    </row>
    <row r="2892" spans="1:5" x14ac:dyDescent="0.35">
      <c r="A2892" s="2">
        <v>42814</v>
      </c>
      <c r="B2892" s="70" t="s">
        <v>29</v>
      </c>
      <c r="C2892" s="10">
        <v>73</v>
      </c>
      <c r="D2892" s="10">
        <v>358</v>
      </c>
      <c r="E2892" s="10" t="s">
        <v>40</v>
      </c>
    </row>
    <row r="2893" spans="1:5" x14ac:dyDescent="0.35">
      <c r="A2893" s="2">
        <v>42814</v>
      </c>
      <c r="B2893" s="70" t="s">
        <v>29</v>
      </c>
      <c r="C2893" s="10">
        <v>74</v>
      </c>
      <c r="D2893" s="10">
        <v>339</v>
      </c>
      <c r="E2893" s="10" t="s">
        <v>33</v>
      </c>
    </row>
    <row r="2894" spans="1:5" x14ac:dyDescent="0.35">
      <c r="A2894" s="2">
        <v>42814</v>
      </c>
      <c r="B2894" s="70" t="s">
        <v>29</v>
      </c>
      <c r="C2894" s="10">
        <v>73</v>
      </c>
      <c r="D2894" s="10">
        <v>382</v>
      </c>
      <c r="E2894" s="10" t="s">
        <v>39</v>
      </c>
    </row>
    <row r="2895" spans="1:5" x14ac:dyDescent="0.35">
      <c r="A2895" s="2">
        <v>42814</v>
      </c>
      <c r="B2895" s="70" t="s">
        <v>29</v>
      </c>
      <c r="C2895" s="10">
        <v>67</v>
      </c>
      <c r="D2895" s="10">
        <v>240</v>
      </c>
      <c r="E2895" s="10" t="s">
        <v>39</v>
      </c>
    </row>
    <row r="2896" spans="1:5" x14ac:dyDescent="0.35">
      <c r="A2896" s="2">
        <v>42814</v>
      </c>
      <c r="B2896" s="70" t="s">
        <v>29</v>
      </c>
      <c r="C2896" s="10">
        <v>67</v>
      </c>
      <c r="D2896" s="10">
        <v>278</v>
      </c>
      <c r="E2896" s="10" t="s">
        <v>33</v>
      </c>
    </row>
    <row r="2897" spans="1:21" x14ac:dyDescent="0.35">
      <c r="A2897" s="2">
        <v>42814</v>
      </c>
      <c r="B2897" s="70" t="s">
        <v>29</v>
      </c>
      <c r="C2897" s="10">
        <v>70</v>
      </c>
      <c r="D2897" s="10">
        <v>299</v>
      </c>
      <c r="E2897" s="10" t="s">
        <v>39</v>
      </c>
    </row>
    <row r="2898" spans="1:21" x14ac:dyDescent="0.35">
      <c r="A2898" s="2">
        <v>42814</v>
      </c>
      <c r="B2898" s="70" t="s">
        <v>29</v>
      </c>
      <c r="C2898" s="10">
        <v>70</v>
      </c>
      <c r="D2898" s="10">
        <v>327</v>
      </c>
      <c r="E2898" s="10" t="s">
        <v>33</v>
      </c>
    </row>
    <row r="2899" spans="1:21" x14ac:dyDescent="0.35">
      <c r="A2899" s="2">
        <v>42814</v>
      </c>
      <c r="B2899" s="70" t="s">
        <v>29</v>
      </c>
      <c r="C2899" s="10">
        <v>64</v>
      </c>
      <c r="D2899" s="10">
        <v>238</v>
      </c>
      <c r="E2899" s="10" t="s">
        <v>34</v>
      </c>
    </row>
    <row r="2900" spans="1:21" x14ac:dyDescent="0.35">
      <c r="A2900" s="2">
        <v>42814</v>
      </c>
      <c r="B2900" s="70" t="s">
        <v>29</v>
      </c>
      <c r="C2900" s="10">
        <v>72</v>
      </c>
      <c r="D2900" s="10">
        <v>289</v>
      </c>
      <c r="E2900" s="10" t="s">
        <v>40</v>
      </c>
    </row>
    <row r="2901" spans="1:21" x14ac:dyDescent="0.35">
      <c r="A2901" s="2">
        <v>42814</v>
      </c>
      <c r="B2901" s="70" t="s">
        <v>29</v>
      </c>
      <c r="C2901" s="10">
        <v>75</v>
      </c>
      <c r="D2901" s="10">
        <v>341</v>
      </c>
      <c r="E2901" s="10" t="s">
        <v>33</v>
      </c>
    </row>
    <row r="2902" spans="1:21" x14ac:dyDescent="0.35">
      <c r="A2902" s="2">
        <v>42814</v>
      </c>
      <c r="B2902" s="70" t="s">
        <v>29</v>
      </c>
      <c r="C2902" s="10">
        <v>66</v>
      </c>
      <c r="D2902" s="10">
        <v>236</v>
      </c>
      <c r="I2902" t="s">
        <v>42</v>
      </c>
      <c r="J2902" t="s">
        <v>39</v>
      </c>
      <c r="K2902" t="s">
        <v>40</v>
      </c>
      <c r="L2902" t="s">
        <v>36</v>
      </c>
      <c r="M2902" t="s">
        <v>33</v>
      </c>
      <c r="N2902" t="s">
        <v>34</v>
      </c>
      <c r="O2902" t="s">
        <v>32</v>
      </c>
      <c r="P2902" t="s">
        <v>37</v>
      </c>
      <c r="R2902" t="s">
        <v>43</v>
      </c>
      <c r="S2902" t="s">
        <v>44</v>
      </c>
    </row>
    <row r="2903" spans="1:21" x14ac:dyDescent="0.35">
      <c r="A2903" s="2">
        <v>42814</v>
      </c>
      <c r="B2903" s="70" t="s">
        <v>29</v>
      </c>
      <c r="C2903" s="10">
        <v>66</v>
      </c>
      <c r="D2903" s="10">
        <v>258</v>
      </c>
      <c r="I2903" s="5">
        <f>COUNTIF(E2848:E2904,"VA")</f>
        <v>0</v>
      </c>
      <c r="J2903" s="5">
        <f>COUNTIF(E2848:E2904,"VB")</f>
        <v>13</v>
      </c>
      <c r="K2903" s="5">
        <f>COUNTIF(E2848:E2904,"VIA0")</f>
        <v>11</v>
      </c>
      <c r="L2903" s="5">
        <f>COUNTIF(E2848:E2904,"VIA1")</f>
        <v>2</v>
      </c>
      <c r="M2903" s="5">
        <f>COUNTIF(E2848:E2904,"VIA2")</f>
        <v>14</v>
      </c>
      <c r="N2903" s="5">
        <f>COUNTIF(E2848:E2904,"VIA3")</f>
        <v>14</v>
      </c>
      <c r="O2903" s="5">
        <f>COUNTIF(E2848:E2904,"VIA4")</f>
        <v>0</v>
      </c>
      <c r="P2903" s="5">
        <f>COUNTIF(E2799:E2904,"VIB")</f>
        <v>0</v>
      </c>
      <c r="R2903" s="7">
        <f>AVERAGE(C2848:C2904)</f>
        <v>70.263157894736835</v>
      </c>
      <c r="S2903" s="7">
        <f>AVERAGE(D2848:D2904)</f>
        <v>298.21052631578948</v>
      </c>
      <c r="T2903" s="7"/>
      <c r="U2903" s="7" t="e">
        <f>AVERAGE(#REF!)</f>
        <v>#REF!</v>
      </c>
    </row>
    <row r="2904" spans="1:21" s="4" customFormat="1" x14ac:dyDescent="0.35">
      <c r="A2904" s="3">
        <v>42814</v>
      </c>
      <c r="B2904" s="44" t="s">
        <v>29</v>
      </c>
      <c r="C2904" s="11">
        <v>72</v>
      </c>
      <c r="D2904" s="11">
        <v>376</v>
      </c>
      <c r="I2904" s="6">
        <f>I2903/54*100</f>
        <v>0</v>
      </c>
      <c r="J2904" s="6">
        <f t="shared" ref="J2904:P2904" si="88">J2903/54*100</f>
        <v>24.074074074074073</v>
      </c>
      <c r="K2904" s="6">
        <f t="shared" si="88"/>
        <v>20.37037037037037</v>
      </c>
      <c r="L2904" s="6">
        <f t="shared" si="88"/>
        <v>3.7037037037037033</v>
      </c>
      <c r="M2904" s="6">
        <f t="shared" si="88"/>
        <v>25.925925925925924</v>
      </c>
      <c r="N2904" s="6">
        <f t="shared" si="88"/>
        <v>25.925925925925924</v>
      </c>
      <c r="O2904" s="6">
        <f t="shared" si="88"/>
        <v>0</v>
      </c>
      <c r="P2904" s="6">
        <f t="shared" si="88"/>
        <v>0</v>
      </c>
    </row>
    <row r="2905" spans="1:21" x14ac:dyDescent="0.35">
      <c r="A2905" s="2">
        <v>42814</v>
      </c>
      <c r="B2905" s="70" t="s">
        <v>38</v>
      </c>
      <c r="C2905" s="55">
        <v>73</v>
      </c>
      <c r="D2905" s="55">
        <v>462</v>
      </c>
      <c r="E2905" s="23" t="s">
        <v>159</v>
      </c>
    </row>
    <row r="2906" spans="1:21" x14ac:dyDescent="0.35">
      <c r="A2906" s="2">
        <v>42814</v>
      </c>
      <c r="B2906" s="70" t="s">
        <v>38</v>
      </c>
      <c r="C2906" s="10">
        <v>132</v>
      </c>
      <c r="D2906" s="10">
        <v>2435</v>
      </c>
      <c r="E2906" t="s">
        <v>98</v>
      </c>
    </row>
    <row r="2907" spans="1:21" x14ac:dyDescent="0.35">
      <c r="A2907" s="2">
        <v>42814</v>
      </c>
      <c r="B2907" s="70" t="s">
        <v>38</v>
      </c>
      <c r="C2907" s="10">
        <v>112</v>
      </c>
      <c r="D2907" s="10">
        <v>1455</v>
      </c>
      <c r="E2907" t="s">
        <v>98</v>
      </c>
    </row>
    <row r="2908" spans="1:21" x14ac:dyDescent="0.35">
      <c r="A2908" s="2">
        <v>42814</v>
      </c>
      <c r="B2908" s="70" t="s">
        <v>38</v>
      </c>
      <c r="C2908" s="10">
        <v>120</v>
      </c>
      <c r="D2908" s="10">
        <v>1668</v>
      </c>
      <c r="E2908" t="s">
        <v>98</v>
      </c>
    </row>
    <row r="2909" spans="1:21" x14ac:dyDescent="0.35">
      <c r="A2909" s="2">
        <v>42814</v>
      </c>
      <c r="B2909" s="70" t="s">
        <v>38</v>
      </c>
      <c r="C2909" s="10">
        <v>135</v>
      </c>
      <c r="D2909" s="10">
        <v>2739</v>
      </c>
      <c r="E2909" t="s">
        <v>98</v>
      </c>
    </row>
    <row r="2910" spans="1:21" x14ac:dyDescent="0.35">
      <c r="A2910" s="2">
        <v>42814</v>
      </c>
      <c r="B2910" s="70" t="s">
        <v>38</v>
      </c>
      <c r="C2910" s="10">
        <v>115</v>
      </c>
      <c r="D2910" s="10">
        <v>1215</v>
      </c>
      <c r="E2910" t="s">
        <v>98</v>
      </c>
    </row>
    <row r="2911" spans="1:21" x14ac:dyDescent="0.35">
      <c r="A2911" s="2">
        <v>42814</v>
      </c>
      <c r="B2911" s="70" t="s">
        <v>38</v>
      </c>
      <c r="C2911" s="10">
        <v>101</v>
      </c>
      <c r="D2911" s="10">
        <v>1089</v>
      </c>
      <c r="E2911" t="s">
        <v>98</v>
      </c>
    </row>
    <row r="2912" spans="1:21" x14ac:dyDescent="0.35">
      <c r="A2912" s="2">
        <v>42814</v>
      </c>
      <c r="B2912" s="70" t="s">
        <v>38</v>
      </c>
      <c r="C2912" s="10">
        <v>92</v>
      </c>
      <c r="D2912" s="10">
        <v>668</v>
      </c>
      <c r="E2912" t="s">
        <v>98</v>
      </c>
    </row>
    <row r="2913" spans="1:7" x14ac:dyDescent="0.35">
      <c r="A2913" s="2">
        <v>42814</v>
      </c>
      <c r="B2913" s="70" t="s">
        <v>38</v>
      </c>
      <c r="C2913" s="10">
        <v>99</v>
      </c>
      <c r="D2913" s="10">
        <v>1129</v>
      </c>
      <c r="E2913" t="s">
        <v>98</v>
      </c>
    </row>
    <row r="2914" spans="1:7" x14ac:dyDescent="0.35">
      <c r="A2914" s="2">
        <v>42814</v>
      </c>
      <c r="B2914" s="70" t="s">
        <v>38</v>
      </c>
      <c r="C2914" s="10">
        <v>105</v>
      </c>
      <c r="D2914" s="10">
        <v>1346</v>
      </c>
      <c r="E2914" t="s">
        <v>98</v>
      </c>
    </row>
    <row r="2915" spans="1:7" x14ac:dyDescent="0.35">
      <c r="A2915" s="2">
        <v>42814</v>
      </c>
      <c r="B2915" s="70" t="s">
        <v>38</v>
      </c>
      <c r="C2915" s="10">
        <v>112</v>
      </c>
      <c r="D2915" s="10">
        <v>1893</v>
      </c>
      <c r="E2915" t="s">
        <v>98</v>
      </c>
    </row>
    <row r="2916" spans="1:7" x14ac:dyDescent="0.35">
      <c r="A2916" s="2">
        <v>42814</v>
      </c>
      <c r="B2916" s="70" t="s">
        <v>38</v>
      </c>
      <c r="C2916" s="10">
        <v>90</v>
      </c>
      <c r="D2916" s="10">
        <v>841</v>
      </c>
      <c r="E2916" t="s">
        <v>98</v>
      </c>
    </row>
    <row r="2917" spans="1:7" x14ac:dyDescent="0.35">
      <c r="A2917" s="2">
        <v>42814</v>
      </c>
      <c r="B2917" s="70" t="s">
        <v>38</v>
      </c>
      <c r="C2917" s="10">
        <v>89</v>
      </c>
      <c r="D2917" s="10">
        <v>845</v>
      </c>
      <c r="E2917" t="s">
        <v>98</v>
      </c>
      <c r="G2917" s="42" t="e">
        <f>AVERAGE(#REF!)</f>
        <v>#REF!</v>
      </c>
    </row>
    <row r="2918" spans="1:7" x14ac:dyDescent="0.35">
      <c r="A2918" s="2">
        <v>42814</v>
      </c>
      <c r="B2918" s="70" t="s">
        <v>38</v>
      </c>
      <c r="C2918" s="10">
        <v>73</v>
      </c>
      <c r="D2918" s="10">
        <v>318</v>
      </c>
      <c r="E2918" t="s">
        <v>39</v>
      </c>
      <c r="G2918" s="42" t="e">
        <f>AVERAGE(#REF!,#REF!)</f>
        <v>#REF!</v>
      </c>
    </row>
    <row r="2919" spans="1:7" x14ac:dyDescent="0.35">
      <c r="A2919" s="2">
        <v>42814</v>
      </c>
      <c r="B2919" s="70" t="s">
        <v>38</v>
      </c>
      <c r="C2919" s="10">
        <v>67</v>
      </c>
      <c r="D2919" s="10">
        <v>234</v>
      </c>
      <c r="E2919" t="s">
        <v>34</v>
      </c>
    </row>
    <row r="2920" spans="1:7" x14ac:dyDescent="0.35">
      <c r="A2920" s="2">
        <v>42814</v>
      </c>
      <c r="B2920" s="70" t="s">
        <v>38</v>
      </c>
      <c r="C2920" s="10">
        <v>72</v>
      </c>
      <c r="D2920" s="10">
        <v>317</v>
      </c>
      <c r="E2920" t="s">
        <v>39</v>
      </c>
    </row>
    <row r="2921" spans="1:7" x14ac:dyDescent="0.35">
      <c r="A2921" s="2">
        <v>42814</v>
      </c>
      <c r="B2921" s="70" t="s">
        <v>38</v>
      </c>
      <c r="C2921" s="10">
        <v>68</v>
      </c>
      <c r="D2921" s="10">
        <v>242</v>
      </c>
      <c r="E2921" t="s">
        <v>33</v>
      </c>
    </row>
    <row r="2922" spans="1:7" x14ac:dyDescent="0.35">
      <c r="A2922" s="2">
        <v>42814</v>
      </c>
      <c r="B2922" s="70" t="s">
        <v>38</v>
      </c>
      <c r="C2922" s="10">
        <v>71</v>
      </c>
      <c r="D2922" s="10">
        <v>354</v>
      </c>
      <c r="E2922" t="s">
        <v>40</v>
      </c>
    </row>
    <row r="2923" spans="1:7" x14ac:dyDescent="0.35">
      <c r="A2923" s="2">
        <v>42814</v>
      </c>
      <c r="B2923" s="70" t="s">
        <v>38</v>
      </c>
      <c r="C2923" s="10">
        <v>70</v>
      </c>
      <c r="D2923" s="10">
        <v>279</v>
      </c>
      <c r="E2923" t="s">
        <v>34</v>
      </c>
    </row>
    <row r="2924" spans="1:7" x14ac:dyDescent="0.35">
      <c r="A2924" s="2">
        <v>42814</v>
      </c>
      <c r="B2924" s="70" t="s">
        <v>38</v>
      </c>
      <c r="C2924" s="10">
        <v>63</v>
      </c>
      <c r="D2924" s="10">
        <v>229</v>
      </c>
      <c r="E2924" t="s">
        <v>36</v>
      </c>
    </row>
    <row r="2925" spans="1:7" x14ac:dyDescent="0.35">
      <c r="A2925" s="2">
        <v>42814</v>
      </c>
      <c r="B2925" s="70" t="s">
        <v>38</v>
      </c>
      <c r="C2925" s="10">
        <v>73</v>
      </c>
      <c r="D2925" s="10">
        <v>432</v>
      </c>
      <c r="E2925" t="s">
        <v>36</v>
      </c>
    </row>
    <row r="2926" spans="1:7" x14ac:dyDescent="0.35">
      <c r="A2926" s="2">
        <v>42814</v>
      </c>
      <c r="B2926" s="70" t="s">
        <v>38</v>
      </c>
      <c r="C2926" s="10">
        <v>78</v>
      </c>
      <c r="D2926" s="10">
        <v>427</v>
      </c>
      <c r="E2926" t="s">
        <v>40</v>
      </c>
    </row>
    <row r="2927" spans="1:7" x14ac:dyDescent="0.35">
      <c r="A2927" s="2">
        <v>42814</v>
      </c>
      <c r="B2927" s="70" t="s">
        <v>38</v>
      </c>
      <c r="C2927" s="10">
        <v>74</v>
      </c>
      <c r="D2927" s="10">
        <v>343</v>
      </c>
      <c r="E2927" t="s">
        <v>33</v>
      </c>
    </row>
    <row r="2928" spans="1:7" x14ac:dyDescent="0.35">
      <c r="A2928" s="2">
        <v>42814</v>
      </c>
      <c r="B2928" s="70" t="s">
        <v>38</v>
      </c>
      <c r="C2928" s="10">
        <v>72</v>
      </c>
      <c r="D2928" s="10">
        <v>317</v>
      </c>
      <c r="E2928" t="s">
        <v>39</v>
      </c>
    </row>
    <row r="2929" spans="1:5" x14ac:dyDescent="0.35">
      <c r="A2929" s="2">
        <v>42814</v>
      </c>
      <c r="B2929" s="70" t="s">
        <v>38</v>
      </c>
      <c r="C2929" s="10">
        <v>73</v>
      </c>
      <c r="D2929" s="10">
        <v>291</v>
      </c>
      <c r="E2929" t="s">
        <v>33</v>
      </c>
    </row>
    <row r="2930" spans="1:5" x14ac:dyDescent="0.35">
      <c r="A2930" s="2">
        <v>42814</v>
      </c>
      <c r="B2930" s="70" t="s">
        <v>38</v>
      </c>
      <c r="C2930" s="10">
        <v>70</v>
      </c>
      <c r="D2930" s="10">
        <v>322</v>
      </c>
      <c r="E2930" t="s">
        <v>34</v>
      </c>
    </row>
    <row r="2931" spans="1:5" x14ac:dyDescent="0.35">
      <c r="A2931" s="2">
        <v>42814</v>
      </c>
      <c r="B2931" s="70" t="s">
        <v>38</v>
      </c>
      <c r="C2931" s="10">
        <v>66</v>
      </c>
      <c r="D2931" s="10">
        <v>276</v>
      </c>
      <c r="E2931" t="s">
        <v>40</v>
      </c>
    </row>
    <row r="2932" spans="1:5" x14ac:dyDescent="0.35">
      <c r="A2932" s="2">
        <v>42814</v>
      </c>
      <c r="B2932" s="70" t="s">
        <v>38</v>
      </c>
      <c r="C2932" s="10">
        <v>70</v>
      </c>
      <c r="D2932" s="10">
        <v>281</v>
      </c>
      <c r="E2932" t="s">
        <v>34</v>
      </c>
    </row>
    <row r="2933" spans="1:5" x14ac:dyDescent="0.35">
      <c r="A2933" s="2">
        <v>42814</v>
      </c>
      <c r="B2933" s="70" t="s">
        <v>38</v>
      </c>
      <c r="C2933" s="10">
        <v>71</v>
      </c>
      <c r="D2933" s="10">
        <v>336</v>
      </c>
      <c r="E2933" t="s">
        <v>34</v>
      </c>
    </row>
    <row r="2934" spans="1:5" x14ac:dyDescent="0.35">
      <c r="A2934" s="2">
        <v>42814</v>
      </c>
      <c r="B2934" s="70" t="s">
        <v>38</v>
      </c>
      <c r="C2934" s="10">
        <v>67</v>
      </c>
      <c r="D2934" s="10">
        <v>265</v>
      </c>
      <c r="E2934" t="s">
        <v>40</v>
      </c>
    </row>
    <row r="2935" spans="1:5" x14ac:dyDescent="0.35">
      <c r="A2935" s="2">
        <v>42814</v>
      </c>
      <c r="B2935" s="70" t="s">
        <v>38</v>
      </c>
      <c r="C2935" s="10">
        <v>66</v>
      </c>
      <c r="D2935" s="10">
        <v>298</v>
      </c>
      <c r="E2935" t="s">
        <v>34</v>
      </c>
    </row>
    <row r="2936" spans="1:5" x14ac:dyDescent="0.35">
      <c r="A2936" s="2">
        <v>42814</v>
      </c>
      <c r="B2936" s="70" t="s">
        <v>38</v>
      </c>
      <c r="C2936" s="10">
        <v>74</v>
      </c>
      <c r="D2936" s="10">
        <v>398</v>
      </c>
      <c r="E2936" t="s">
        <v>36</v>
      </c>
    </row>
    <row r="2937" spans="1:5" x14ac:dyDescent="0.35">
      <c r="A2937" s="2">
        <v>42814</v>
      </c>
      <c r="B2937" s="70" t="s">
        <v>38</v>
      </c>
      <c r="C2937" s="10">
        <v>65</v>
      </c>
      <c r="D2937" s="10">
        <v>266</v>
      </c>
      <c r="E2937" t="s">
        <v>40</v>
      </c>
    </row>
    <row r="2938" spans="1:5" x14ac:dyDescent="0.35">
      <c r="A2938" s="2">
        <v>42814</v>
      </c>
      <c r="B2938" s="70" t="s">
        <v>38</v>
      </c>
      <c r="C2938" s="10">
        <v>68</v>
      </c>
      <c r="D2938" s="10">
        <v>266</v>
      </c>
      <c r="E2938" t="s">
        <v>33</v>
      </c>
    </row>
    <row r="2939" spans="1:5" x14ac:dyDescent="0.35">
      <c r="A2939" s="2">
        <v>42814</v>
      </c>
      <c r="B2939" s="70" t="s">
        <v>38</v>
      </c>
      <c r="C2939" s="10">
        <v>70</v>
      </c>
      <c r="D2939" s="10">
        <v>254</v>
      </c>
      <c r="E2939" t="s">
        <v>33</v>
      </c>
    </row>
    <row r="2940" spans="1:5" x14ac:dyDescent="0.35">
      <c r="A2940" s="2">
        <v>42814</v>
      </c>
      <c r="B2940" s="70" t="s">
        <v>38</v>
      </c>
      <c r="C2940" s="10">
        <v>70</v>
      </c>
      <c r="D2940" s="10">
        <v>287</v>
      </c>
      <c r="E2940" t="s">
        <v>40</v>
      </c>
    </row>
    <row r="2941" spans="1:5" x14ac:dyDescent="0.35">
      <c r="A2941" s="2">
        <v>42814</v>
      </c>
      <c r="B2941" s="70" t="s">
        <v>38</v>
      </c>
      <c r="C2941" s="10">
        <v>68</v>
      </c>
      <c r="D2941" s="10">
        <v>316</v>
      </c>
      <c r="E2941" t="s">
        <v>33</v>
      </c>
    </row>
    <row r="2942" spans="1:5" x14ac:dyDescent="0.35">
      <c r="A2942" s="2">
        <v>42814</v>
      </c>
      <c r="B2942" s="70" t="s">
        <v>38</v>
      </c>
      <c r="C2942" s="10">
        <v>75</v>
      </c>
      <c r="D2942" s="10">
        <v>334</v>
      </c>
      <c r="E2942" t="s">
        <v>33</v>
      </c>
    </row>
    <row r="2943" spans="1:5" x14ac:dyDescent="0.35">
      <c r="A2943" s="2">
        <v>42814</v>
      </c>
      <c r="B2943" s="70" t="s">
        <v>38</v>
      </c>
      <c r="C2943" s="10">
        <v>67</v>
      </c>
      <c r="D2943" s="10">
        <v>233</v>
      </c>
      <c r="E2943" t="s">
        <v>39</v>
      </c>
    </row>
    <row r="2944" spans="1:5" x14ac:dyDescent="0.35">
      <c r="A2944" s="2">
        <v>42814</v>
      </c>
      <c r="B2944" s="70" t="s">
        <v>38</v>
      </c>
      <c r="C2944" s="10">
        <v>76</v>
      </c>
      <c r="D2944" s="10">
        <v>390</v>
      </c>
      <c r="E2944" t="s">
        <v>34</v>
      </c>
    </row>
    <row r="2945" spans="1:5" x14ac:dyDescent="0.35">
      <c r="A2945" s="2">
        <v>42814</v>
      </c>
      <c r="B2945" s="70" t="s">
        <v>38</v>
      </c>
      <c r="C2945" s="10">
        <v>66</v>
      </c>
      <c r="D2945" s="10">
        <v>254</v>
      </c>
      <c r="E2945" t="s">
        <v>39</v>
      </c>
    </row>
    <row r="2946" spans="1:5" x14ac:dyDescent="0.35">
      <c r="A2946" s="2">
        <v>42814</v>
      </c>
      <c r="B2946" s="70" t="s">
        <v>38</v>
      </c>
      <c r="C2946" s="10">
        <v>75</v>
      </c>
      <c r="D2946" s="10">
        <v>378</v>
      </c>
      <c r="E2946" t="s">
        <v>33</v>
      </c>
    </row>
    <row r="2947" spans="1:5" x14ac:dyDescent="0.35">
      <c r="A2947" s="2">
        <v>42814</v>
      </c>
      <c r="B2947" s="70" t="s">
        <v>38</v>
      </c>
      <c r="C2947" s="10">
        <v>76</v>
      </c>
      <c r="D2947" s="10">
        <v>396</v>
      </c>
      <c r="E2947" t="s">
        <v>33</v>
      </c>
    </row>
    <row r="2948" spans="1:5" x14ac:dyDescent="0.35">
      <c r="A2948" s="2">
        <v>42814</v>
      </c>
      <c r="B2948" s="70" t="s">
        <v>38</v>
      </c>
      <c r="C2948" s="10">
        <v>75</v>
      </c>
      <c r="D2948" s="10">
        <v>386</v>
      </c>
      <c r="E2948" t="s">
        <v>39</v>
      </c>
    </row>
    <row r="2949" spans="1:5" x14ac:dyDescent="0.35">
      <c r="A2949" s="2">
        <v>42814</v>
      </c>
      <c r="B2949" s="70" t="s">
        <v>38</v>
      </c>
      <c r="C2949" s="10">
        <v>75</v>
      </c>
      <c r="D2949" s="10">
        <v>366</v>
      </c>
      <c r="E2949" t="s">
        <v>39</v>
      </c>
    </row>
    <row r="2950" spans="1:5" x14ac:dyDescent="0.35">
      <c r="A2950" s="2">
        <v>42814</v>
      </c>
      <c r="B2950" s="70" t="s">
        <v>38</v>
      </c>
      <c r="C2950" s="10">
        <v>74</v>
      </c>
      <c r="D2950" s="10">
        <v>334</v>
      </c>
      <c r="E2950" t="s">
        <v>40</v>
      </c>
    </row>
    <row r="2951" spans="1:5" x14ac:dyDescent="0.35">
      <c r="A2951" s="2">
        <v>42814</v>
      </c>
      <c r="B2951" s="70" t="s">
        <v>38</v>
      </c>
      <c r="C2951" s="10">
        <v>67</v>
      </c>
      <c r="D2951" s="10">
        <v>295</v>
      </c>
      <c r="E2951" t="s">
        <v>33</v>
      </c>
    </row>
    <row r="2952" spans="1:5" x14ac:dyDescent="0.35">
      <c r="A2952" s="2">
        <v>42814</v>
      </c>
      <c r="B2952" s="70" t="s">
        <v>38</v>
      </c>
      <c r="C2952" s="10">
        <v>70</v>
      </c>
      <c r="D2952" s="10">
        <v>281</v>
      </c>
      <c r="E2952" t="s">
        <v>33</v>
      </c>
    </row>
    <row r="2953" spans="1:5" x14ac:dyDescent="0.35">
      <c r="A2953" s="2">
        <v>42814</v>
      </c>
      <c r="B2953" s="70" t="s">
        <v>38</v>
      </c>
      <c r="C2953" s="10">
        <v>75</v>
      </c>
      <c r="D2953" s="10">
        <v>329</v>
      </c>
      <c r="E2953" t="s">
        <v>39</v>
      </c>
    </row>
    <row r="2954" spans="1:5" x14ac:dyDescent="0.35">
      <c r="A2954" s="2">
        <v>42814</v>
      </c>
      <c r="B2954" s="70" t="s">
        <v>38</v>
      </c>
      <c r="C2954" s="10">
        <v>65</v>
      </c>
      <c r="D2954" s="10">
        <v>262</v>
      </c>
      <c r="E2954" t="s">
        <v>36</v>
      </c>
    </row>
    <row r="2955" spans="1:5" x14ac:dyDescent="0.35">
      <c r="A2955" s="2">
        <v>42814</v>
      </c>
      <c r="B2955" s="70" t="s">
        <v>38</v>
      </c>
      <c r="C2955" s="10">
        <v>72</v>
      </c>
      <c r="D2955" s="10">
        <v>347</v>
      </c>
      <c r="E2955" t="s">
        <v>39</v>
      </c>
    </row>
    <row r="2956" spans="1:5" x14ac:dyDescent="0.35">
      <c r="A2956" s="2">
        <v>42814</v>
      </c>
      <c r="B2956" s="70" t="s">
        <v>38</v>
      </c>
      <c r="C2956" s="10">
        <v>73</v>
      </c>
      <c r="D2956" s="10">
        <v>293</v>
      </c>
      <c r="E2956" t="s">
        <v>39</v>
      </c>
    </row>
    <row r="2957" spans="1:5" x14ac:dyDescent="0.35">
      <c r="A2957" s="2">
        <v>42814</v>
      </c>
      <c r="B2957" s="70" t="s">
        <v>38</v>
      </c>
      <c r="C2957" s="10">
        <v>70</v>
      </c>
      <c r="D2957" s="10">
        <v>283</v>
      </c>
      <c r="E2957" t="s">
        <v>40</v>
      </c>
    </row>
    <row r="2958" spans="1:5" x14ac:dyDescent="0.35">
      <c r="A2958" s="2">
        <v>42814</v>
      </c>
      <c r="B2958" s="70" t="s">
        <v>38</v>
      </c>
      <c r="C2958" s="10">
        <v>65</v>
      </c>
      <c r="D2958" s="10">
        <v>257</v>
      </c>
      <c r="E2958" t="s">
        <v>33</v>
      </c>
    </row>
    <row r="2959" spans="1:5" x14ac:dyDescent="0.35">
      <c r="A2959" s="2">
        <v>42814</v>
      </c>
      <c r="B2959" s="70" t="s">
        <v>38</v>
      </c>
      <c r="C2959" s="10">
        <v>69</v>
      </c>
      <c r="D2959" s="10">
        <v>354</v>
      </c>
      <c r="E2959" t="s">
        <v>39</v>
      </c>
    </row>
    <row r="2960" spans="1:5" x14ac:dyDescent="0.35">
      <c r="A2960" s="2">
        <v>42814</v>
      </c>
      <c r="B2960" s="70" t="s">
        <v>38</v>
      </c>
      <c r="C2960" s="10">
        <v>75</v>
      </c>
      <c r="D2960" s="10">
        <v>404</v>
      </c>
      <c r="E2960" t="s">
        <v>33</v>
      </c>
    </row>
    <row r="2961" spans="1:21" x14ac:dyDescent="0.35">
      <c r="A2961" s="2">
        <v>42814</v>
      </c>
      <c r="B2961" s="70" t="s">
        <v>38</v>
      </c>
      <c r="C2961" s="10">
        <v>70</v>
      </c>
      <c r="D2961" s="10">
        <v>352</v>
      </c>
      <c r="E2961" t="s">
        <v>33</v>
      </c>
    </row>
    <row r="2962" spans="1:21" x14ac:dyDescent="0.35">
      <c r="A2962" s="2">
        <v>42814</v>
      </c>
      <c r="B2962" s="70" t="s">
        <v>38</v>
      </c>
      <c r="C2962" s="10">
        <v>72</v>
      </c>
      <c r="D2962" s="10">
        <v>313</v>
      </c>
      <c r="E2962" t="s">
        <v>33</v>
      </c>
      <c r="I2962" t="s">
        <v>42</v>
      </c>
      <c r="J2962" t="s">
        <v>39</v>
      </c>
      <c r="K2962" t="s">
        <v>40</v>
      </c>
      <c r="L2962" t="s">
        <v>36</v>
      </c>
      <c r="M2962" t="s">
        <v>33</v>
      </c>
      <c r="N2962" t="s">
        <v>34</v>
      </c>
      <c r="O2962" t="s">
        <v>32</v>
      </c>
      <c r="P2962" t="s">
        <v>37</v>
      </c>
      <c r="R2962" t="s">
        <v>43</v>
      </c>
      <c r="S2962" t="s">
        <v>44</v>
      </c>
    </row>
    <row r="2963" spans="1:21" x14ac:dyDescent="0.35">
      <c r="A2963" s="2">
        <v>42814</v>
      </c>
      <c r="B2963" s="70" t="s">
        <v>38</v>
      </c>
      <c r="C2963" s="10">
        <v>70</v>
      </c>
      <c r="D2963" s="10">
        <v>336</v>
      </c>
      <c r="E2963" t="s">
        <v>39</v>
      </c>
      <c r="I2963" s="5">
        <f>COUNTIF(E2848:E2969,"VA")</f>
        <v>0</v>
      </c>
      <c r="J2963" s="5">
        <f>COUNTIF(E2847:E2969,"VB")</f>
        <v>27</v>
      </c>
      <c r="K2963" s="5">
        <f>COUNTIF(E2839:E2969,"VIA0")</f>
        <v>21</v>
      </c>
      <c r="L2963" s="5">
        <f>COUNTIF(E2827:E2969,"VIA1")</f>
        <v>6</v>
      </c>
      <c r="M2963" s="5">
        <f>COUNTIF(E2844:E2969,"VIA2")</f>
        <v>31</v>
      </c>
      <c r="N2963" s="5">
        <f>COUNTIF(E2841:E2969,"VIA3")</f>
        <v>21</v>
      </c>
      <c r="O2963" s="5">
        <f>COUNTIF(E2838:E2969,"VIA4")</f>
        <v>0</v>
      </c>
      <c r="P2963" s="5">
        <f>COUNTIF(E2859:E2964,"VIB")</f>
        <v>0</v>
      </c>
      <c r="R2963" s="7">
        <f>AVERAGE(C2918:C2969,C2848:C2904)</f>
        <v>70.495412844036693</v>
      </c>
      <c r="S2963" s="7">
        <f>AVERAGE(D2918:D2969,D2848:D2904)</f>
        <v>307.47706422018348</v>
      </c>
    </row>
    <row r="2964" spans="1:21" x14ac:dyDescent="0.35">
      <c r="A2964" s="2">
        <v>42814</v>
      </c>
      <c r="B2964" s="70" t="s">
        <v>38</v>
      </c>
      <c r="C2964" s="10">
        <v>73</v>
      </c>
      <c r="D2964" s="10">
        <v>379</v>
      </c>
      <c r="E2964" t="s">
        <v>39</v>
      </c>
      <c r="I2964" s="6">
        <f>I2963/106*100</f>
        <v>0</v>
      </c>
      <c r="J2964" s="6">
        <f t="shared" ref="J2964:P2964" si="89">J2963/106*100</f>
        <v>25.471698113207548</v>
      </c>
      <c r="K2964" s="6">
        <f t="shared" si="89"/>
        <v>19.811320754716981</v>
      </c>
      <c r="L2964" s="6">
        <f t="shared" si="89"/>
        <v>5.6603773584905666</v>
      </c>
      <c r="M2964" s="6">
        <f t="shared" si="89"/>
        <v>29.245283018867923</v>
      </c>
      <c r="N2964" s="6">
        <f t="shared" si="89"/>
        <v>19.811320754716981</v>
      </c>
      <c r="O2964" s="6">
        <f t="shared" si="89"/>
        <v>0</v>
      </c>
      <c r="P2964" s="6">
        <f t="shared" si="89"/>
        <v>0</v>
      </c>
      <c r="Q2964" s="4"/>
      <c r="R2964" s="4"/>
      <c r="S2964" s="4"/>
    </row>
    <row r="2965" spans="1:21" x14ac:dyDescent="0.35">
      <c r="A2965" s="2">
        <v>42814</v>
      </c>
      <c r="B2965" s="70" t="s">
        <v>38</v>
      </c>
      <c r="C2965" s="10">
        <v>70</v>
      </c>
      <c r="D2965" s="10">
        <v>310</v>
      </c>
      <c r="E2965" t="s">
        <v>33</v>
      </c>
    </row>
    <row r="2966" spans="1:21" x14ac:dyDescent="0.35">
      <c r="A2966" s="2">
        <v>42814</v>
      </c>
      <c r="B2966" s="70" t="s">
        <v>38</v>
      </c>
      <c r="C2966" s="10">
        <v>69</v>
      </c>
      <c r="D2966" s="10">
        <v>286</v>
      </c>
      <c r="E2966" t="s">
        <v>33</v>
      </c>
    </row>
    <row r="2967" spans="1:21" x14ac:dyDescent="0.35">
      <c r="A2967" s="2">
        <v>42814</v>
      </c>
      <c r="B2967" s="70" t="s">
        <v>38</v>
      </c>
      <c r="C2967" s="10">
        <v>75</v>
      </c>
      <c r="D2967" s="10">
        <v>396</v>
      </c>
      <c r="E2967" t="s">
        <v>40</v>
      </c>
      <c r="I2967" t="s">
        <v>42</v>
      </c>
      <c r="J2967" t="s">
        <v>39</v>
      </c>
      <c r="K2967" t="s">
        <v>40</v>
      </c>
      <c r="L2967" t="s">
        <v>36</v>
      </c>
      <c r="M2967" t="s">
        <v>33</v>
      </c>
      <c r="N2967" t="s">
        <v>34</v>
      </c>
      <c r="O2967" t="s">
        <v>32</v>
      </c>
      <c r="P2967" t="s">
        <v>37</v>
      </c>
      <c r="R2967" t="s">
        <v>43</v>
      </c>
      <c r="S2967" t="s">
        <v>44</v>
      </c>
    </row>
    <row r="2968" spans="1:21" x14ac:dyDescent="0.35">
      <c r="A2968" s="2">
        <v>42814</v>
      </c>
      <c r="B2968" s="70" t="s">
        <v>38</v>
      </c>
      <c r="C2968" s="10">
        <v>70</v>
      </c>
      <c r="D2968" s="10">
        <v>285</v>
      </c>
      <c r="E2968" t="s">
        <v>39</v>
      </c>
      <c r="I2968" s="5">
        <f>COUNTIF(E2918:E2969,"VA")</f>
        <v>0</v>
      </c>
      <c r="J2968" s="5">
        <f>COUNTIF(E2918:E2969,"VB")</f>
        <v>14</v>
      </c>
      <c r="K2968" s="5">
        <f>COUNTIF(E2918:E2969,"VIA0")</f>
        <v>10</v>
      </c>
      <c r="L2968" s="5">
        <f>COUNTIF(E2918:E2969,"VIA1")</f>
        <v>4</v>
      </c>
      <c r="M2968" s="5">
        <f>COUNTIF(E2918:E2969,"VIA2")</f>
        <v>17</v>
      </c>
      <c r="N2968" s="5">
        <f>COUNTIF(E2918:E2969,"VIA3")</f>
        <v>7</v>
      </c>
      <c r="O2968" s="5">
        <f>COUNTIF(E2918:E2969,"VIA4")</f>
        <v>0</v>
      </c>
      <c r="P2968" s="5">
        <f>COUNTIF(E2864:E2969,"VIB")</f>
        <v>0</v>
      </c>
      <c r="R2968" s="7">
        <f>AVERAGE(C2918:C2969)</f>
        <v>70.75</v>
      </c>
      <c r="S2968" s="7">
        <f>AVERAGE(D2918:D2969)</f>
        <v>317.63461538461536</v>
      </c>
      <c r="T2968" s="7"/>
      <c r="U2968" s="7" t="e">
        <f>AVERAGE(#REF!)</f>
        <v>#REF!</v>
      </c>
    </row>
    <row r="2969" spans="1:21" s="4" customFormat="1" x14ac:dyDescent="0.35">
      <c r="A2969" s="3">
        <v>42814</v>
      </c>
      <c r="B2969" s="44" t="s">
        <v>38</v>
      </c>
      <c r="C2969" s="11">
        <v>71</v>
      </c>
      <c r="D2969" s="11">
        <v>336</v>
      </c>
      <c r="E2969" s="4" t="s">
        <v>40</v>
      </c>
      <c r="I2969" s="6">
        <f>I2968/52*100</f>
        <v>0</v>
      </c>
      <c r="J2969" s="6">
        <f t="shared" ref="J2969:P2969" si="90">J2968/52*100</f>
        <v>26.923076923076923</v>
      </c>
      <c r="K2969" s="6">
        <f t="shared" si="90"/>
        <v>19.230769230769234</v>
      </c>
      <c r="L2969" s="6">
        <f t="shared" si="90"/>
        <v>7.6923076923076925</v>
      </c>
      <c r="M2969" s="6">
        <f t="shared" si="90"/>
        <v>32.692307692307693</v>
      </c>
      <c r="N2969" s="6">
        <f>N2968/52*100</f>
        <v>13.461538461538462</v>
      </c>
      <c r="O2969" s="6">
        <f t="shared" si="90"/>
        <v>0</v>
      </c>
      <c r="P2969" s="6">
        <f t="shared" si="90"/>
        <v>0</v>
      </c>
    </row>
    <row r="2970" spans="1:21" s="22" customFormat="1" x14ac:dyDescent="0.35">
      <c r="A2970" s="19">
        <v>42815</v>
      </c>
      <c r="B2970" s="71" t="s">
        <v>29</v>
      </c>
      <c r="C2970" s="20">
        <v>93</v>
      </c>
      <c r="D2970" s="20">
        <v>1035</v>
      </c>
      <c r="E2970" s="20" t="s">
        <v>98</v>
      </c>
    </row>
    <row r="2971" spans="1:21" x14ac:dyDescent="0.35">
      <c r="A2971" s="2">
        <v>42815</v>
      </c>
      <c r="B2971" s="70" t="s">
        <v>38</v>
      </c>
      <c r="C2971" s="10">
        <v>101</v>
      </c>
      <c r="D2971" s="10">
        <v>1151</v>
      </c>
      <c r="E2971" s="10" t="s">
        <v>98</v>
      </c>
    </row>
    <row r="2972" spans="1:21" x14ac:dyDescent="0.35">
      <c r="A2972" s="2">
        <v>42815</v>
      </c>
      <c r="B2972" s="70" t="s">
        <v>38</v>
      </c>
      <c r="C2972" s="10">
        <v>106</v>
      </c>
      <c r="D2972" s="10">
        <v>1322</v>
      </c>
      <c r="E2972" s="10" t="s">
        <v>98</v>
      </c>
    </row>
    <row r="2973" spans="1:21" s="4" customFormat="1" x14ac:dyDescent="0.35">
      <c r="A2973" s="3">
        <v>42815</v>
      </c>
      <c r="B2973" s="44" t="s">
        <v>38</v>
      </c>
      <c r="C2973" s="11">
        <v>131</v>
      </c>
      <c r="D2973" s="11">
        <v>2273</v>
      </c>
      <c r="E2973" s="11" t="s">
        <v>98</v>
      </c>
    </row>
    <row r="2974" spans="1:21" x14ac:dyDescent="0.35">
      <c r="A2974" s="2">
        <v>42818</v>
      </c>
      <c r="B2974" s="70" t="s">
        <v>38</v>
      </c>
      <c r="C2974" s="10">
        <v>326</v>
      </c>
      <c r="D2974" s="10">
        <v>26636</v>
      </c>
      <c r="E2974" s="10" t="s">
        <v>101</v>
      </c>
    </row>
    <row r="2975" spans="1:21" x14ac:dyDescent="0.35">
      <c r="A2975" s="2">
        <v>42818</v>
      </c>
      <c r="B2975" s="70" t="s">
        <v>38</v>
      </c>
      <c r="C2975" s="10">
        <v>89</v>
      </c>
      <c r="D2975" s="10">
        <v>756</v>
      </c>
      <c r="E2975" s="10" t="s">
        <v>98</v>
      </c>
    </row>
    <row r="2976" spans="1:21" x14ac:dyDescent="0.35">
      <c r="A2976" s="2">
        <v>42818</v>
      </c>
      <c r="B2976" s="70" t="s">
        <v>38</v>
      </c>
      <c r="C2976" s="10">
        <v>72</v>
      </c>
      <c r="D2976" s="10">
        <v>284</v>
      </c>
      <c r="E2976" s="10" t="s">
        <v>33</v>
      </c>
      <c r="F2976" t="s">
        <v>238</v>
      </c>
    </row>
    <row r="2977" spans="1:6" x14ac:dyDescent="0.35">
      <c r="A2977" s="2">
        <v>42818</v>
      </c>
      <c r="B2977" s="70" t="s">
        <v>38</v>
      </c>
      <c r="C2977" s="10">
        <v>69</v>
      </c>
      <c r="D2977" s="10">
        <v>232</v>
      </c>
      <c r="E2977" s="10" t="s">
        <v>36</v>
      </c>
      <c r="F2977" t="s">
        <v>239</v>
      </c>
    </row>
    <row r="2978" spans="1:6" x14ac:dyDescent="0.35">
      <c r="A2978" s="2">
        <v>42818</v>
      </c>
      <c r="B2978" s="70" t="s">
        <v>38</v>
      </c>
      <c r="C2978" s="10">
        <v>70</v>
      </c>
      <c r="D2978" s="10">
        <v>254</v>
      </c>
      <c r="E2978" s="10" t="s">
        <v>33</v>
      </c>
      <c r="F2978" t="s">
        <v>240</v>
      </c>
    </row>
    <row r="2979" spans="1:6" x14ac:dyDescent="0.35">
      <c r="A2979" s="2">
        <v>42818</v>
      </c>
      <c r="B2979" s="70" t="s">
        <v>38</v>
      </c>
      <c r="C2979" s="10">
        <v>59</v>
      </c>
      <c r="D2979" s="10">
        <v>121</v>
      </c>
      <c r="E2979" s="10" t="s">
        <v>34</v>
      </c>
      <c r="F2979" t="s">
        <v>241</v>
      </c>
    </row>
    <row r="2980" spans="1:6" x14ac:dyDescent="0.35">
      <c r="A2980" s="2">
        <v>42818</v>
      </c>
      <c r="B2980" s="70" t="s">
        <v>38</v>
      </c>
      <c r="C2980" s="10">
        <v>65</v>
      </c>
      <c r="D2980" s="10">
        <v>248</v>
      </c>
      <c r="E2980" s="10" t="s">
        <v>33</v>
      </c>
      <c r="F2980" t="s">
        <v>242</v>
      </c>
    </row>
    <row r="2981" spans="1:6" x14ac:dyDescent="0.35">
      <c r="A2981" s="2">
        <v>42818</v>
      </c>
      <c r="B2981" s="70" t="s">
        <v>38</v>
      </c>
      <c r="C2981" s="10">
        <v>72</v>
      </c>
      <c r="D2981" s="10">
        <v>248</v>
      </c>
      <c r="E2981" s="10" t="s">
        <v>33</v>
      </c>
    </row>
    <row r="2982" spans="1:6" x14ac:dyDescent="0.35">
      <c r="A2982" s="2">
        <v>42818</v>
      </c>
      <c r="B2982" s="70" t="s">
        <v>38</v>
      </c>
      <c r="C2982" s="10">
        <v>75</v>
      </c>
      <c r="D2982" s="10">
        <v>350</v>
      </c>
      <c r="E2982" s="10" t="s">
        <v>33</v>
      </c>
    </row>
    <row r="2983" spans="1:6" x14ac:dyDescent="0.35">
      <c r="A2983" s="2">
        <v>42818</v>
      </c>
      <c r="B2983" s="70" t="s">
        <v>38</v>
      </c>
      <c r="C2983" s="10">
        <v>67</v>
      </c>
      <c r="D2983" s="10">
        <v>230</v>
      </c>
      <c r="E2983" s="10" t="s">
        <v>39</v>
      </c>
    </row>
    <row r="2984" spans="1:6" x14ac:dyDescent="0.35">
      <c r="A2984" s="2">
        <v>42818</v>
      </c>
      <c r="B2984" s="70" t="s">
        <v>38</v>
      </c>
      <c r="C2984" s="10">
        <v>69</v>
      </c>
      <c r="D2984" s="10">
        <v>306</v>
      </c>
      <c r="E2984" s="10" t="s">
        <v>36</v>
      </c>
      <c r="F2984" t="s">
        <v>243</v>
      </c>
    </row>
    <row r="2985" spans="1:6" x14ac:dyDescent="0.35">
      <c r="A2985" s="2">
        <v>42818</v>
      </c>
      <c r="B2985" s="70" t="s">
        <v>38</v>
      </c>
      <c r="C2985" s="10">
        <v>72</v>
      </c>
      <c r="D2985" s="10">
        <v>306</v>
      </c>
      <c r="E2985" s="10" t="s">
        <v>34</v>
      </c>
    </row>
    <row r="2986" spans="1:6" x14ac:dyDescent="0.35">
      <c r="A2986" s="2">
        <v>42818</v>
      </c>
      <c r="B2986" s="70" t="s">
        <v>38</v>
      </c>
      <c r="C2986" s="10">
        <v>69</v>
      </c>
      <c r="D2986" s="10">
        <v>315</v>
      </c>
      <c r="E2986" s="10" t="s">
        <v>40</v>
      </c>
    </row>
    <row r="2987" spans="1:6" x14ac:dyDescent="0.35">
      <c r="A2987" s="2">
        <v>42818</v>
      </c>
      <c r="B2987" s="70" t="s">
        <v>38</v>
      </c>
      <c r="C2987" s="10">
        <v>70</v>
      </c>
      <c r="D2987" s="10">
        <v>267</v>
      </c>
      <c r="E2987" s="10" t="s">
        <v>39</v>
      </c>
    </row>
    <row r="2988" spans="1:6" x14ac:dyDescent="0.35">
      <c r="A2988" s="2">
        <v>42818</v>
      </c>
      <c r="B2988" s="70" t="s">
        <v>38</v>
      </c>
      <c r="C2988" s="10">
        <v>69</v>
      </c>
      <c r="D2988" s="10">
        <v>238</v>
      </c>
      <c r="E2988" s="10" t="s">
        <v>40</v>
      </c>
    </row>
    <row r="2989" spans="1:6" x14ac:dyDescent="0.35">
      <c r="A2989" s="2">
        <v>42818</v>
      </c>
      <c r="B2989" s="70" t="s">
        <v>38</v>
      </c>
      <c r="C2989" s="10">
        <v>67</v>
      </c>
      <c r="D2989" s="10">
        <v>240</v>
      </c>
      <c r="E2989" s="10" t="s">
        <v>34</v>
      </c>
    </row>
    <row r="2990" spans="1:6" x14ac:dyDescent="0.35">
      <c r="A2990" s="2">
        <v>42818</v>
      </c>
      <c r="B2990" s="70" t="s">
        <v>38</v>
      </c>
      <c r="C2990" s="10">
        <v>67</v>
      </c>
      <c r="D2990" s="10">
        <v>231</v>
      </c>
      <c r="E2990" s="10" t="s">
        <v>33</v>
      </c>
    </row>
    <row r="2991" spans="1:6" x14ac:dyDescent="0.35">
      <c r="A2991" s="2">
        <v>42818</v>
      </c>
      <c r="B2991" s="70" t="s">
        <v>38</v>
      </c>
      <c r="C2991" s="10">
        <v>68</v>
      </c>
      <c r="D2991" s="10">
        <v>234</v>
      </c>
      <c r="E2991" s="10" t="s">
        <v>39</v>
      </c>
    </row>
    <row r="2992" spans="1:6" x14ac:dyDescent="0.35">
      <c r="A2992" s="2">
        <v>42818</v>
      </c>
      <c r="B2992" s="70" t="s">
        <v>38</v>
      </c>
      <c r="C2992" s="10">
        <v>66</v>
      </c>
      <c r="D2992" s="10">
        <v>203</v>
      </c>
      <c r="E2992" s="10" t="s">
        <v>33</v>
      </c>
    </row>
    <row r="2993" spans="1:5" x14ac:dyDescent="0.35">
      <c r="A2993" s="2">
        <v>42818</v>
      </c>
      <c r="B2993" s="70" t="s">
        <v>38</v>
      </c>
      <c r="C2993" s="10">
        <v>68</v>
      </c>
      <c r="D2993" s="10">
        <v>251</v>
      </c>
      <c r="E2993" s="10" t="s">
        <v>33</v>
      </c>
    </row>
    <row r="2994" spans="1:5" x14ac:dyDescent="0.35">
      <c r="A2994" s="2">
        <v>42818</v>
      </c>
      <c r="B2994" s="70" t="s">
        <v>38</v>
      </c>
      <c r="C2994" s="10">
        <v>71</v>
      </c>
      <c r="D2994" s="10">
        <v>252</v>
      </c>
      <c r="E2994" s="10" t="s">
        <v>40</v>
      </c>
    </row>
    <row r="2995" spans="1:5" x14ac:dyDescent="0.35">
      <c r="A2995" s="2">
        <v>42818</v>
      </c>
      <c r="B2995" s="70" t="s">
        <v>38</v>
      </c>
      <c r="C2995" s="10">
        <v>70</v>
      </c>
      <c r="D2995" s="10">
        <v>322</v>
      </c>
      <c r="E2995" s="10" t="s">
        <v>33</v>
      </c>
    </row>
    <row r="2996" spans="1:5" x14ac:dyDescent="0.35">
      <c r="A2996" s="2">
        <v>42818</v>
      </c>
      <c r="B2996" s="70" t="s">
        <v>38</v>
      </c>
      <c r="C2996" s="10">
        <v>67</v>
      </c>
      <c r="D2996" s="10">
        <v>242</v>
      </c>
      <c r="E2996" s="10" t="s">
        <v>33</v>
      </c>
    </row>
    <row r="2997" spans="1:5" x14ac:dyDescent="0.35">
      <c r="A2997" s="2">
        <v>42818</v>
      </c>
      <c r="B2997" s="70" t="s">
        <v>38</v>
      </c>
      <c r="C2997" s="10">
        <v>71</v>
      </c>
      <c r="D2997" s="10">
        <v>275</v>
      </c>
      <c r="E2997" s="10" t="s">
        <v>33</v>
      </c>
    </row>
    <row r="2998" spans="1:5" x14ac:dyDescent="0.35">
      <c r="A2998" s="2">
        <v>42818</v>
      </c>
      <c r="B2998" s="70" t="s">
        <v>38</v>
      </c>
      <c r="C2998" s="10">
        <v>72</v>
      </c>
      <c r="D2998" s="10">
        <v>283</v>
      </c>
      <c r="E2998" s="10" t="s">
        <v>40</v>
      </c>
    </row>
    <row r="2999" spans="1:5" x14ac:dyDescent="0.35">
      <c r="A2999" s="2">
        <v>42818</v>
      </c>
      <c r="B2999" s="70" t="s">
        <v>38</v>
      </c>
      <c r="C2999" s="10">
        <v>78</v>
      </c>
      <c r="D2999" s="10">
        <v>393</v>
      </c>
      <c r="E2999" s="10" t="s">
        <v>36</v>
      </c>
    </row>
    <row r="3000" spans="1:5" x14ac:dyDescent="0.35">
      <c r="A3000" s="2">
        <v>42818</v>
      </c>
      <c r="B3000" s="70" t="s">
        <v>38</v>
      </c>
      <c r="C3000" s="10">
        <v>75</v>
      </c>
      <c r="D3000" s="10">
        <v>330</v>
      </c>
      <c r="E3000" s="10" t="s">
        <v>33</v>
      </c>
    </row>
    <row r="3001" spans="1:5" x14ac:dyDescent="0.35">
      <c r="A3001" s="2">
        <v>42818</v>
      </c>
      <c r="B3001" s="70" t="s">
        <v>38</v>
      </c>
      <c r="C3001" s="10">
        <v>67</v>
      </c>
      <c r="D3001" s="10">
        <v>270</v>
      </c>
      <c r="E3001" s="10" t="s">
        <v>33</v>
      </c>
    </row>
    <row r="3002" spans="1:5" x14ac:dyDescent="0.35">
      <c r="A3002" s="2">
        <v>42818</v>
      </c>
      <c r="B3002" s="70" t="s">
        <v>38</v>
      </c>
      <c r="C3002" s="10">
        <v>69</v>
      </c>
      <c r="D3002" s="10">
        <v>243</v>
      </c>
      <c r="E3002" s="10" t="s">
        <v>40</v>
      </c>
    </row>
    <row r="3003" spans="1:5" x14ac:dyDescent="0.35">
      <c r="A3003" s="2">
        <v>42818</v>
      </c>
      <c r="B3003" s="70" t="s">
        <v>38</v>
      </c>
      <c r="C3003" s="10">
        <v>71</v>
      </c>
      <c r="D3003" s="10">
        <v>339</v>
      </c>
      <c r="E3003" s="10" t="s">
        <v>33</v>
      </c>
    </row>
    <row r="3004" spans="1:5" x14ac:dyDescent="0.35">
      <c r="A3004" s="2">
        <v>42818</v>
      </c>
      <c r="B3004" s="70" t="s">
        <v>38</v>
      </c>
      <c r="C3004" s="10">
        <v>71</v>
      </c>
      <c r="D3004" s="10">
        <v>221</v>
      </c>
      <c r="E3004" s="10" t="s">
        <v>33</v>
      </c>
    </row>
    <row r="3005" spans="1:5" x14ac:dyDescent="0.35">
      <c r="A3005" s="2">
        <v>42818</v>
      </c>
      <c r="B3005" s="70" t="s">
        <v>38</v>
      </c>
      <c r="C3005" s="10">
        <v>70</v>
      </c>
      <c r="D3005" s="10">
        <v>298</v>
      </c>
      <c r="E3005" s="10" t="s">
        <v>34</v>
      </c>
    </row>
    <row r="3006" spans="1:5" x14ac:dyDescent="0.35">
      <c r="A3006" s="2">
        <v>42818</v>
      </c>
      <c r="B3006" s="70" t="s">
        <v>38</v>
      </c>
      <c r="C3006" s="10">
        <v>71</v>
      </c>
      <c r="D3006" s="10">
        <v>272</v>
      </c>
      <c r="E3006" s="10" t="s">
        <v>33</v>
      </c>
    </row>
    <row r="3007" spans="1:5" x14ac:dyDescent="0.35">
      <c r="A3007" s="2">
        <v>42818</v>
      </c>
      <c r="B3007" s="70" t="s">
        <v>38</v>
      </c>
      <c r="C3007" s="10">
        <v>67</v>
      </c>
      <c r="D3007" s="10">
        <v>254</v>
      </c>
      <c r="E3007" s="10" t="s">
        <v>33</v>
      </c>
    </row>
    <row r="3008" spans="1:5" x14ac:dyDescent="0.35">
      <c r="A3008" s="2">
        <v>42818</v>
      </c>
      <c r="B3008" s="70" t="s">
        <v>38</v>
      </c>
      <c r="C3008" s="10">
        <v>68</v>
      </c>
      <c r="D3008" s="10">
        <v>260</v>
      </c>
      <c r="E3008" s="10" t="s">
        <v>33</v>
      </c>
    </row>
    <row r="3009" spans="1:21" x14ac:dyDescent="0.35">
      <c r="A3009" s="2">
        <v>42818</v>
      </c>
      <c r="B3009" s="70" t="s">
        <v>38</v>
      </c>
      <c r="C3009" s="10">
        <v>72</v>
      </c>
      <c r="D3009" s="10">
        <v>252</v>
      </c>
      <c r="E3009" s="10" t="s">
        <v>40</v>
      </c>
    </row>
    <row r="3010" spans="1:21" x14ac:dyDescent="0.35">
      <c r="A3010" s="2">
        <v>42818</v>
      </c>
      <c r="B3010" s="70" t="s">
        <v>38</v>
      </c>
      <c r="C3010" s="10">
        <v>71</v>
      </c>
      <c r="D3010" s="10">
        <v>306</v>
      </c>
      <c r="E3010" s="10" t="s">
        <v>39</v>
      </c>
    </row>
    <row r="3011" spans="1:21" x14ac:dyDescent="0.35">
      <c r="A3011" s="2">
        <v>42818</v>
      </c>
      <c r="B3011" s="70" t="s">
        <v>38</v>
      </c>
      <c r="C3011" s="10">
        <v>67</v>
      </c>
      <c r="D3011" s="10">
        <v>247</v>
      </c>
      <c r="E3011" s="10" t="s">
        <v>34</v>
      </c>
    </row>
    <row r="3012" spans="1:21" x14ac:dyDescent="0.35">
      <c r="A3012" s="2">
        <v>42818</v>
      </c>
      <c r="B3012" s="70" t="s">
        <v>38</v>
      </c>
      <c r="C3012" s="10">
        <v>70</v>
      </c>
      <c r="D3012" s="10">
        <v>235</v>
      </c>
      <c r="E3012" s="10" t="s">
        <v>33</v>
      </c>
    </row>
    <row r="3013" spans="1:21" x14ac:dyDescent="0.35">
      <c r="A3013" s="2">
        <v>42818</v>
      </c>
      <c r="B3013" s="70" t="s">
        <v>38</v>
      </c>
      <c r="C3013" s="10">
        <v>65</v>
      </c>
      <c r="D3013" s="10">
        <v>231</v>
      </c>
      <c r="E3013" s="10" t="s">
        <v>39</v>
      </c>
      <c r="F3013" t="s">
        <v>244</v>
      </c>
    </row>
    <row r="3014" spans="1:21" x14ac:dyDescent="0.35">
      <c r="A3014" s="2">
        <v>42818</v>
      </c>
      <c r="B3014" s="70" t="s">
        <v>38</v>
      </c>
      <c r="C3014" s="10">
        <v>62</v>
      </c>
      <c r="D3014" s="10">
        <v>176</v>
      </c>
      <c r="E3014" s="10" t="s">
        <v>40</v>
      </c>
    </row>
    <row r="3015" spans="1:21" x14ac:dyDescent="0.35">
      <c r="A3015" s="2">
        <v>42818</v>
      </c>
      <c r="B3015" s="70" t="s">
        <v>38</v>
      </c>
      <c r="C3015" s="10">
        <v>74</v>
      </c>
      <c r="D3015" s="10">
        <v>281</v>
      </c>
      <c r="E3015" s="10" t="s">
        <v>32</v>
      </c>
      <c r="F3015" t="s">
        <v>198</v>
      </c>
    </row>
    <row r="3016" spans="1:21" x14ac:dyDescent="0.35">
      <c r="A3016" s="2">
        <v>42818</v>
      </c>
      <c r="B3016" s="70" t="s">
        <v>38</v>
      </c>
      <c r="C3016" s="10">
        <v>62</v>
      </c>
      <c r="D3016" s="10">
        <v>224</v>
      </c>
      <c r="E3016" s="10" t="s">
        <v>33</v>
      </c>
    </row>
    <row r="3017" spans="1:21" x14ac:dyDescent="0.35">
      <c r="A3017" s="2">
        <v>42818</v>
      </c>
      <c r="B3017" s="70" t="s">
        <v>38</v>
      </c>
      <c r="C3017" s="10">
        <v>73</v>
      </c>
      <c r="D3017" s="10">
        <v>318</v>
      </c>
      <c r="E3017" s="10" t="s">
        <v>34</v>
      </c>
    </row>
    <row r="3018" spans="1:21" x14ac:dyDescent="0.35">
      <c r="A3018" s="2">
        <v>42818</v>
      </c>
      <c r="B3018" s="70" t="s">
        <v>38</v>
      </c>
      <c r="C3018" s="10">
        <v>69</v>
      </c>
      <c r="D3018" s="10">
        <v>272</v>
      </c>
      <c r="E3018" s="10" t="s">
        <v>34</v>
      </c>
    </row>
    <row r="3019" spans="1:21" x14ac:dyDescent="0.35">
      <c r="A3019" s="2">
        <v>42818</v>
      </c>
      <c r="B3019" s="70" t="s">
        <v>38</v>
      </c>
      <c r="C3019" s="10">
        <v>68</v>
      </c>
      <c r="D3019" s="10">
        <v>240</v>
      </c>
      <c r="E3019" s="10" t="s">
        <v>33</v>
      </c>
    </row>
    <row r="3020" spans="1:21" x14ac:dyDescent="0.35">
      <c r="A3020" s="2">
        <v>42818</v>
      </c>
      <c r="B3020" s="70" t="s">
        <v>38</v>
      </c>
      <c r="C3020" s="10">
        <v>70</v>
      </c>
      <c r="D3020" s="10">
        <v>252</v>
      </c>
      <c r="E3020" s="10" t="s">
        <v>33</v>
      </c>
      <c r="F3020" t="s">
        <v>198</v>
      </c>
    </row>
    <row r="3021" spans="1:21" x14ac:dyDescent="0.35">
      <c r="A3021" s="2">
        <v>42818</v>
      </c>
      <c r="B3021" s="70" t="s">
        <v>38</v>
      </c>
      <c r="C3021" s="10">
        <v>66</v>
      </c>
      <c r="D3021" s="10">
        <v>194</v>
      </c>
      <c r="E3021" s="10" t="s">
        <v>33</v>
      </c>
    </row>
    <row r="3022" spans="1:21" x14ac:dyDescent="0.35">
      <c r="A3022" s="2">
        <v>42818</v>
      </c>
      <c r="B3022" s="70" t="s">
        <v>38</v>
      </c>
      <c r="C3022" s="10">
        <v>72</v>
      </c>
      <c r="D3022" s="10">
        <v>283</v>
      </c>
      <c r="E3022" s="10" t="s">
        <v>39</v>
      </c>
    </row>
    <row r="3023" spans="1:21" x14ac:dyDescent="0.35">
      <c r="A3023" s="2">
        <v>42818</v>
      </c>
      <c r="B3023" s="70" t="s">
        <v>38</v>
      </c>
      <c r="C3023" s="10">
        <v>69</v>
      </c>
      <c r="D3023" s="10">
        <v>248</v>
      </c>
      <c r="E3023" s="10" t="s">
        <v>34</v>
      </c>
      <c r="I3023" t="s">
        <v>42</v>
      </c>
      <c r="J3023" t="s">
        <v>39</v>
      </c>
      <c r="K3023" t="s">
        <v>40</v>
      </c>
      <c r="L3023" t="s">
        <v>36</v>
      </c>
      <c r="M3023" t="s">
        <v>33</v>
      </c>
      <c r="N3023" t="s">
        <v>34</v>
      </c>
      <c r="O3023" t="s">
        <v>32</v>
      </c>
      <c r="P3023" t="s">
        <v>37</v>
      </c>
      <c r="R3023" t="s">
        <v>43</v>
      </c>
      <c r="S3023" t="s">
        <v>44</v>
      </c>
    </row>
    <row r="3024" spans="1:21" x14ac:dyDescent="0.35">
      <c r="A3024" s="2">
        <v>42818</v>
      </c>
      <c r="B3024" s="70" t="s">
        <v>38</v>
      </c>
      <c r="C3024" s="10">
        <v>73</v>
      </c>
      <c r="D3024" s="10">
        <v>340</v>
      </c>
      <c r="E3024" s="10" t="s">
        <v>33</v>
      </c>
      <c r="F3024" t="s">
        <v>198</v>
      </c>
      <c r="I3024" s="5">
        <f>COUNTIF(E2976:E3025,"VA")</f>
        <v>0</v>
      </c>
      <c r="J3024" s="5">
        <f>COUNTIF(E2976:E3025,"VB")</f>
        <v>7</v>
      </c>
      <c r="K3024" s="5">
        <f>COUNTIF(E2976:E3025,"VIA0")</f>
        <v>7</v>
      </c>
      <c r="L3024" s="5">
        <f>COUNTIF(E2974:E3025,"VIA1")</f>
        <v>3</v>
      </c>
      <c r="M3024" s="5">
        <f>COUNTIF(E2974:E3025,"VIA2")</f>
        <v>24</v>
      </c>
      <c r="N3024" s="5">
        <f>COUNTIF(E2974:E3025,"VIA3")</f>
        <v>8</v>
      </c>
      <c r="O3024" s="5">
        <f>COUNTIF(E2974:E3025,"VIA4")</f>
        <v>1</v>
      </c>
      <c r="P3024" s="5">
        <f>COUNTIF(E2920:E3025,"VIB")</f>
        <v>0</v>
      </c>
      <c r="R3024" s="7">
        <f>AVERAGE(C2976:C3025)</f>
        <v>69.3</v>
      </c>
      <c r="S3024" s="7">
        <f>AVERAGE(D2976:D3025)</f>
        <v>264.26</v>
      </c>
      <c r="T3024" s="7" t="e">
        <f>AVERAGE(E2976:E3025)</f>
        <v>#DIV/0!</v>
      </c>
      <c r="U3024" s="7" t="e">
        <f>AVERAGE(#REF!)</f>
        <v>#REF!</v>
      </c>
    </row>
    <row r="3025" spans="1:16" s="4" customFormat="1" x14ac:dyDescent="0.35">
      <c r="A3025" s="3">
        <v>42818</v>
      </c>
      <c r="B3025" s="44" t="s">
        <v>38</v>
      </c>
      <c r="C3025" s="11">
        <v>70</v>
      </c>
      <c r="D3025" s="11">
        <v>302</v>
      </c>
      <c r="E3025" s="11" t="s">
        <v>39</v>
      </c>
      <c r="I3025" s="6">
        <f t="shared" ref="I3025:O3025" si="91">I3024/50*100</f>
        <v>0</v>
      </c>
      <c r="J3025" s="6">
        <f t="shared" si="91"/>
        <v>14.000000000000002</v>
      </c>
      <c r="K3025" s="6">
        <f t="shared" si="91"/>
        <v>14.000000000000002</v>
      </c>
      <c r="L3025" s="6">
        <f t="shared" si="91"/>
        <v>6</v>
      </c>
      <c r="M3025" s="6">
        <f t="shared" si="91"/>
        <v>48</v>
      </c>
      <c r="N3025" s="6">
        <f t="shared" si="91"/>
        <v>16</v>
      </c>
      <c r="O3025" s="6">
        <f t="shared" si="91"/>
        <v>2</v>
      </c>
      <c r="P3025" s="6">
        <f t="shared" ref="P3025" si="92">P3024/99*100</f>
        <v>0</v>
      </c>
    </row>
    <row r="3026" spans="1:16" x14ac:dyDescent="0.35">
      <c r="A3026" s="2">
        <v>42818</v>
      </c>
      <c r="B3026" s="70" t="s">
        <v>29</v>
      </c>
      <c r="C3026" s="10">
        <v>120</v>
      </c>
      <c r="D3026" s="10">
        <v>2081</v>
      </c>
      <c r="E3026" s="10" t="s">
        <v>98</v>
      </c>
    </row>
    <row r="3027" spans="1:16" x14ac:dyDescent="0.35">
      <c r="A3027" s="2">
        <v>42818</v>
      </c>
      <c r="B3027" s="70" t="s">
        <v>29</v>
      </c>
      <c r="C3027" s="10">
        <v>128</v>
      </c>
      <c r="D3027" s="10">
        <v>2427</v>
      </c>
      <c r="E3027" s="10" t="s">
        <v>98</v>
      </c>
    </row>
    <row r="3028" spans="1:16" x14ac:dyDescent="0.35">
      <c r="A3028" s="2">
        <v>42818</v>
      </c>
      <c r="B3028" s="70" t="s">
        <v>29</v>
      </c>
      <c r="C3028" s="10">
        <v>102</v>
      </c>
      <c r="D3028" s="10">
        <v>1107</v>
      </c>
      <c r="E3028" s="10" t="s">
        <v>98</v>
      </c>
    </row>
    <row r="3029" spans="1:16" x14ac:dyDescent="0.35">
      <c r="A3029" s="2">
        <v>42818</v>
      </c>
      <c r="B3029" s="70" t="s">
        <v>29</v>
      </c>
      <c r="C3029" s="10">
        <v>96</v>
      </c>
      <c r="D3029" s="10">
        <v>802</v>
      </c>
      <c r="E3029" s="10" t="s">
        <v>98</v>
      </c>
    </row>
    <row r="3030" spans="1:16" x14ac:dyDescent="0.35">
      <c r="A3030" s="2">
        <v>42818</v>
      </c>
      <c r="B3030" s="70" t="s">
        <v>29</v>
      </c>
      <c r="C3030" s="10">
        <v>149</v>
      </c>
      <c r="D3030" s="10">
        <v>4751</v>
      </c>
      <c r="E3030" s="10" t="s">
        <v>98</v>
      </c>
    </row>
    <row r="3031" spans="1:16" x14ac:dyDescent="0.35">
      <c r="A3031" s="2">
        <v>42818</v>
      </c>
      <c r="B3031" s="70" t="s">
        <v>29</v>
      </c>
      <c r="C3031" s="10">
        <v>125</v>
      </c>
      <c r="D3031" s="10">
        <v>2075</v>
      </c>
      <c r="E3031" s="10" t="s">
        <v>98</v>
      </c>
    </row>
    <row r="3032" spans="1:16" x14ac:dyDescent="0.35">
      <c r="A3032" s="2">
        <v>42818</v>
      </c>
      <c r="B3032" s="70" t="s">
        <v>29</v>
      </c>
      <c r="C3032" s="10">
        <v>64</v>
      </c>
      <c r="D3032" s="10">
        <v>198</v>
      </c>
      <c r="E3032" s="10" t="s">
        <v>36</v>
      </c>
      <c r="F3032" t="s">
        <v>245</v>
      </c>
    </row>
    <row r="3033" spans="1:16" x14ac:dyDescent="0.35">
      <c r="A3033" s="2">
        <v>42818</v>
      </c>
      <c r="B3033" s="70" t="s">
        <v>29</v>
      </c>
      <c r="C3033" s="10">
        <v>71</v>
      </c>
      <c r="D3033" s="10">
        <v>303</v>
      </c>
      <c r="E3033" s="10" t="s">
        <v>33</v>
      </c>
      <c r="F3033" t="s">
        <v>246</v>
      </c>
    </row>
    <row r="3034" spans="1:16" x14ac:dyDescent="0.35">
      <c r="A3034" s="2">
        <v>42818</v>
      </c>
      <c r="B3034" s="70" t="s">
        <v>29</v>
      </c>
      <c r="C3034" s="10">
        <v>71</v>
      </c>
      <c r="D3034" s="10">
        <v>289</v>
      </c>
      <c r="E3034" s="10" t="s">
        <v>34</v>
      </c>
      <c r="F3034" t="s">
        <v>247</v>
      </c>
    </row>
    <row r="3035" spans="1:16" x14ac:dyDescent="0.35">
      <c r="A3035" s="2">
        <v>42818</v>
      </c>
      <c r="B3035" s="70" t="s">
        <v>29</v>
      </c>
      <c r="C3035" s="10">
        <v>77</v>
      </c>
      <c r="D3035" s="10">
        <v>400</v>
      </c>
      <c r="E3035" s="10" t="s">
        <v>39</v>
      </c>
      <c r="F3035" t="s">
        <v>248</v>
      </c>
    </row>
    <row r="3036" spans="1:16" x14ac:dyDescent="0.35">
      <c r="A3036" s="2">
        <v>42818</v>
      </c>
      <c r="B3036" s="70" t="s">
        <v>29</v>
      </c>
      <c r="C3036" s="10">
        <v>70</v>
      </c>
      <c r="D3036" s="10">
        <v>300</v>
      </c>
      <c r="E3036" s="10" t="s">
        <v>34</v>
      </c>
      <c r="F3036" t="s">
        <v>249</v>
      </c>
    </row>
    <row r="3037" spans="1:16" x14ac:dyDescent="0.35">
      <c r="A3037" s="2">
        <v>42818</v>
      </c>
      <c r="B3037" s="70" t="s">
        <v>29</v>
      </c>
      <c r="C3037" s="10">
        <v>72</v>
      </c>
      <c r="D3037" s="10">
        <v>252</v>
      </c>
      <c r="E3037" s="10" t="s">
        <v>33</v>
      </c>
    </row>
    <row r="3038" spans="1:16" x14ac:dyDescent="0.35">
      <c r="A3038" s="2">
        <v>42818</v>
      </c>
      <c r="B3038" s="70" t="s">
        <v>29</v>
      </c>
      <c r="C3038" s="10">
        <v>79</v>
      </c>
      <c r="D3038" s="10">
        <v>368</v>
      </c>
      <c r="E3038" s="10" t="s">
        <v>33</v>
      </c>
    </row>
    <row r="3039" spans="1:16" x14ac:dyDescent="0.35">
      <c r="A3039" s="2">
        <v>42818</v>
      </c>
      <c r="B3039" s="70" t="s">
        <v>29</v>
      </c>
      <c r="C3039" s="10">
        <v>70</v>
      </c>
      <c r="D3039" s="10">
        <v>282</v>
      </c>
      <c r="E3039" s="10" t="s">
        <v>33</v>
      </c>
    </row>
    <row r="3040" spans="1:16" x14ac:dyDescent="0.35">
      <c r="A3040" s="2">
        <v>42818</v>
      </c>
      <c r="B3040" s="70" t="s">
        <v>29</v>
      </c>
      <c r="C3040" s="10">
        <v>67</v>
      </c>
      <c r="D3040" s="10">
        <v>245</v>
      </c>
      <c r="E3040" s="10" t="s">
        <v>34</v>
      </c>
    </row>
    <row r="3041" spans="1:5" x14ac:dyDescent="0.35">
      <c r="A3041" s="2">
        <v>42818</v>
      </c>
      <c r="B3041" s="70" t="s">
        <v>29</v>
      </c>
      <c r="C3041" s="10">
        <v>72</v>
      </c>
      <c r="D3041" s="10">
        <v>319</v>
      </c>
      <c r="E3041" s="10" t="s">
        <v>33</v>
      </c>
    </row>
    <row r="3042" spans="1:5" x14ac:dyDescent="0.35">
      <c r="A3042" s="2">
        <v>42818</v>
      </c>
      <c r="B3042" s="70" t="s">
        <v>29</v>
      </c>
      <c r="C3042" s="10">
        <v>68</v>
      </c>
      <c r="D3042" s="10">
        <v>272</v>
      </c>
      <c r="E3042" s="10" t="s">
        <v>33</v>
      </c>
    </row>
    <row r="3043" spans="1:5" x14ac:dyDescent="0.35">
      <c r="A3043" s="2">
        <v>42818</v>
      </c>
      <c r="B3043" s="70" t="s">
        <v>29</v>
      </c>
      <c r="C3043" s="10">
        <v>67</v>
      </c>
      <c r="D3043" s="10">
        <v>243</v>
      </c>
      <c r="E3043" s="10" t="s">
        <v>33</v>
      </c>
    </row>
    <row r="3044" spans="1:5" x14ac:dyDescent="0.35">
      <c r="A3044" s="2">
        <v>42818</v>
      </c>
      <c r="B3044" s="70" t="s">
        <v>29</v>
      </c>
      <c r="C3044" s="10">
        <v>68</v>
      </c>
      <c r="D3044" s="10">
        <v>271</v>
      </c>
      <c r="E3044" s="10" t="s">
        <v>40</v>
      </c>
    </row>
    <row r="3045" spans="1:5" x14ac:dyDescent="0.35">
      <c r="A3045" s="2">
        <v>42818</v>
      </c>
      <c r="B3045" s="70" t="s">
        <v>29</v>
      </c>
      <c r="C3045" s="10">
        <v>65</v>
      </c>
      <c r="D3045" s="10">
        <v>195</v>
      </c>
      <c r="E3045" s="10" t="s">
        <v>34</v>
      </c>
    </row>
    <row r="3046" spans="1:5" x14ac:dyDescent="0.35">
      <c r="A3046" s="2">
        <v>42818</v>
      </c>
      <c r="B3046" s="70" t="s">
        <v>29</v>
      </c>
      <c r="C3046" s="10">
        <v>74</v>
      </c>
      <c r="D3046" s="10">
        <v>354</v>
      </c>
      <c r="E3046" s="10" t="s">
        <v>33</v>
      </c>
    </row>
    <row r="3047" spans="1:5" x14ac:dyDescent="0.35">
      <c r="A3047" s="2">
        <v>42818</v>
      </c>
      <c r="B3047" s="70" t="s">
        <v>29</v>
      </c>
      <c r="C3047" s="10">
        <v>65</v>
      </c>
      <c r="D3047" s="10">
        <v>230</v>
      </c>
      <c r="E3047" s="10" t="s">
        <v>33</v>
      </c>
    </row>
    <row r="3048" spans="1:5" x14ac:dyDescent="0.35">
      <c r="A3048" s="2">
        <v>42818</v>
      </c>
      <c r="B3048" s="70" t="s">
        <v>29</v>
      </c>
      <c r="C3048" s="10">
        <v>68</v>
      </c>
      <c r="D3048" s="10">
        <v>288</v>
      </c>
      <c r="E3048" s="10" t="s">
        <v>34</v>
      </c>
    </row>
    <row r="3049" spans="1:5" x14ac:dyDescent="0.35">
      <c r="A3049" s="2">
        <v>42818</v>
      </c>
      <c r="B3049" s="70" t="s">
        <v>29</v>
      </c>
      <c r="C3049" s="10">
        <v>71</v>
      </c>
      <c r="D3049" s="10">
        <v>298</v>
      </c>
      <c r="E3049" s="10" t="s">
        <v>39</v>
      </c>
    </row>
    <row r="3050" spans="1:5" x14ac:dyDescent="0.35">
      <c r="A3050" s="2">
        <v>42818</v>
      </c>
      <c r="B3050" s="70" t="s">
        <v>29</v>
      </c>
      <c r="C3050" s="10">
        <v>68</v>
      </c>
      <c r="D3050" s="10">
        <v>218</v>
      </c>
      <c r="E3050" s="10" t="s">
        <v>36</v>
      </c>
    </row>
    <row r="3051" spans="1:5" x14ac:dyDescent="0.35">
      <c r="A3051" s="2">
        <v>42818</v>
      </c>
      <c r="B3051" s="70" t="s">
        <v>29</v>
      </c>
      <c r="C3051" s="10">
        <v>67</v>
      </c>
      <c r="D3051" s="10">
        <v>217</v>
      </c>
      <c r="E3051" s="10" t="s">
        <v>33</v>
      </c>
    </row>
    <row r="3052" spans="1:5" x14ac:dyDescent="0.35">
      <c r="A3052" s="2">
        <v>42818</v>
      </c>
      <c r="B3052" s="70" t="s">
        <v>29</v>
      </c>
      <c r="C3052" s="10">
        <v>77</v>
      </c>
      <c r="D3052" s="10">
        <v>358</v>
      </c>
      <c r="E3052" s="10" t="s">
        <v>40</v>
      </c>
    </row>
    <row r="3053" spans="1:5" x14ac:dyDescent="0.35">
      <c r="A3053" s="2">
        <v>42818</v>
      </c>
      <c r="B3053" s="70" t="s">
        <v>29</v>
      </c>
      <c r="C3053" s="10">
        <v>72</v>
      </c>
      <c r="D3053" s="10">
        <v>320</v>
      </c>
      <c r="E3053" s="10" t="s">
        <v>33</v>
      </c>
    </row>
    <row r="3054" spans="1:5" x14ac:dyDescent="0.35">
      <c r="A3054" s="2">
        <v>42818</v>
      </c>
      <c r="B3054" s="70" t="s">
        <v>29</v>
      </c>
      <c r="C3054" s="10">
        <v>67</v>
      </c>
      <c r="D3054" s="10">
        <v>260</v>
      </c>
      <c r="E3054" s="10" t="s">
        <v>33</v>
      </c>
    </row>
    <row r="3055" spans="1:5" x14ac:dyDescent="0.35">
      <c r="A3055" s="2">
        <v>42818</v>
      </c>
      <c r="B3055" s="70" t="s">
        <v>29</v>
      </c>
      <c r="C3055" s="10">
        <v>71</v>
      </c>
      <c r="D3055" s="10">
        <v>290</v>
      </c>
      <c r="E3055" s="10" t="s">
        <v>33</v>
      </c>
    </row>
    <row r="3056" spans="1:5" x14ac:dyDescent="0.35">
      <c r="A3056" s="2">
        <v>42818</v>
      </c>
      <c r="B3056" s="70" t="s">
        <v>29</v>
      </c>
      <c r="C3056" s="10">
        <v>68</v>
      </c>
      <c r="D3056" s="10">
        <v>249</v>
      </c>
      <c r="E3056" s="10" t="s">
        <v>34</v>
      </c>
    </row>
    <row r="3057" spans="1:20" x14ac:dyDescent="0.35">
      <c r="A3057" s="2">
        <v>42818</v>
      </c>
      <c r="B3057" s="70" t="s">
        <v>29</v>
      </c>
      <c r="C3057" s="10">
        <v>63</v>
      </c>
      <c r="D3057" s="10">
        <v>195</v>
      </c>
      <c r="E3057" s="10" t="s">
        <v>36</v>
      </c>
    </row>
    <row r="3058" spans="1:20" x14ac:dyDescent="0.35">
      <c r="A3058" s="2">
        <v>42818</v>
      </c>
      <c r="B3058" s="70" t="s">
        <v>29</v>
      </c>
      <c r="C3058" s="10">
        <v>69</v>
      </c>
      <c r="D3058" s="10">
        <v>289</v>
      </c>
      <c r="E3058" s="10" t="s">
        <v>33</v>
      </c>
    </row>
    <row r="3059" spans="1:20" x14ac:dyDescent="0.35">
      <c r="A3059" s="2">
        <v>42818</v>
      </c>
      <c r="B3059" s="70" t="s">
        <v>29</v>
      </c>
      <c r="C3059" s="10">
        <v>71</v>
      </c>
      <c r="D3059" s="10">
        <v>285</v>
      </c>
      <c r="E3059" s="10" t="s">
        <v>39</v>
      </c>
    </row>
    <row r="3060" spans="1:20" x14ac:dyDescent="0.35">
      <c r="A3060" s="2">
        <v>42818</v>
      </c>
      <c r="B3060" s="70" t="s">
        <v>29</v>
      </c>
      <c r="C3060" s="10">
        <v>69</v>
      </c>
      <c r="D3060" s="10">
        <v>284</v>
      </c>
      <c r="E3060" s="10" t="s">
        <v>33</v>
      </c>
    </row>
    <row r="3061" spans="1:20" x14ac:dyDescent="0.35">
      <c r="A3061" s="2">
        <v>42818</v>
      </c>
      <c r="B3061" s="70" t="s">
        <v>29</v>
      </c>
      <c r="C3061" s="10">
        <v>77</v>
      </c>
      <c r="D3061" s="10">
        <v>354</v>
      </c>
      <c r="E3061" s="10" t="s">
        <v>34</v>
      </c>
    </row>
    <row r="3062" spans="1:20" x14ac:dyDescent="0.35">
      <c r="A3062" s="2">
        <v>42818</v>
      </c>
      <c r="B3062" s="70" t="s">
        <v>29</v>
      </c>
      <c r="C3062" s="10">
        <v>74</v>
      </c>
      <c r="D3062" s="10">
        <v>365</v>
      </c>
      <c r="E3062" s="10" t="s">
        <v>40</v>
      </c>
    </row>
    <row r="3063" spans="1:20" x14ac:dyDescent="0.35">
      <c r="A3063" s="2">
        <v>42818</v>
      </c>
      <c r="B3063" s="70" t="s">
        <v>29</v>
      </c>
      <c r="C3063" s="10">
        <v>67</v>
      </c>
      <c r="D3063" s="10">
        <v>270</v>
      </c>
      <c r="E3063" s="10" t="s">
        <v>39</v>
      </c>
    </row>
    <row r="3064" spans="1:20" x14ac:dyDescent="0.35">
      <c r="A3064" s="2">
        <v>42818</v>
      </c>
      <c r="B3064" s="70" t="s">
        <v>29</v>
      </c>
      <c r="C3064" s="10">
        <v>72</v>
      </c>
      <c r="D3064" s="10">
        <v>326</v>
      </c>
      <c r="E3064" s="10" t="s">
        <v>33</v>
      </c>
    </row>
    <row r="3065" spans="1:20" x14ac:dyDescent="0.35">
      <c r="A3065" s="2">
        <v>42818</v>
      </c>
      <c r="B3065" s="70" t="s">
        <v>29</v>
      </c>
      <c r="C3065" s="10">
        <v>71</v>
      </c>
      <c r="D3065" s="10">
        <v>313</v>
      </c>
      <c r="E3065" s="10" t="s">
        <v>33</v>
      </c>
    </row>
    <row r="3066" spans="1:20" x14ac:dyDescent="0.35">
      <c r="A3066" s="2">
        <v>42818</v>
      </c>
      <c r="B3066" s="70" t="s">
        <v>29</v>
      </c>
      <c r="C3066" s="10">
        <v>65</v>
      </c>
      <c r="D3066" s="10">
        <v>240</v>
      </c>
      <c r="E3066" s="10" t="s">
        <v>36</v>
      </c>
    </row>
    <row r="3067" spans="1:20" x14ac:dyDescent="0.35">
      <c r="A3067" s="2">
        <v>42818</v>
      </c>
      <c r="B3067" s="70" t="s">
        <v>29</v>
      </c>
      <c r="C3067" s="10">
        <v>62</v>
      </c>
      <c r="D3067" s="10">
        <v>222</v>
      </c>
      <c r="E3067" s="10" t="s">
        <v>34</v>
      </c>
    </row>
    <row r="3068" spans="1:20" x14ac:dyDescent="0.35">
      <c r="A3068" s="2">
        <v>42818</v>
      </c>
      <c r="B3068" s="70" t="s">
        <v>29</v>
      </c>
      <c r="C3068" s="10">
        <v>62</v>
      </c>
      <c r="D3068" s="10">
        <v>154</v>
      </c>
      <c r="E3068" s="10" t="s">
        <v>39</v>
      </c>
      <c r="Q3068">
        <f>AVERAGE(C3026:C3031,C2975,C2970:C2973,C2905:C2917,C2826:C2847)</f>
        <v>110.91304347826087</v>
      </c>
      <c r="R3068">
        <f>AVERAGE(D3026:D3031,D2975,D2970:D2973,D2905:D2917,D2826:D2847)</f>
        <v>1679.4565217391305</v>
      </c>
      <c r="T3068" t="e">
        <f>AVERAGE(#REF!,#REF!,#REF!,#REF!,#REF!)</f>
        <v>#REF!</v>
      </c>
    </row>
    <row r="3069" spans="1:20" x14ac:dyDescent="0.35">
      <c r="A3069" s="2">
        <v>42818</v>
      </c>
      <c r="B3069" s="70" t="s">
        <v>29</v>
      </c>
      <c r="C3069" s="10">
        <v>68</v>
      </c>
      <c r="D3069" s="10">
        <v>243</v>
      </c>
      <c r="E3069" s="10" t="s">
        <v>33</v>
      </c>
    </row>
    <row r="3070" spans="1:20" x14ac:dyDescent="0.35">
      <c r="A3070" s="2">
        <v>42818</v>
      </c>
      <c r="B3070" s="70" t="s">
        <v>29</v>
      </c>
      <c r="C3070" s="10">
        <v>75</v>
      </c>
      <c r="D3070" s="10">
        <v>356</v>
      </c>
      <c r="E3070" s="10" t="s">
        <v>33</v>
      </c>
    </row>
    <row r="3071" spans="1:20" x14ac:dyDescent="0.35">
      <c r="A3071" s="2">
        <v>42818</v>
      </c>
      <c r="B3071" s="70" t="s">
        <v>29</v>
      </c>
      <c r="C3071" s="10">
        <v>69</v>
      </c>
      <c r="D3071" s="10">
        <v>280</v>
      </c>
      <c r="E3071" s="10" t="s">
        <v>36</v>
      </c>
    </row>
    <row r="3072" spans="1:20" x14ac:dyDescent="0.35">
      <c r="A3072" s="2">
        <v>42818</v>
      </c>
      <c r="B3072" s="70" t="s">
        <v>29</v>
      </c>
      <c r="C3072" s="10">
        <v>73</v>
      </c>
      <c r="D3072" s="10">
        <v>268</v>
      </c>
      <c r="E3072" s="10" t="s">
        <v>34</v>
      </c>
    </row>
    <row r="3073" spans="1:21" x14ac:dyDescent="0.35">
      <c r="A3073" s="2">
        <v>42818</v>
      </c>
      <c r="B3073" s="70" t="s">
        <v>29</v>
      </c>
      <c r="C3073" s="10">
        <v>61</v>
      </c>
      <c r="D3073" s="10">
        <v>192</v>
      </c>
      <c r="E3073" s="10" t="s">
        <v>33</v>
      </c>
    </row>
    <row r="3074" spans="1:21" x14ac:dyDescent="0.35">
      <c r="A3074" s="2">
        <v>42818</v>
      </c>
      <c r="B3074" s="70" t="s">
        <v>29</v>
      </c>
      <c r="C3074" s="10">
        <v>66</v>
      </c>
      <c r="D3074" s="10">
        <v>266</v>
      </c>
      <c r="E3074" s="10" t="s">
        <v>39</v>
      </c>
    </row>
    <row r="3075" spans="1:21" x14ac:dyDescent="0.35">
      <c r="A3075" s="2">
        <v>42818</v>
      </c>
      <c r="B3075" s="70" t="s">
        <v>29</v>
      </c>
      <c r="C3075" s="10">
        <v>74</v>
      </c>
      <c r="D3075" s="10">
        <v>243</v>
      </c>
      <c r="E3075" s="10" t="s">
        <v>33</v>
      </c>
      <c r="I3075" t="s">
        <v>42</v>
      </c>
      <c r="J3075" t="s">
        <v>39</v>
      </c>
      <c r="K3075" t="s">
        <v>40</v>
      </c>
      <c r="L3075" t="s">
        <v>36</v>
      </c>
      <c r="M3075" t="s">
        <v>33</v>
      </c>
      <c r="N3075" t="s">
        <v>34</v>
      </c>
      <c r="O3075" t="s">
        <v>32</v>
      </c>
      <c r="P3075" t="s">
        <v>37</v>
      </c>
      <c r="R3075" t="s">
        <v>43</v>
      </c>
      <c r="S3075" t="s">
        <v>44</v>
      </c>
    </row>
    <row r="3076" spans="1:21" x14ac:dyDescent="0.35">
      <c r="A3076" s="2">
        <v>42818</v>
      </c>
      <c r="B3076" s="70" t="s">
        <v>29</v>
      </c>
      <c r="C3076" s="10">
        <v>69</v>
      </c>
      <c r="D3076" s="10">
        <v>283</v>
      </c>
      <c r="E3076" s="10" t="s">
        <v>33</v>
      </c>
      <c r="I3076" s="5">
        <f>COUNTIF(E2976:E3081,"VA")</f>
        <v>0</v>
      </c>
      <c r="J3076" s="5">
        <f>COUNTIF(E2975:E3081,"VB")</f>
        <v>15</v>
      </c>
      <c r="K3076" s="5">
        <f>COUNTIF(E2974:E3081,"VIA0")</f>
        <v>10</v>
      </c>
      <c r="L3076" s="5">
        <f>COUNTIF(E2975:E3081,"VIA1")</f>
        <v>10</v>
      </c>
      <c r="M3076" s="5">
        <f>COUNTIF(E2975:E3081,"VIA2")</f>
        <v>47</v>
      </c>
      <c r="N3076" s="5">
        <f>COUNTIF(E2976:E3081,"VIA3")</f>
        <v>17</v>
      </c>
      <c r="O3076" s="5">
        <f>COUNTIF(E2975:E3081,"VIA4")</f>
        <v>1</v>
      </c>
      <c r="P3076" s="5">
        <f>COUNTIF(E2976:E3081,"VIB")</f>
        <v>0</v>
      </c>
      <c r="R3076" s="7">
        <f>AVERAGE(C3032:C3081,C2976:C3025)</f>
        <v>69.44</v>
      </c>
      <c r="S3076" s="7">
        <f>AVERAGE(D3032:D3081,D2976:D3025)</f>
        <v>270.19</v>
      </c>
      <c r="T3076" s="7"/>
      <c r="U3076" s="7"/>
    </row>
    <row r="3077" spans="1:21" x14ac:dyDescent="0.35">
      <c r="A3077" s="2">
        <v>42818</v>
      </c>
      <c r="B3077" s="70" t="s">
        <v>29</v>
      </c>
      <c r="C3077" s="10">
        <v>70</v>
      </c>
      <c r="D3077" s="10">
        <v>295</v>
      </c>
      <c r="E3077" s="10" t="s">
        <v>36</v>
      </c>
      <c r="I3077" s="6">
        <f>I3076/100*100</f>
        <v>0</v>
      </c>
      <c r="J3077" s="6">
        <f t="shared" ref="J3077:P3077" si="93">J3076/100*100</f>
        <v>15</v>
      </c>
      <c r="K3077" s="6">
        <f t="shared" si="93"/>
        <v>10</v>
      </c>
      <c r="L3077" s="6">
        <f t="shared" si="93"/>
        <v>10</v>
      </c>
      <c r="M3077" s="6">
        <f t="shared" si="93"/>
        <v>47</v>
      </c>
      <c r="N3077" s="6">
        <f t="shared" si="93"/>
        <v>17</v>
      </c>
      <c r="O3077" s="6">
        <f t="shared" si="93"/>
        <v>1</v>
      </c>
      <c r="P3077" s="6">
        <f t="shared" si="93"/>
        <v>0</v>
      </c>
      <c r="Q3077" s="4"/>
      <c r="R3077" s="4"/>
      <c r="S3077" s="4"/>
    </row>
    <row r="3078" spans="1:21" x14ac:dyDescent="0.35">
      <c r="A3078" s="2">
        <v>42818</v>
      </c>
      <c r="B3078" s="70" t="s">
        <v>29</v>
      </c>
      <c r="C3078" s="10">
        <v>75</v>
      </c>
      <c r="D3078" s="10">
        <v>268</v>
      </c>
      <c r="E3078" s="10" t="s">
        <v>33</v>
      </c>
      <c r="G3078" s="42" t="e">
        <f>AVERAGE(#REF!,#REF!)</f>
        <v>#REF!</v>
      </c>
    </row>
    <row r="3079" spans="1:21" x14ac:dyDescent="0.35">
      <c r="A3079" s="2">
        <v>42818</v>
      </c>
      <c r="B3079" s="70" t="s">
        <v>29</v>
      </c>
      <c r="C3079" s="10">
        <v>69</v>
      </c>
      <c r="D3079" s="10">
        <v>258</v>
      </c>
      <c r="E3079" s="10" t="s">
        <v>39</v>
      </c>
    </row>
    <row r="3080" spans="1:21" x14ac:dyDescent="0.35">
      <c r="A3080" s="2">
        <v>42818</v>
      </c>
      <c r="B3080" s="70" t="s">
        <v>29</v>
      </c>
      <c r="C3080" s="10">
        <v>69</v>
      </c>
      <c r="D3080" s="10">
        <v>279</v>
      </c>
      <c r="E3080" s="10" t="s">
        <v>36</v>
      </c>
      <c r="G3080" s="42" t="e">
        <f>AVERAGE(#REF!)</f>
        <v>#REF!</v>
      </c>
    </row>
    <row r="3081" spans="1:21" s="4" customFormat="1" x14ac:dyDescent="0.35">
      <c r="A3081" s="3">
        <v>42818</v>
      </c>
      <c r="B3081" s="44" t="s">
        <v>29</v>
      </c>
      <c r="C3081" s="11">
        <v>70</v>
      </c>
      <c r="D3081" s="11">
        <v>259</v>
      </c>
      <c r="E3081" s="11" t="s">
        <v>39</v>
      </c>
    </row>
    <row r="3082" spans="1:21" x14ac:dyDescent="0.35">
      <c r="A3082" s="2">
        <v>42818</v>
      </c>
      <c r="B3082" s="36" t="s">
        <v>143</v>
      </c>
      <c r="C3082" s="10">
        <v>67</v>
      </c>
      <c r="D3082" s="10">
        <v>265</v>
      </c>
      <c r="E3082" s="10" t="s">
        <v>34</v>
      </c>
      <c r="F3082" t="s">
        <v>250</v>
      </c>
    </row>
    <row r="3083" spans="1:21" x14ac:dyDescent="0.35">
      <c r="A3083" s="2">
        <v>42818</v>
      </c>
      <c r="B3083" s="36" t="s">
        <v>143</v>
      </c>
      <c r="C3083" s="10">
        <v>68</v>
      </c>
      <c r="D3083" s="10">
        <v>222</v>
      </c>
      <c r="E3083" s="10" t="s">
        <v>40</v>
      </c>
      <c r="F3083" t="s">
        <v>251</v>
      </c>
    </row>
    <row r="3084" spans="1:21" x14ac:dyDescent="0.35">
      <c r="A3084" s="2">
        <v>42818</v>
      </c>
      <c r="B3084" s="36" t="s">
        <v>143</v>
      </c>
      <c r="C3084" s="10">
        <v>72</v>
      </c>
      <c r="D3084" s="10">
        <v>313</v>
      </c>
      <c r="E3084" s="10" t="s">
        <v>40</v>
      </c>
      <c r="F3084" t="s">
        <v>252</v>
      </c>
    </row>
    <row r="3085" spans="1:21" x14ac:dyDescent="0.35">
      <c r="A3085" s="2">
        <v>42818</v>
      </c>
      <c r="B3085" s="36" t="s">
        <v>143</v>
      </c>
      <c r="C3085" s="10">
        <v>73</v>
      </c>
      <c r="D3085" s="10">
        <v>336</v>
      </c>
      <c r="E3085" s="10" t="s">
        <v>40</v>
      </c>
      <c r="F3085" t="s">
        <v>253</v>
      </c>
    </row>
    <row r="3086" spans="1:21" x14ac:dyDescent="0.35">
      <c r="A3086" s="2">
        <v>42818</v>
      </c>
      <c r="B3086" s="36" t="s">
        <v>143</v>
      </c>
      <c r="C3086" s="10">
        <v>72</v>
      </c>
      <c r="D3086" s="10">
        <v>304</v>
      </c>
      <c r="E3086" s="10" t="s">
        <v>39</v>
      </c>
      <c r="F3086" t="s">
        <v>254</v>
      </c>
    </row>
    <row r="3087" spans="1:21" x14ac:dyDescent="0.35">
      <c r="A3087" s="2">
        <v>42818</v>
      </c>
      <c r="B3087" s="36" t="s">
        <v>143</v>
      </c>
      <c r="C3087" s="10">
        <v>78</v>
      </c>
      <c r="D3087" s="10">
        <v>427</v>
      </c>
      <c r="E3087" s="10" t="s">
        <v>36</v>
      </c>
    </row>
    <row r="3088" spans="1:21" s="4" customFormat="1" x14ac:dyDescent="0.35">
      <c r="A3088" s="3">
        <v>42818</v>
      </c>
      <c r="B3088" s="26" t="s">
        <v>143</v>
      </c>
      <c r="C3088" s="11">
        <v>72</v>
      </c>
      <c r="D3088" s="11">
        <v>363</v>
      </c>
      <c r="E3088" s="11" t="s">
        <v>34</v>
      </c>
      <c r="F3088" s="4" t="s">
        <v>198</v>
      </c>
    </row>
    <row r="3089" spans="1:6" s="22" customFormat="1" x14ac:dyDescent="0.35">
      <c r="A3089" s="19">
        <v>42818</v>
      </c>
      <c r="B3089" s="72" t="s">
        <v>114</v>
      </c>
      <c r="C3089" s="20">
        <v>66</v>
      </c>
      <c r="D3089" s="20">
        <v>206</v>
      </c>
      <c r="E3089" s="20" t="s">
        <v>33</v>
      </c>
    </row>
    <row r="3090" spans="1:6" x14ac:dyDescent="0.35">
      <c r="A3090" s="13">
        <v>42818</v>
      </c>
      <c r="B3090" s="40" t="s">
        <v>66</v>
      </c>
      <c r="C3090" s="10">
        <v>67</v>
      </c>
      <c r="D3090" s="10">
        <v>245</v>
      </c>
      <c r="E3090" s="10" t="s">
        <v>39</v>
      </c>
      <c r="F3090" s="10" t="s">
        <v>255</v>
      </c>
    </row>
    <row r="3091" spans="1:6" x14ac:dyDescent="0.35">
      <c r="A3091" s="13">
        <v>42818</v>
      </c>
      <c r="B3091" s="40" t="s">
        <v>66</v>
      </c>
      <c r="C3091" s="10">
        <v>69</v>
      </c>
      <c r="D3091" s="10">
        <v>290</v>
      </c>
      <c r="E3091" s="10" t="s">
        <v>33</v>
      </c>
      <c r="F3091" s="10" t="s">
        <v>256</v>
      </c>
    </row>
    <row r="3092" spans="1:6" x14ac:dyDescent="0.35">
      <c r="A3092" s="13">
        <v>42818</v>
      </c>
      <c r="B3092" s="40" t="s">
        <v>66</v>
      </c>
      <c r="C3092" s="10">
        <v>67</v>
      </c>
      <c r="D3092" s="10">
        <v>231</v>
      </c>
      <c r="E3092" s="10" t="s">
        <v>33</v>
      </c>
      <c r="F3092" s="10" t="s">
        <v>257</v>
      </c>
    </row>
    <row r="3093" spans="1:6" x14ac:dyDescent="0.35">
      <c r="A3093" s="13">
        <v>42818</v>
      </c>
      <c r="B3093" s="40" t="s">
        <v>66</v>
      </c>
      <c r="C3093" s="10">
        <v>65</v>
      </c>
      <c r="D3093" s="10">
        <v>215</v>
      </c>
      <c r="E3093" s="10" t="s">
        <v>33</v>
      </c>
      <c r="F3093" s="10" t="s">
        <v>258</v>
      </c>
    </row>
    <row r="3094" spans="1:6" x14ac:dyDescent="0.35">
      <c r="A3094" s="13">
        <v>42818</v>
      </c>
      <c r="B3094" s="40" t="s">
        <v>66</v>
      </c>
      <c r="C3094" s="10">
        <v>79</v>
      </c>
      <c r="D3094" s="10">
        <v>442</v>
      </c>
      <c r="E3094" s="10" t="s">
        <v>34</v>
      </c>
      <c r="F3094" s="10" t="s">
        <v>259</v>
      </c>
    </row>
    <row r="3095" spans="1:6" x14ac:dyDescent="0.35">
      <c r="A3095" s="13">
        <v>42818</v>
      </c>
      <c r="B3095" s="40" t="s">
        <v>66</v>
      </c>
      <c r="C3095" s="10">
        <v>73</v>
      </c>
      <c r="D3095" s="10">
        <v>311</v>
      </c>
      <c r="E3095" s="10" t="s">
        <v>33</v>
      </c>
    </row>
    <row r="3096" spans="1:6" x14ac:dyDescent="0.35">
      <c r="A3096" s="13">
        <v>42818</v>
      </c>
      <c r="B3096" s="40" t="s">
        <v>66</v>
      </c>
      <c r="C3096" s="10">
        <v>64</v>
      </c>
      <c r="D3096" s="10">
        <v>214</v>
      </c>
      <c r="E3096" s="10" t="s">
        <v>40</v>
      </c>
    </row>
    <row r="3097" spans="1:6" x14ac:dyDescent="0.35">
      <c r="A3097" s="13">
        <v>42818</v>
      </c>
      <c r="B3097" s="40" t="s">
        <v>66</v>
      </c>
      <c r="C3097" s="10">
        <v>73</v>
      </c>
      <c r="D3097" s="10">
        <v>295</v>
      </c>
      <c r="E3097" s="10" t="s">
        <v>36</v>
      </c>
    </row>
    <row r="3098" spans="1:6" x14ac:dyDescent="0.35">
      <c r="A3098" s="13">
        <v>42818</v>
      </c>
      <c r="B3098" s="40" t="s">
        <v>66</v>
      </c>
      <c r="C3098" s="10">
        <v>68</v>
      </c>
      <c r="D3098" s="10">
        <v>266</v>
      </c>
      <c r="E3098" s="10" t="s">
        <v>34</v>
      </c>
    </row>
    <row r="3099" spans="1:6" x14ac:dyDescent="0.35">
      <c r="A3099" s="13">
        <v>42818</v>
      </c>
      <c r="B3099" s="40" t="s">
        <v>66</v>
      </c>
      <c r="C3099" s="10">
        <v>66</v>
      </c>
      <c r="D3099" s="10">
        <v>249</v>
      </c>
      <c r="E3099" s="10" t="s">
        <v>39</v>
      </c>
    </row>
    <row r="3100" spans="1:6" x14ac:dyDescent="0.35">
      <c r="A3100" s="13">
        <v>42818</v>
      </c>
      <c r="B3100" s="40" t="s">
        <v>66</v>
      </c>
      <c r="C3100" s="10">
        <v>67</v>
      </c>
      <c r="D3100" s="10">
        <v>226</v>
      </c>
      <c r="E3100" s="10" t="s">
        <v>40</v>
      </c>
    </row>
    <row r="3101" spans="1:6" x14ac:dyDescent="0.35">
      <c r="A3101" s="13">
        <v>42818</v>
      </c>
      <c r="B3101" s="40" t="s">
        <v>66</v>
      </c>
      <c r="C3101" s="10">
        <v>68</v>
      </c>
      <c r="D3101" s="10">
        <v>262</v>
      </c>
      <c r="E3101" s="10" t="s">
        <v>40</v>
      </c>
    </row>
    <row r="3102" spans="1:6" x14ac:dyDescent="0.35">
      <c r="A3102" s="13">
        <v>42818</v>
      </c>
      <c r="B3102" s="40" t="s">
        <v>66</v>
      </c>
      <c r="C3102" s="10">
        <v>70</v>
      </c>
      <c r="D3102" s="10">
        <v>317</v>
      </c>
      <c r="E3102" s="10" t="s">
        <v>33</v>
      </c>
    </row>
    <row r="3103" spans="1:6" x14ac:dyDescent="0.35">
      <c r="A3103" s="13">
        <v>42818</v>
      </c>
      <c r="B3103" s="40" t="s">
        <v>66</v>
      </c>
      <c r="C3103" s="10">
        <v>75</v>
      </c>
      <c r="D3103" s="10">
        <v>307</v>
      </c>
      <c r="E3103" s="10" t="s">
        <v>36</v>
      </c>
    </row>
    <row r="3104" spans="1:6" x14ac:dyDescent="0.35">
      <c r="A3104" s="13">
        <v>42818</v>
      </c>
      <c r="B3104" s="40" t="s">
        <v>66</v>
      </c>
      <c r="C3104" s="10">
        <v>74</v>
      </c>
      <c r="D3104" s="10">
        <v>360</v>
      </c>
      <c r="E3104" s="10" t="s">
        <v>36</v>
      </c>
    </row>
    <row r="3105" spans="1:5" x14ac:dyDescent="0.35">
      <c r="A3105" s="13">
        <v>42818</v>
      </c>
      <c r="B3105" s="40" t="s">
        <v>66</v>
      </c>
      <c r="C3105" s="10">
        <v>68</v>
      </c>
      <c r="D3105" s="10">
        <v>256</v>
      </c>
      <c r="E3105" s="10" t="s">
        <v>39</v>
      </c>
    </row>
    <row r="3106" spans="1:5" x14ac:dyDescent="0.35">
      <c r="A3106" s="13">
        <v>42818</v>
      </c>
      <c r="B3106" s="40" t="s">
        <v>66</v>
      </c>
      <c r="C3106" s="10">
        <v>70</v>
      </c>
      <c r="D3106" s="10">
        <v>294</v>
      </c>
      <c r="E3106" s="10" t="s">
        <v>34</v>
      </c>
    </row>
    <row r="3107" spans="1:5" x14ac:dyDescent="0.35">
      <c r="A3107" s="13">
        <v>42818</v>
      </c>
      <c r="B3107" s="40" t="s">
        <v>66</v>
      </c>
      <c r="C3107" s="10">
        <v>72</v>
      </c>
      <c r="D3107" s="10">
        <v>314</v>
      </c>
      <c r="E3107" s="10" t="s">
        <v>40</v>
      </c>
    </row>
    <row r="3108" spans="1:5" x14ac:dyDescent="0.35">
      <c r="A3108" s="13">
        <v>42818</v>
      </c>
      <c r="B3108" s="40" t="s">
        <v>66</v>
      </c>
      <c r="C3108" s="10">
        <v>74</v>
      </c>
      <c r="D3108" s="10">
        <v>408</v>
      </c>
      <c r="E3108" s="10" t="s">
        <v>33</v>
      </c>
    </row>
    <row r="3109" spans="1:5" x14ac:dyDescent="0.35">
      <c r="A3109" s="13">
        <v>42818</v>
      </c>
      <c r="B3109" s="40" t="s">
        <v>66</v>
      </c>
      <c r="C3109" s="10">
        <v>68</v>
      </c>
      <c r="D3109" s="10">
        <v>220</v>
      </c>
      <c r="E3109" s="10" t="s">
        <v>39</v>
      </c>
    </row>
    <row r="3110" spans="1:5" x14ac:dyDescent="0.35">
      <c r="A3110" s="13">
        <v>42818</v>
      </c>
      <c r="B3110" s="40" t="s">
        <v>66</v>
      </c>
      <c r="C3110" s="10">
        <v>66</v>
      </c>
      <c r="D3110" s="10">
        <v>258</v>
      </c>
      <c r="E3110" s="10" t="s">
        <v>34</v>
      </c>
    </row>
    <row r="3111" spans="1:5" x14ac:dyDescent="0.35">
      <c r="A3111" s="13">
        <v>42818</v>
      </c>
      <c r="B3111" s="40" t="s">
        <v>66</v>
      </c>
      <c r="C3111" s="10">
        <v>61</v>
      </c>
      <c r="D3111" s="10">
        <v>196</v>
      </c>
      <c r="E3111" s="10" t="s">
        <v>33</v>
      </c>
    </row>
    <row r="3112" spans="1:5" x14ac:dyDescent="0.35">
      <c r="A3112" s="13">
        <v>42818</v>
      </c>
      <c r="B3112" s="40" t="s">
        <v>66</v>
      </c>
      <c r="C3112" s="10">
        <v>78</v>
      </c>
      <c r="D3112" s="10">
        <v>418</v>
      </c>
      <c r="E3112" s="10" t="s">
        <v>33</v>
      </c>
    </row>
    <row r="3113" spans="1:5" x14ac:dyDescent="0.35">
      <c r="A3113" s="13">
        <v>42818</v>
      </c>
      <c r="B3113" s="40" t="s">
        <v>66</v>
      </c>
      <c r="C3113" s="10">
        <v>67</v>
      </c>
      <c r="D3113" s="10">
        <v>268</v>
      </c>
      <c r="E3113" s="10" t="s">
        <v>33</v>
      </c>
    </row>
    <row r="3114" spans="1:5" x14ac:dyDescent="0.35">
      <c r="A3114" s="13">
        <v>42818</v>
      </c>
      <c r="B3114" s="40" t="s">
        <v>66</v>
      </c>
      <c r="C3114" s="10">
        <v>69</v>
      </c>
      <c r="D3114" s="10">
        <v>296</v>
      </c>
      <c r="E3114" s="10" t="s">
        <v>34</v>
      </c>
    </row>
    <row r="3115" spans="1:5" x14ac:dyDescent="0.35">
      <c r="A3115" s="13">
        <v>42818</v>
      </c>
      <c r="B3115" s="40" t="s">
        <v>66</v>
      </c>
      <c r="C3115" s="10">
        <v>68</v>
      </c>
      <c r="D3115" s="10">
        <v>270</v>
      </c>
      <c r="E3115" s="10" t="s">
        <v>40</v>
      </c>
    </row>
    <row r="3116" spans="1:5" x14ac:dyDescent="0.35">
      <c r="A3116" s="13">
        <v>42818</v>
      </c>
      <c r="B3116" s="40" t="s">
        <v>66</v>
      </c>
      <c r="C3116" s="10">
        <v>66</v>
      </c>
      <c r="D3116" s="10">
        <v>303</v>
      </c>
      <c r="E3116" s="10" t="s">
        <v>34</v>
      </c>
    </row>
    <row r="3117" spans="1:5" x14ac:dyDescent="0.35">
      <c r="A3117" s="13">
        <v>42818</v>
      </c>
      <c r="B3117" s="40" t="s">
        <v>66</v>
      </c>
      <c r="C3117" s="10">
        <v>68</v>
      </c>
      <c r="D3117" s="10">
        <v>305</v>
      </c>
      <c r="E3117" s="10" t="s">
        <v>33</v>
      </c>
    </row>
    <row r="3118" spans="1:5" x14ac:dyDescent="0.35">
      <c r="A3118" s="13">
        <v>42818</v>
      </c>
      <c r="B3118" s="40" t="s">
        <v>66</v>
      </c>
      <c r="C3118" s="10">
        <v>72</v>
      </c>
      <c r="D3118" s="10">
        <v>280</v>
      </c>
      <c r="E3118" s="10" t="s">
        <v>40</v>
      </c>
    </row>
    <row r="3119" spans="1:5" x14ac:dyDescent="0.35">
      <c r="A3119" s="13">
        <v>42818</v>
      </c>
      <c r="B3119" s="40" t="s">
        <v>66</v>
      </c>
      <c r="C3119" s="10">
        <v>62</v>
      </c>
      <c r="D3119" s="10">
        <v>168</v>
      </c>
      <c r="E3119" s="10" t="s">
        <v>34</v>
      </c>
    </row>
    <row r="3120" spans="1:5" x14ac:dyDescent="0.35">
      <c r="A3120" s="13">
        <v>42818</v>
      </c>
      <c r="B3120" s="40" t="s">
        <v>66</v>
      </c>
      <c r="C3120" s="10">
        <v>69</v>
      </c>
      <c r="D3120" s="10">
        <v>289</v>
      </c>
      <c r="E3120" s="10" t="s">
        <v>33</v>
      </c>
    </row>
    <row r="3121" spans="1:21" x14ac:dyDescent="0.35">
      <c r="A3121" s="13">
        <v>42818</v>
      </c>
      <c r="B3121" s="40" t="s">
        <v>66</v>
      </c>
      <c r="C3121" s="10">
        <v>66</v>
      </c>
      <c r="D3121" s="10">
        <v>282</v>
      </c>
      <c r="E3121" s="10" t="s">
        <v>34</v>
      </c>
      <c r="I3121" t="s">
        <v>42</v>
      </c>
      <c r="J3121" t="s">
        <v>39</v>
      </c>
      <c r="K3121" t="s">
        <v>40</v>
      </c>
      <c r="L3121" t="s">
        <v>36</v>
      </c>
      <c r="M3121" t="s">
        <v>33</v>
      </c>
      <c r="N3121" t="s">
        <v>34</v>
      </c>
      <c r="O3121" t="s">
        <v>32</v>
      </c>
      <c r="P3121" t="s">
        <v>37</v>
      </c>
      <c r="R3121" t="s">
        <v>43</v>
      </c>
      <c r="S3121" t="s">
        <v>44</v>
      </c>
    </row>
    <row r="3122" spans="1:21" x14ac:dyDescent="0.35">
      <c r="A3122" s="13">
        <v>42818</v>
      </c>
      <c r="B3122" s="40" t="s">
        <v>66</v>
      </c>
      <c r="C3122" s="10">
        <v>67</v>
      </c>
      <c r="D3122" s="10">
        <v>240</v>
      </c>
      <c r="E3122" s="10" t="s">
        <v>33</v>
      </c>
      <c r="I3122" s="5">
        <f>COUNTIF(E3090:E3134,"VA")</f>
        <v>0</v>
      </c>
      <c r="J3122" s="5">
        <f>COUNTIF(E3090:E3134,"VB")</f>
        <v>5</v>
      </c>
      <c r="K3122" s="5">
        <f>COUNTIF(E3090:E3134,"VIA0")</f>
        <v>7</v>
      </c>
      <c r="L3122" s="5">
        <f>COUNTIF(E3090:E3134,"VIA1")</f>
        <v>4</v>
      </c>
      <c r="M3122" s="5">
        <f>COUNTIF(E3090:E3134,"VIA2")</f>
        <v>18</v>
      </c>
      <c r="N3122" s="5">
        <f>COUNTIF(E3090:E3134,"VIA3")</f>
        <v>10</v>
      </c>
      <c r="O3122" s="5">
        <f>COUNTIF(E3090:E3134,"VIA4")</f>
        <v>0</v>
      </c>
      <c r="P3122" s="5">
        <f>COUNTIF(E3018:E3134,"VIB")</f>
        <v>0</v>
      </c>
      <c r="R3122" s="7">
        <f>AVERAGE(C3090:C3123,C3125:C3134)</f>
        <v>68.38636363636364</v>
      </c>
      <c r="S3122" s="7">
        <f>AVERAGE(D3090:D3123,D3125:D3134)</f>
        <v>275.11363636363637</v>
      </c>
      <c r="T3122" s="7" t="e">
        <f>AVERAGE(E3090:E3123,E3125:E3134)</f>
        <v>#DIV/0!</v>
      </c>
      <c r="U3122" s="7" t="e">
        <f>AVERAGE(#REF!,#REF!)</f>
        <v>#REF!</v>
      </c>
    </row>
    <row r="3123" spans="1:21" s="4" customFormat="1" x14ac:dyDescent="0.35">
      <c r="A3123" s="3">
        <v>42818</v>
      </c>
      <c r="B3123" s="44" t="s">
        <v>66</v>
      </c>
      <c r="C3123" s="11">
        <v>73</v>
      </c>
      <c r="D3123" s="11">
        <v>328</v>
      </c>
      <c r="E3123" s="11" t="s">
        <v>40</v>
      </c>
      <c r="I3123" s="6">
        <f>I3122/44*100</f>
        <v>0</v>
      </c>
      <c r="J3123" s="6">
        <f t="shared" ref="J3123:P3123" si="94">J3122/44*100</f>
        <v>11.363636363636363</v>
      </c>
      <c r="K3123" s="6">
        <f t="shared" si="94"/>
        <v>15.909090909090908</v>
      </c>
      <c r="L3123" s="6">
        <f t="shared" si="94"/>
        <v>9.0909090909090917</v>
      </c>
      <c r="M3123" s="6">
        <f t="shared" si="94"/>
        <v>40.909090909090914</v>
      </c>
      <c r="N3123" s="6">
        <f t="shared" si="94"/>
        <v>22.727272727272727</v>
      </c>
      <c r="O3123" s="6">
        <f t="shared" si="94"/>
        <v>0</v>
      </c>
      <c r="P3123" s="6">
        <f t="shared" si="94"/>
        <v>0</v>
      </c>
    </row>
    <row r="3124" spans="1:21" x14ac:dyDescent="0.35">
      <c r="A3124" s="13">
        <v>42818</v>
      </c>
      <c r="B3124" s="40" t="s">
        <v>63</v>
      </c>
      <c r="C3124" s="10">
        <v>158</v>
      </c>
      <c r="D3124" s="10">
        <v>2441</v>
      </c>
      <c r="E3124" s="10" t="s">
        <v>98</v>
      </c>
      <c r="F3124" t="s">
        <v>260</v>
      </c>
    </row>
    <row r="3125" spans="1:21" x14ac:dyDescent="0.35">
      <c r="A3125" s="13">
        <v>42818</v>
      </c>
      <c r="B3125" s="40" t="s">
        <v>63</v>
      </c>
      <c r="C3125" s="10">
        <v>69</v>
      </c>
      <c r="D3125" s="10">
        <v>293</v>
      </c>
      <c r="E3125" s="10" t="s">
        <v>33</v>
      </c>
    </row>
    <row r="3126" spans="1:21" x14ac:dyDescent="0.35">
      <c r="A3126" s="13">
        <v>42818</v>
      </c>
      <c r="B3126" s="40" t="s">
        <v>63</v>
      </c>
      <c r="C3126" s="10">
        <v>71</v>
      </c>
      <c r="D3126" s="10">
        <v>305</v>
      </c>
      <c r="E3126" s="10" t="s">
        <v>33</v>
      </c>
      <c r="F3126" t="s">
        <v>261</v>
      </c>
    </row>
    <row r="3127" spans="1:21" x14ac:dyDescent="0.35">
      <c r="A3127" s="13">
        <v>42818</v>
      </c>
      <c r="B3127" s="40" t="s">
        <v>63</v>
      </c>
      <c r="C3127" s="10">
        <v>63</v>
      </c>
      <c r="D3127" s="10">
        <v>254</v>
      </c>
      <c r="E3127" s="10" t="s">
        <v>34</v>
      </c>
      <c r="F3127" t="s">
        <v>262</v>
      </c>
    </row>
    <row r="3128" spans="1:21" x14ac:dyDescent="0.35">
      <c r="A3128" s="13">
        <v>42818</v>
      </c>
      <c r="B3128" s="40" t="s">
        <v>63</v>
      </c>
      <c r="C3128" s="10">
        <v>66</v>
      </c>
      <c r="D3128" s="10">
        <v>210</v>
      </c>
      <c r="E3128" s="10" t="s">
        <v>33</v>
      </c>
      <c r="F3128" t="s">
        <v>263</v>
      </c>
    </row>
    <row r="3129" spans="1:21" x14ac:dyDescent="0.35">
      <c r="A3129" s="13">
        <v>42818</v>
      </c>
      <c r="B3129" s="40" t="s">
        <v>63</v>
      </c>
      <c r="C3129" s="10">
        <v>63</v>
      </c>
      <c r="D3129" s="10">
        <v>262</v>
      </c>
      <c r="E3129" s="10" t="s">
        <v>33</v>
      </c>
      <c r="F3129" t="s">
        <v>264</v>
      </c>
    </row>
    <row r="3130" spans="1:21" x14ac:dyDescent="0.35">
      <c r="A3130" s="13">
        <v>42818</v>
      </c>
      <c r="B3130" s="40" t="s">
        <v>63</v>
      </c>
      <c r="C3130" s="10">
        <v>58</v>
      </c>
      <c r="D3130" s="10">
        <v>170</v>
      </c>
      <c r="E3130" s="10" t="s">
        <v>33</v>
      </c>
      <c r="F3130" t="s">
        <v>265</v>
      </c>
    </row>
    <row r="3131" spans="1:21" s="4" customFormat="1" x14ac:dyDescent="0.35">
      <c r="A3131" s="3">
        <v>42818</v>
      </c>
      <c r="B3131" s="44" t="s">
        <v>63</v>
      </c>
      <c r="C3131" s="11">
        <v>68</v>
      </c>
      <c r="D3131" s="11">
        <v>258</v>
      </c>
      <c r="E3131" s="11" t="s">
        <v>33</v>
      </c>
    </row>
    <row r="3132" spans="1:21" s="22" customFormat="1" x14ac:dyDescent="0.35">
      <c r="A3132" s="19">
        <v>42818</v>
      </c>
      <c r="B3132" s="71" t="s">
        <v>103</v>
      </c>
      <c r="C3132" s="22">
        <v>64</v>
      </c>
      <c r="D3132" s="22">
        <v>193</v>
      </c>
      <c r="E3132" s="22" t="s">
        <v>39</v>
      </c>
    </row>
    <row r="3133" spans="1:21" x14ac:dyDescent="0.35">
      <c r="A3133" s="13">
        <v>42818</v>
      </c>
      <c r="B3133" s="40" t="s">
        <v>104</v>
      </c>
      <c r="C3133" s="10">
        <v>64</v>
      </c>
      <c r="D3133" s="10">
        <v>182</v>
      </c>
      <c r="E3133" s="10" t="s">
        <v>34</v>
      </c>
    </row>
    <row r="3134" spans="1:21" s="4" customFormat="1" x14ac:dyDescent="0.35">
      <c r="A3134" s="3">
        <v>42818</v>
      </c>
      <c r="B3134" s="44" t="s">
        <v>104</v>
      </c>
      <c r="C3134" s="11">
        <v>74</v>
      </c>
      <c r="D3134" s="11">
        <v>355</v>
      </c>
      <c r="E3134" s="11" t="s">
        <v>36</v>
      </c>
    </row>
    <row r="3135" spans="1:21" x14ac:dyDescent="0.35">
      <c r="A3135" s="2">
        <v>42818</v>
      </c>
      <c r="B3135" s="70" t="s">
        <v>41</v>
      </c>
      <c r="C3135" s="10">
        <v>75</v>
      </c>
      <c r="D3135" s="10">
        <v>347</v>
      </c>
      <c r="E3135" s="10" t="s">
        <v>33</v>
      </c>
      <c r="G3135" t="s">
        <v>267</v>
      </c>
    </row>
    <row r="3136" spans="1:21" x14ac:dyDescent="0.35">
      <c r="A3136" s="2">
        <v>42818</v>
      </c>
      <c r="B3136" s="70" t="s">
        <v>41</v>
      </c>
      <c r="C3136" s="10">
        <v>71</v>
      </c>
      <c r="D3136" s="10">
        <v>271</v>
      </c>
      <c r="E3136" s="10" t="s">
        <v>40</v>
      </c>
      <c r="G3136" t="s">
        <v>268</v>
      </c>
    </row>
    <row r="3137" spans="1:7" x14ac:dyDescent="0.35">
      <c r="A3137" s="2">
        <v>42818</v>
      </c>
      <c r="B3137" s="70" t="s">
        <v>41</v>
      </c>
      <c r="C3137" s="10">
        <v>76</v>
      </c>
      <c r="D3137" s="10">
        <v>354</v>
      </c>
      <c r="E3137" s="10" t="s">
        <v>40</v>
      </c>
      <c r="G3137" t="s">
        <v>269</v>
      </c>
    </row>
    <row r="3138" spans="1:7" x14ac:dyDescent="0.35">
      <c r="A3138" s="2">
        <v>42818</v>
      </c>
      <c r="B3138" s="70" t="s">
        <v>41</v>
      </c>
      <c r="C3138" s="10">
        <v>65</v>
      </c>
      <c r="D3138" s="10">
        <v>189</v>
      </c>
      <c r="E3138" s="10" t="s">
        <v>34</v>
      </c>
      <c r="G3138" t="s">
        <v>270</v>
      </c>
    </row>
    <row r="3139" spans="1:7" x14ac:dyDescent="0.35">
      <c r="A3139" s="2">
        <v>42818</v>
      </c>
      <c r="B3139" s="70" t="s">
        <v>41</v>
      </c>
      <c r="C3139" s="10">
        <v>76</v>
      </c>
      <c r="D3139" s="10">
        <v>318</v>
      </c>
      <c r="E3139" s="10" t="s">
        <v>33</v>
      </c>
      <c r="F3139" t="s">
        <v>198</v>
      </c>
      <c r="G3139" t="s">
        <v>271</v>
      </c>
    </row>
    <row r="3140" spans="1:7" x14ac:dyDescent="0.35">
      <c r="A3140" s="2">
        <v>42818</v>
      </c>
      <c r="B3140" s="70" t="s">
        <v>41</v>
      </c>
      <c r="C3140" s="10">
        <v>69</v>
      </c>
      <c r="D3140" s="10">
        <v>253</v>
      </c>
      <c r="E3140" s="10" t="s">
        <v>39</v>
      </c>
    </row>
    <row r="3141" spans="1:7" x14ac:dyDescent="0.35">
      <c r="A3141" s="2">
        <v>42818</v>
      </c>
      <c r="B3141" s="70" t="s">
        <v>41</v>
      </c>
      <c r="C3141" s="10">
        <v>71</v>
      </c>
      <c r="D3141" s="10">
        <v>256</v>
      </c>
      <c r="E3141" s="10" t="s">
        <v>33</v>
      </c>
    </row>
    <row r="3142" spans="1:7" x14ac:dyDescent="0.35">
      <c r="A3142" s="2">
        <v>42818</v>
      </c>
      <c r="B3142" s="70" t="s">
        <v>41</v>
      </c>
      <c r="C3142" s="10">
        <v>68</v>
      </c>
      <c r="D3142" s="10">
        <v>284</v>
      </c>
      <c r="E3142" s="10" t="s">
        <v>33</v>
      </c>
    </row>
    <row r="3143" spans="1:7" x14ac:dyDescent="0.35">
      <c r="A3143" s="2">
        <v>42818</v>
      </c>
      <c r="B3143" s="70" t="s">
        <v>41</v>
      </c>
      <c r="C3143" s="10">
        <v>73</v>
      </c>
      <c r="D3143" s="10">
        <v>307</v>
      </c>
      <c r="E3143" s="10" t="s">
        <v>33</v>
      </c>
    </row>
    <row r="3144" spans="1:7" x14ac:dyDescent="0.35">
      <c r="A3144" s="2">
        <v>42818</v>
      </c>
      <c r="B3144" s="70" t="s">
        <v>41</v>
      </c>
      <c r="C3144" s="10">
        <v>70</v>
      </c>
      <c r="D3144" s="10">
        <v>306</v>
      </c>
      <c r="E3144" s="10" t="s">
        <v>39</v>
      </c>
    </row>
    <row r="3145" spans="1:7" x14ac:dyDescent="0.35">
      <c r="A3145" s="2">
        <v>42818</v>
      </c>
      <c r="B3145" s="70" t="s">
        <v>41</v>
      </c>
      <c r="C3145" s="10">
        <v>72</v>
      </c>
      <c r="D3145" s="10">
        <v>316</v>
      </c>
      <c r="E3145" s="10" t="s">
        <v>33</v>
      </c>
    </row>
    <row r="3146" spans="1:7" x14ac:dyDescent="0.35">
      <c r="A3146" s="2">
        <v>42818</v>
      </c>
      <c r="B3146" s="70" t="s">
        <v>41</v>
      </c>
      <c r="C3146" s="10">
        <v>73</v>
      </c>
      <c r="D3146" s="10">
        <v>340</v>
      </c>
      <c r="E3146" s="10" t="s">
        <v>33</v>
      </c>
      <c r="F3146" t="s">
        <v>198</v>
      </c>
    </row>
    <row r="3147" spans="1:7" x14ac:dyDescent="0.35">
      <c r="A3147" s="2">
        <v>42818</v>
      </c>
      <c r="B3147" s="70" t="s">
        <v>41</v>
      </c>
      <c r="C3147" s="10">
        <v>66</v>
      </c>
      <c r="D3147" s="10">
        <v>269</v>
      </c>
      <c r="E3147" s="10" t="s">
        <v>34</v>
      </c>
    </row>
    <row r="3148" spans="1:7" x14ac:dyDescent="0.35">
      <c r="A3148" s="2">
        <v>42818</v>
      </c>
      <c r="B3148" s="70" t="s">
        <v>41</v>
      </c>
      <c r="C3148" s="10">
        <v>71</v>
      </c>
      <c r="D3148" s="10">
        <v>328</v>
      </c>
      <c r="E3148" s="10" t="s">
        <v>34</v>
      </c>
    </row>
    <row r="3149" spans="1:7" x14ac:dyDescent="0.35">
      <c r="A3149" s="2">
        <v>42818</v>
      </c>
      <c r="B3149" s="70" t="s">
        <v>41</v>
      </c>
      <c r="C3149" s="10">
        <v>68</v>
      </c>
      <c r="D3149" s="10">
        <v>194</v>
      </c>
      <c r="E3149" s="10" t="s">
        <v>34</v>
      </c>
    </row>
    <row r="3150" spans="1:7" x14ac:dyDescent="0.35">
      <c r="A3150" s="2">
        <v>42818</v>
      </c>
      <c r="B3150" s="70" t="s">
        <v>41</v>
      </c>
      <c r="C3150" s="10">
        <v>72</v>
      </c>
      <c r="D3150" s="10">
        <v>282</v>
      </c>
      <c r="E3150" s="10" t="s">
        <v>34</v>
      </c>
    </row>
    <row r="3151" spans="1:7" x14ac:dyDescent="0.35">
      <c r="A3151" s="2">
        <v>42818</v>
      </c>
      <c r="B3151" s="70" t="s">
        <v>41</v>
      </c>
      <c r="C3151" s="10">
        <v>70</v>
      </c>
      <c r="D3151" s="10">
        <v>282</v>
      </c>
      <c r="E3151" s="10" t="s">
        <v>33</v>
      </c>
    </row>
    <row r="3152" spans="1:7" x14ac:dyDescent="0.35">
      <c r="A3152" s="2">
        <v>42818</v>
      </c>
      <c r="B3152" s="70" t="s">
        <v>41</v>
      </c>
      <c r="C3152" s="10">
        <v>70</v>
      </c>
      <c r="D3152" s="10">
        <v>338</v>
      </c>
      <c r="E3152" s="10" t="s">
        <v>34</v>
      </c>
    </row>
    <row r="3153" spans="1:6" x14ac:dyDescent="0.35">
      <c r="A3153" s="2">
        <v>42818</v>
      </c>
      <c r="B3153" s="70" t="s">
        <v>41</v>
      </c>
      <c r="C3153" s="10">
        <v>71</v>
      </c>
      <c r="D3153" s="10">
        <v>299</v>
      </c>
      <c r="E3153" s="10" t="s">
        <v>33</v>
      </c>
    </row>
    <row r="3154" spans="1:6" x14ac:dyDescent="0.35">
      <c r="A3154" s="2">
        <v>42818</v>
      </c>
      <c r="B3154" s="70" t="s">
        <v>41</v>
      </c>
      <c r="C3154" s="10">
        <v>66</v>
      </c>
      <c r="D3154" s="10">
        <v>239</v>
      </c>
      <c r="E3154" s="10" t="s">
        <v>36</v>
      </c>
    </row>
    <row r="3155" spans="1:6" x14ac:dyDescent="0.35">
      <c r="A3155" s="2">
        <v>42818</v>
      </c>
      <c r="B3155" s="70" t="s">
        <v>41</v>
      </c>
      <c r="C3155" s="10">
        <v>67</v>
      </c>
      <c r="D3155" s="10">
        <v>264</v>
      </c>
      <c r="E3155" s="10" t="s">
        <v>34</v>
      </c>
    </row>
    <row r="3156" spans="1:6" x14ac:dyDescent="0.35">
      <c r="A3156" s="2">
        <v>42818</v>
      </c>
      <c r="B3156" s="70" t="s">
        <v>41</v>
      </c>
      <c r="C3156" s="10">
        <v>72</v>
      </c>
      <c r="D3156" s="10">
        <v>314</v>
      </c>
      <c r="E3156" s="10" t="s">
        <v>34</v>
      </c>
      <c r="F3156" t="s">
        <v>198</v>
      </c>
    </row>
    <row r="3157" spans="1:6" x14ac:dyDescent="0.35">
      <c r="A3157" s="2">
        <v>42818</v>
      </c>
      <c r="B3157" s="70" t="s">
        <v>41</v>
      </c>
      <c r="C3157" s="10">
        <v>71</v>
      </c>
      <c r="D3157" s="10">
        <v>306</v>
      </c>
      <c r="E3157" s="10" t="s">
        <v>36</v>
      </c>
      <c r="F3157" t="s">
        <v>198</v>
      </c>
    </row>
    <row r="3158" spans="1:6" x14ac:dyDescent="0.35">
      <c r="A3158" s="2">
        <v>42818</v>
      </c>
      <c r="B3158" s="70" t="s">
        <v>41</v>
      </c>
      <c r="C3158" s="10">
        <v>72</v>
      </c>
      <c r="D3158" s="10">
        <v>292</v>
      </c>
      <c r="E3158" s="10" t="s">
        <v>34</v>
      </c>
      <c r="F3158" t="s">
        <v>198</v>
      </c>
    </row>
    <row r="3159" spans="1:6" x14ac:dyDescent="0.35">
      <c r="A3159" s="2">
        <v>42818</v>
      </c>
      <c r="B3159" s="70" t="s">
        <v>41</v>
      </c>
      <c r="C3159" s="10">
        <v>70</v>
      </c>
      <c r="D3159" s="10">
        <v>278</v>
      </c>
      <c r="E3159" s="10" t="s">
        <v>33</v>
      </c>
    </row>
    <row r="3160" spans="1:6" x14ac:dyDescent="0.35">
      <c r="A3160" s="2">
        <v>42818</v>
      </c>
      <c r="B3160" s="70" t="s">
        <v>41</v>
      </c>
      <c r="C3160" s="10">
        <v>74</v>
      </c>
      <c r="D3160" s="10">
        <v>365</v>
      </c>
      <c r="E3160" s="10" t="s">
        <v>33</v>
      </c>
      <c r="F3160" t="s">
        <v>198</v>
      </c>
    </row>
    <row r="3161" spans="1:6" x14ac:dyDescent="0.35">
      <c r="A3161" s="2">
        <v>42818</v>
      </c>
      <c r="B3161" s="70" t="s">
        <v>41</v>
      </c>
      <c r="C3161" s="10">
        <v>61</v>
      </c>
      <c r="D3161" s="10">
        <v>195</v>
      </c>
      <c r="E3161" s="10" t="s">
        <v>33</v>
      </c>
    </row>
    <row r="3162" spans="1:6" x14ac:dyDescent="0.35">
      <c r="A3162" s="2">
        <v>42818</v>
      </c>
      <c r="B3162" s="70" t="s">
        <v>41</v>
      </c>
      <c r="C3162" s="10">
        <v>66</v>
      </c>
      <c r="D3162" s="10">
        <v>246</v>
      </c>
      <c r="E3162" s="10" t="s">
        <v>34</v>
      </c>
    </row>
    <row r="3163" spans="1:6" x14ac:dyDescent="0.35">
      <c r="A3163" s="2">
        <v>42818</v>
      </c>
      <c r="B3163" s="70" t="s">
        <v>41</v>
      </c>
      <c r="C3163" s="10">
        <v>67</v>
      </c>
      <c r="D3163" s="10">
        <v>237</v>
      </c>
      <c r="E3163" s="10" t="s">
        <v>34</v>
      </c>
      <c r="F3163" t="s">
        <v>198</v>
      </c>
    </row>
    <row r="3164" spans="1:6" x14ac:dyDescent="0.35">
      <c r="A3164" s="2">
        <v>42818</v>
      </c>
      <c r="B3164" s="70" t="s">
        <v>41</v>
      </c>
      <c r="C3164" s="10">
        <v>73</v>
      </c>
      <c r="D3164" s="10">
        <v>274</v>
      </c>
      <c r="E3164" s="10" t="s">
        <v>33</v>
      </c>
    </row>
    <row r="3165" spans="1:6" x14ac:dyDescent="0.35">
      <c r="A3165" s="2">
        <v>42818</v>
      </c>
      <c r="B3165" s="70" t="s">
        <v>41</v>
      </c>
      <c r="C3165" s="10">
        <v>66</v>
      </c>
      <c r="D3165" s="10">
        <v>204</v>
      </c>
      <c r="E3165" s="10" t="s">
        <v>33</v>
      </c>
    </row>
    <row r="3166" spans="1:6" x14ac:dyDescent="0.35">
      <c r="A3166" s="2">
        <v>42818</v>
      </c>
      <c r="B3166" s="70" t="s">
        <v>41</v>
      </c>
      <c r="C3166" s="10">
        <v>61</v>
      </c>
      <c r="D3166" s="10">
        <v>212</v>
      </c>
      <c r="E3166" s="10" t="s">
        <v>33</v>
      </c>
    </row>
    <row r="3167" spans="1:6" x14ac:dyDescent="0.35">
      <c r="A3167" s="2">
        <v>42818</v>
      </c>
      <c r="B3167" s="70" t="s">
        <v>41</v>
      </c>
      <c r="C3167" s="10">
        <v>65</v>
      </c>
      <c r="D3167" s="10">
        <v>195</v>
      </c>
      <c r="E3167" s="10" t="s">
        <v>40</v>
      </c>
    </row>
    <row r="3168" spans="1:6" x14ac:dyDescent="0.35">
      <c r="A3168" s="2">
        <v>42818</v>
      </c>
      <c r="B3168" s="70" t="s">
        <v>41</v>
      </c>
      <c r="C3168" s="10">
        <v>65</v>
      </c>
      <c r="D3168" s="10">
        <v>183</v>
      </c>
      <c r="E3168" s="10" t="s">
        <v>34</v>
      </c>
    </row>
    <row r="3169" spans="1:22" x14ac:dyDescent="0.35">
      <c r="A3169" s="2">
        <v>42818</v>
      </c>
      <c r="B3169" s="70" t="s">
        <v>41</v>
      </c>
      <c r="C3169" s="10">
        <v>65</v>
      </c>
      <c r="D3169" s="10">
        <v>247</v>
      </c>
      <c r="E3169" s="10" t="s">
        <v>33</v>
      </c>
    </row>
    <row r="3170" spans="1:22" x14ac:dyDescent="0.35">
      <c r="A3170" s="2">
        <v>42818</v>
      </c>
      <c r="B3170" s="70" t="s">
        <v>41</v>
      </c>
      <c r="C3170" s="10">
        <v>74</v>
      </c>
      <c r="D3170" s="10">
        <v>283</v>
      </c>
      <c r="E3170" s="10" t="s">
        <v>34</v>
      </c>
    </row>
    <row r="3171" spans="1:22" x14ac:dyDescent="0.35">
      <c r="A3171" s="2">
        <v>42818</v>
      </c>
      <c r="B3171" s="70" t="s">
        <v>41</v>
      </c>
      <c r="C3171" s="10">
        <v>67</v>
      </c>
      <c r="D3171" s="10">
        <v>269</v>
      </c>
      <c r="E3171" s="10" t="s">
        <v>34</v>
      </c>
      <c r="F3171" t="s">
        <v>198</v>
      </c>
    </row>
    <row r="3172" spans="1:22" x14ac:dyDescent="0.35">
      <c r="A3172" s="2">
        <v>42818</v>
      </c>
      <c r="B3172" s="70" t="s">
        <v>41</v>
      </c>
      <c r="C3172" s="10">
        <v>68</v>
      </c>
      <c r="D3172" s="10">
        <v>245</v>
      </c>
      <c r="E3172" s="10" t="s">
        <v>40</v>
      </c>
    </row>
    <row r="3173" spans="1:22" x14ac:dyDescent="0.35">
      <c r="A3173" s="2">
        <v>42818</v>
      </c>
      <c r="B3173" s="70" t="s">
        <v>41</v>
      </c>
      <c r="C3173" s="10">
        <v>67</v>
      </c>
      <c r="D3173" s="10">
        <v>248</v>
      </c>
      <c r="E3173" s="10" t="s">
        <v>33</v>
      </c>
    </row>
    <row r="3174" spans="1:22" x14ac:dyDescent="0.35">
      <c r="A3174" s="2">
        <v>42818</v>
      </c>
      <c r="B3174" s="70" t="s">
        <v>41</v>
      </c>
      <c r="C3174" s="10">
        <v>68</v>
      </c>
      <c r="D3174" s="10">
        <v>263</v>
      </c>
      <c r="E3174" s="10" t="s">
        <v>40</v>
      </c>
    </row>
    <row r="3175" spans="1:22" x14ac:dyDescent="0.35">
      <c r="A3175" s="2">
        <v>42818</v>
      </c>
      <c r="B3175" s="70" t="s">
        <v>41</v>
      </c>
      <c r="C3175" s="10">
        <v>69</v>
      </c>
      <c r="D3175" s="10">
        <v>295</v>
      </c>
      <c r="E3175" s="10" t="s">
        <v>33</v>
      </c>
    </row>
    <row r="3176" spans="1:22" x14ac:dyDescent="0.35">
      <c r="A3176" s="2">
        <v>42818</v>
      </c>
      <c r="B3176" s="70" t="s">
        <v>41</v>
      </c>
      <c r="C3176" s="10">
        <v>67</v>
      </c>
      <c r="D3176" s="10">
        <v>252</v>
      </c>
      <c r="E3176" s="10" t="s">
        <v>33</v>
      </c>
    </row>
    <row r="3177" spans="1:22" x14ac:dyDescent="0.35">
      <c r="A3177" s="2">
        <v>42818</v>
      </c>
      <c r="B3177" s="70" t="s">
        <v>41</v>
      </c>
      <c r="C3177" s="10">
        <v>71</v>
      </c>
      <c r="D3177" s="10">
        <v>352</v>
      </c>
      <c r="E3177" s="10" t="s">
        <v>33</v>
      </c>
    </row>
    <row r="3178" spans="1:22" x14ac:dyDescent="0.35">
      <c r="A3178" s="2">
        <v>42818</v>
      </c>
      <c r="B3178" s="70" t="s">
        <v>41</v>
      </c>
      <c r="C3178" s="10">
        <v>70</v>
      </c>
      <c r="D3178" s="10">
        <v>282</v>
      </c>
      <c r="E3178" s="10" t="s">
        <v>33</v>
      </c>
    </row>
    <row r="3179" spans="1:22" x14ac:dyDescent="0.35">
      <c r="A3179" s="2">
        <v>42818</v>
      </c>
      <c r="B3179" s="70" t="s">
        <v>41</v>
      </c>
      <c r="C3179" s="10">
        <v>66</v>
      </c>
      <c r="D3179" s="10">
        <v>232</v>
      </c>
      <c r="E3179" s="10" t="s">
        <v>33</v>
      </c>
    </row>
    <row r="3180" spans="1:22" x14ac:dyDescent="0.35">
      <c r="A3180" s="2">
        <v>42818</v>
      </c>
      <c r="B3180" s="70" t="s">
        <v>41</v>
      </c>
      <c r="C3180" s="10">
        <v>65</v>
      </c>
      <c r="D3180" s="10">
        <v>262</v>
      </c>
      <c r="E3180" s="10" t="s">
        <v>33</v>
      </c>
    </row>
    <row r="3181" spans="1:22" x14ac:dyDescent="0.35">
      <c r="A3181" s="2">
        <v>42818</v>
      </c>
      <c r="B3181" s="70" t="s">
        <v>41</v>
      </c>
      <c r="C3181" s="10">
        <v>68</v>
      </c>
      <c r="D3181" s="10">
        <v>256</v>
      </c>
      <c r="E3181" s="10" t="s">
        <v>33</v>
      </c>
    </row>
    <row r="3182" spans="1:22" x14ac:dyDescent="0.35">
      <c r="A3182" s="2">
        <v>42818</v>
      </c>
      <c r="B3182" s="70" t="s">
        <v>41</v>
      </c>
      <c r="C3182" s="10">
        <v>73</v>
      </c>
      <c r="D3182" s="10">
        <v>338</v>
      </c>
      <c r="E3182" s="10" t="s">
        <v>36</v>
      </c>
    </row>
    <row r="3183" spans="1:22" x14ac:dyDescent="0.35">
      <c r="A3183" s="2">
        <v>42818</v>
      </c>
      <c r="B3183" s="70" t="s">
        <v>41</v>
      </c>
      <c r="C3183" s="10">
        <v>78</v>
      </c>
      <c r="D3183" s="10">
        <v>360</v>
      </c>
      <c r="E3183" s="10" t="s">
        <v>39</v>
      </c>
      <c r="I3183" t="s">
        <v>42</v>
      </c>
      <c r="J3183" t="s">
        <v>39</v>
      </c>
      <c r="K3183" t="s">
        <v>40</v>
      </c>
      <c r="L3183" t="s">
        <v>36</v>
      </c>
      <c r="M3183" t="s">
        <v>33</v>
      </c>
      <c r="N3183" t="s">
        <v>34</v>
      </c>
      <c r="O3183" t="s">
        <v>32</v>
      </c>
      <c r="P3183" t="s">
        <v>37</v>
      </c>
      <c r="R3183" t="s">
        <v>43</v>
      </c>
      <c r="S3183" t="s">
        <v>44</v>
      </c>
    </row>
    <row r="3184" spans="1:22" x14ac:dyDescent="0.35">
      <c r="A3184" s="2">
        <v>42818</v>
      </c>
      <c r="B3184" s="70" t="s">
        <v>41</v>
      </c>
      <c r="C3184" s="10">
        <v>72</v>
      </c>
      <c r="D3184" s="10">
        <v>351</v>
      </c>
      <c r="E3184" s="10" t="s">
        <v>33</v>
      </c>
      <c r="F3184" t="s">
        <v>198</v>
      </c>
      <c r="I3184" s="5">
        <f>COUNTIF(E3135:E3185,"VA")</f>
        <v>0</v>
      </c>
      <c r="J3184" s="5">
        <f>COUNTIF(E3135:E3185,"VB")</f>
        <v>3</v>
      </c>
      <c r="K3184" s="5">
        <f>COUNTIF(E3135:E3185,"VIA0")</f>
        <v>5</v>
      </c>
      <c r="L3184" s="5">
        <f>COUNTIF(E3135:E3185,"VIA1")</f>
        <v>3</v>
      </c>
      <c r="M3184" s="5">
        <f>COUNTIF(E3135:E3185,"VIA2")</f>
        <v>26</v>
      </c>
      <c r="N3184" s="5">
        <f>COUNTIF(E3135:E3185,"VIA3")</f>
        <v>14</v>
      </c>
      <c r="O3184" s="5">
        <f>COUNTIF(E3135:E3185,"VIA4")</f>
        <v>0</v>
      </c>
      <c r="P3184" s="5">
        <f>COUNTIF(E3080:E3185,"VIB")</f>
        <v>0</v>
      </c>
      <c r="R3184" s="7">
        <f>AVERAGE(C3135:C3185)</f>
        <v>69.509803921568633</v>
      </c>
      <c r="S3184" s="7">
        <f>AVERAGE(D3135:D3185)</f>
        <v>279.03921568627453</v>
      </c>
      <c r="T3184" s="7"/>
      <c r="U3184" s="7" t="e">
        <f>AVERAGE(#REF!)</f>
        <v>#REF!</v>
      </c>
      <c r="V3184" s="7"/>
    </row>
    <row r="3185" spans="1:16" s="4" customFormat="1" x14ac:dyDescent="0.35">
      <c r="A3185" s="3">
        <v>42818</v>
      </c>
      <c r="B3185" s="44" t="s">
        <v>41</v>
      </c>
      <c r="C3185" s="11">
        <v>74</v>
      </c>
      <c r="D3185" s="11">
        <v>359</v>
      </c>
      <c r="E3185" s="11" t="s">
        <v>33</v>
      </c>
      <c r="I3185" s="6">
        <f t="shared" ref="I3185:N3185" si="95">I3184/51*100</f>
        <v>0</v>
      </c>
      <c r="J3185" s="6">
        <f t="shared" si="95"/>
        <v>5.8823529411764701</v>
      </c>
      <c r="K3185" s="6">
        <f t="shared" si="95"/>
        <v>9.8039215686274517</v>
      </c>
      <c r="L3185" s="6">
        <f t="shared" si="95"/>
        <v>5.8823529411764701</v>
      </c>
      <c r="M3185" s="6">
        <f t="shared" si="95"/>
        <v>50.980392156862742</v>
      </c>
      <c r="N3185" s="6">
        <f t="shared" si="95"/>
        <v>27.450980392156865</v>
      </c>
      <c r="O3185" s="6">
        <f>O3184/50*100</f>
        <v>0</v>
      </c>
      <c r="P3185" s="6">
        <f t="shared" ref="P3185" si="96">P3184/99*100</f>
        <v>0</v>
      </c>
    </row>
    <row r="3186" spans="1:16" x14ac:dyDescent="0.35">
      <c r="A3186" s="2">
        <v>42821</v>
      </c>
      <c r="B3186" s="70" t="s">
        <v>38</v>
      </c>
      <c r="C3186" s="10">
        <v>105</v>
      </c>
      <c r="D3186" s="10">
        <v>1323</v>
      </c>
      <c r="E3186" s="10" t="s">
        <v>98</v>
      </c>
    </row>
    <row r="3187" spans="1:16" x14ac:dyDescent="0.35">
      <c r="A3187" s="2">
        <v>42821</v>
      </c>
      <c r="B3187" s="70" t="s">
        <v>38</v>
      </c>
      <c r="C3187" s="10">
        <v>113</v>
      </c>
      <c r="D3187" s="10">
        <v>1553</v>
      </c>
      <c r="E3187" s="10" t="s">
        <v>98</v>
      </c>
    </row>
    <row r="3188" spans="1:16" x14ac:dyDescent="0.35">
      <c r="A3188" s="2">
        <v>42821</v>
      </c>
      <c r="B3188" s="70" t="s">
        <v>38</v>
      </c>
      <c r="C3188" s="10">
        <v>173</v>
      </c>
      <c r="D3188" s="10">
        <v>5634</v>
      </c>
      <c r="E3188" s="10" t="s">
        <v>98</v>
      </c>
    </row>
    <row r="3189" spans="1:16" x14ac:dyDescent="0.35">
      <c r="A3189" s="2">
        <v>42821</v>
      </c>
      <c r="B3189" s="70" t="s">
        <v>38</v>
      </c>
      <c r="C3189" s="55">
        <v>79</v>
      </c>
      <c r="D3189" s="55">
        <v>502</v>
      </c>
      <c r="E3189" s="55" t="s">
        <v>159</v>
      </c>
    </row>
    <row r="3190" spans="1:16" x14ac:dyDescent="0.35">
      <c r="A3190" s="2">
        <v>42821</v>
      </c>
      <c r="B3190" s="70" t="s">
        <v>38</v>
      </c>
      <c r="C3190" s="10">
        <v>95</v>
      </c>
      <c r="D3190" s="10">
        <v>814</v>
      </c>
      <c r="E3190" s="10" t="s">
        <v>98</v>
      </c>
    </row>
    <row r="3191" spans="1:16" x14ac:dyDescent="0.35">
      <c r="A3191" s="2">
        <v>42821</v>
      </c>
      <c r="B3191" s="70" t="s">
        <v>38</v>
      </c>
      <c r="C3191" s="10">
        <v>70</v>
      </c>
      <c r="D3191" s="10">
        <v>286</v>
      </c>
      <c r="E3191" s="10" t="s">
        <v>40</v>
      </c>
    </row>
    <row r="3192" spans="1:16" x14ac:dyDescent="0.35">
      <c r="A3192" s="2">
        <v>42821</v>
      </c>
      <c r="B3192" s="70" t="s">
        <v>38</v>
      </c>
      <c r="C3192" s="10">
        <v>74</v>
      </c>
      <c r="D3192" s="10">
        <v>368</v>
      </c>
      <c r="E3192" s="10" t="s">
        <v>34</v>
      </c>
    </row>
    <row r="3193" spans="1:16" x14ac:dyDescent="0.35">
      <c r="A3193" s="2">
        <v>42821</v>
      </c>
      <c r="B3193" s="70" t="s">
        <v>38</v>
      </c>
      <c r="C3193" s="10">
        <v>71</v>
      </c>
      <c r="D3193" s="10">
        <v>346</v>
      </c>
      <c r="E3193" s="10" t="s">
        <v>36</v>
      </c>
    </row>
    <row r="3194" spans="1:16" x14ac:dyDescent="0.35">
      <c r="A3194" s="2">
        <v>42821</v>
      </c>
      <c r="B3194" s="70" t="s">
        <v>38</v>
      </c>
      <c r="C3194" s="10">
        <v>79</v>
      </c>
      <c r="D3194" s="10">
        <v>393</v>
      </c>
      <c r="E3194" s="10" t="s">
        <v>40</v>
      </c>
    </row>
    <row r="3195" spans="1:16" x14ac:dyDescent="0.35">
      <c r="A3195" s="2">
        <v>42821</v>
      </c>
      <c r="B3195" s="70" t="s">
        <v>38</v>
      </c>
      <c r="C3195" s="10">
        <v>77</v>
      </c>
      <c r="D3195" s="10">
        <v>392</v>
      </c>
      <c r="E3195" s="10" t="s">
        <v>33</v>
      </c>
    </row>
    <row r="3196" spans="1:16" x14ac:dyDescent="0.35">
      <c r="A3196" s="2">
        <v>42821</v>
      </c>
      <c r="B3196" s="70" t="s">
        <v>38</v>
      </c>
      <c r="C3196" s="10">
        <v>67</v>
      </c>
      <c r="D3196" s="10">
        <v>201</v>
      </c>
      <c r="E3196" s="10" t="s">
        <v>33</v>
      </c>
    </row>
    <row r="3197" spans="1:16" x14ac:dyDescent="0.35">
      <c r="A3197" s="2">
        <v>42821</v>
      </c>
      <c r="B3197" s="70" t="s">
        <v>38</v>
      </c>
      <c r="C3197" s="10">
        <v>74</v>
      </c>
      <c r="D3197" s="10">
        <v>325</v>
      </c>
      <c r="E3197" s="10" t="s">
        <v>33</v>
      </c>
    </row>
    <row r="3198" spans="1:16" x14ac:dyDescent="0.35">
      <c r="A3198" s="2">
        <v>42821</v>
      </c>
      <c r="B3198" s="70" t="s">
        <v>38</v>
      </c>
      <c r="C3198" s="10">
        <v>67</v>
      </c>
      <c r="D3198" s="10">
        <v>231</v>
      </c>
      <c r="E3198" s="10" t="s">
        <v>33</v>
      </c>
    </row>
    <row r="3199" spans="1:16" x14ac:dyDescent="0.35">
      <c r="A3199" s="2">
        <v>42821</v>
      </c>
      <c r="B3199" s="70" t="s">
        <v>38</v>
      </c>
      <c r="C3199" s="10">
        <v>70</v>
      </c>
      <c r="D3199" s="10">
        <v>280</v>
      </c>
      <c r="E3199" s="10" t="s">
        <v>33</v>
      </c>
    </row>
    <row r="3200" spans="1:16" x14ac:dyDescent="0.35">
      <c r="A3200" s="2">
        <v>42821</v>
      </c>
      <c r="B3200" s="70" t="s">
        <v>38</v>
      </c>
      <c r="C3200" s="10">
        <v>62</v>
      </c>
      <c r="D3200" s="10">
        <v>212</v>
      </c>
      <c r="E3200" s="10" t="s">
        <v>36</v>
      </c>
    </row>
    <row r="3201" spans="1:6" x14ac:dyDescent="0.35">
      <c r="A3201" s="2">
        <v>42821</v>
      </c>
      <c r="B3201" s="70" t="s">
        <v>38</v>
      </c>
      <c r="C3201" s="10">
        <v>74</v>
      </c>
      <c r="D3201" s="10">
        <v>298</v>
      </c>
      <c r="E3201" s="10" t="s">
        <v>33</v>
      </c>
    </row>
    <row r="3202" spans="1:6" x14ac:dyDescent="0.35">
      <c r="A3202" s="2">
        <v>42821</v>
      </c>
      <c r="B3202" s="70" t="s">
        <v>38</v>
      </c>
      <c r="C3202" s="10">
        <v>61</v>
      </c>
      <c r="D3202" s="10">
        <v>193</v>
      </c>
      <c r="E3202" s="10" t="s">
        <v>34</v>
      </c>
    </row>
    <row r="3203" spans="1:6" x14ac:dyDescent="0.35">
      <c r="A3203" s="2">
        <v>42821</v>
      </c>
      <c r="B3203" s="70" t="s">
        <v>38</v>
      </c>
      <c r="C3203" s="10">
        <v>67</v>
      </c>
      <c r="D3203" s="10">
        <v>269</v>
      </c>
      <c r="E3203" s="10" t="s">
        <v>33</v>
      </c>
    </row>
    <row r="3204" spans="1:6" x14ac:dyDescent="0.35">
      <c r="A3204" s="2">
        <v>42821</v>
      </c>
      <c r="B3204" s="70" t="s">
        <v>38</v>
      </c>
      <c r="C3204" s="10">
        <v>68</v>
      </c>
      <c r="D3204" s="10">
        <v>275</v>
      </c>
      <c r="E3204" s="10" t="s">
        <v>34</v>
      </c>
    </row>
    <row r="3205" spans="1:6" x14ac:dyDescent="0.35">
      <c r="A3205" s="2">
        <v>42821</v>
      </c>
      <c r="B3205" s="70" t="s">
        <v>38</v>
      </c>
      <c r="C3205" s="10">
        <v>71</v>
      </c>
      <c r="D3205" s="10">
        <v>326</v>
      </c>
      <c r="E3205" s="10" t="s">
        <v>33</v>
      </c>
    </row>
    <row r="3206" spans="1:6" x14ac:dyDescent="0.35">
      <c r="A3206" s="2">
        <v>42821</v>
      </c>
      <c r="B3206" s="70" t="s">
        <v>38</v>
      </c>
      <c r="C3206" s="10">
        <v>66</v>
      </c>
      <c r="D3206" s="10">
        <v>238</v>
      </c>
      <c r="E3206" s="10" t="s">
        <v>33</v>
      </c>
    </row>
    <row r="3207" spans="1:6" x14ac:dyDescent="0.35">
      <c r="A3207" s="2">
        <v>42821</v>
      </c>
      <c r="B3207" s="70" t="s">
        <v>38</v>
      </c>
      <c r="C3207" s="10">
        <v>70</v>
      </c>
      <c r="D3207" s="10">
        <v>254</v>
      </c>
      <c r="E3207" s="10" t="s">
        <v>36</v>
      </c>
    </row>
    <row r="3208" spans="1:6" x14ac:dyDescent="0.35">
      <c r="A3208" s="2">
        <v>42821</v>
      </c>
      <c r="B3208" s="70" t="s">
        <v>38</v>
      </c>
      <c r="C3208" s="10">
        <v>84</v>
      </c>
      <c r="D3208" s="10">
        <v>482</v>
      </c>
      <c r="E3208" s="10" t="s">
        <v>34</v>
      </c>
    </row>
    <row r="3209" spans="1:6" x14ac:dyDescent="0.35">
      <c r="A3209" s="2">
        <v>42821</v>
      </c>
      <c r="B3209" s="70" t="s">
        <v>38</v>
      </c>
      <c r="C3209" s="10">
        <v>67</v>
      </c>
      <c r="D3209" s="10">
        <v>279</v>
      </c>
      <c r="E3209" s="10" t="s">
        <v>34</v>
      </c>
    </row>
    <row r="3210" spans="1:6" x14ac:dyDescent="0.35">
      <c r="A3210" s="2">
        <v>42821</v>
      </c>
      <c r="B3210" s="70" t="s">
        <v>38</v>
      </c>
      <c r="C3210" s="10">
        <v>66</v>
      </c>
      <c r="D3210" s="10">
        <v>260</v>
      </c>
      <c r="E3210" s="10" t="s">
        <v>33</v>
      </c>
    </row>
    <row r="3211" spans="1:6" x14ac:dyDescent="0.35">
      <c r="A3211" s="2">
        <v>42821</v>
      </c>
      <c r="B3211" s="70" t="s">
        <v>38</v>
      </c>
      <c r="C3211" s="10">
        <v>71</v>
      </c>
      <c r="D3211" s="10">
        <v>335</v>
      </c>
      <c r="E3211" s="10" t="s">
        <v>33</v>
      </c>
    </row>
    <row r="3212" spans="1:6" x14ac:dyDescent="0.35">
      <c r="A3212" s="2">
        <v>42821</v>
      </c>
      <c r="B3212" s="70" t="s">
        <v>38</v>
      </c>
      <c r="C3212" s="10">
        <v>65</v>
      </c>
      <c r="D3212" s="10">
        <v>257</v>
      </c>
      <c r="E3212" s="10" t="s">
        <v>34</v>
      </c>
    </row>
    <row r="3213" spans="1:6" x14ac:dyDescent="0.35">
      <c r="A3213" s="2">
        <v>42821</v>
      </c>
      <c r="B3213" s="70" t="s">
        <v>38</v>
      </c>
      <c r="C3213" s="10">
        <v>75</v>
      </c>
      <c r="D3213" s="10">
        <v>359</v>
      </c>
      <c r="E3213" s="10" t="s">
        <v>33</v>
      </c>
    </row>
    <row r="3214" spans="1:6" x14ac:dyDescent="0.35">
      <c r="A3214" s="2">
        <v>42821</v>
      </c>
      <c r="B3214" s="70" t="s">
        <v>38</v>
      </c>
      <c r="C3214" s="10">
        <v>64</v>
      </c>
      <c r="D3214" s="10">
        <v>202</v>
      </c>
      <c r="E3214" s="10" t="s">
        <v>34</v>
      </c>
    </row>
    <row r="3215" spans="1:6" x14ac:dyDescent="0.35">
      <c r="A3215" s="2">
        <v>42821</v>
      </c>
      <c r="B3215" s="70" t="s">
        <v>38</v>
      </c>
      <c r="C3215" s="10">
        <v>71</v>
      </c>
      <c r="D3215" s="10">
        <v>326</v>
      </c>
      <c r="E3215" s="10" t="s">
        <v>36</v>
      </c>
      <c r="F3215" t="s">
        <v>272</v>
      </c>
    </row>
    <row r="3216" spans="1:6" x14ac:dyDescent="0.35">
      <c r="A3216" s="2">
        <v>42821</v>
      </c>
      <c r="B3216" s="70" t="s">
        <v>38</v>
      </c>
      <c r="C3216" s="10">
        <v>69</v>
      </c>
      <c r="D3216" s="10">
        <v>265</v>
      </c>
      <c r="E3216" s="10" t="s">
        <v>33</v>
      </c>
    </row>
    <row r="3217" spans="1:6" x14ac:dyDescent="0.35">
      <c r="A3217" s="2">
        <v>42821</v>
      </c>
      <c r="B3217" s="70" t="s">
        <v>38</v>
      </c>
      <c r="C3217" s="10">
        <v>69</v>
      </c>
      <c r="D3217" s="10">
        <v>296</v>
      </c>
      <c r="E3217" s="10" t="s">
        <v>33</v>
      </c>
    </row>
    <row r="3218" spans="1:6" x14ac:dyDescent="0.35">
      <c r="A3218" s="2">
        <v>42821</v>
      </c>
      <c r="B3218" s="70" t="s">
        <v>38</v>
      </c>
      <c r="C3218" s="10">
        <v>64</v>
      </c>
      <c r="D3218" s="10">
        <v>187</v>
      </c>
      <c r="E3218" s="10" t="s">
        <v>34</v>
      </c>
    </row>
    <row r="3219" spans="1:6" x14ac:dyDescent="0.35">
      <c r="A3219" s="2">
        <v>42821</v>
      </c>
      <c r="B3219" s="70" t="s">
        <v>38</v>
      </c>
      <c r="C3219" s="10">
        <v>68</v>
      </c>
      <c r="D3219" s="10">
        <v>264</v>
      </c>
      <c r="E3219" s="10" t="s">
        <v>34</v>
      </c>
    </row>
    <row r="3220" spans="1:6" x14ac:dyDescent="0.35">
      <c r="A3220" s="2">
        <v>42821</v>
      </c>
      <c r="B3220" s="70" t="s">
        <v>38</v>
      </c>
      <c r="C3220" s="10">
        <v>78</v>
      </c>
      <c r="D3220" s="10">
        <v>359</v>
      </c>
      <c r="E3220" s="10" t="s">
        <v>39</v>
      </c>
      <c r="F3220" t="s">
        <v>163</v>
      </c>
    </row>
    <row r="3221" spans="1:6" x14ac:dyDescent="0.35">
      <c r="A3221" s="2">
        <v>42821</v>
      </c>
      <c r="B3221" s="70" t="s">
        <v>38</v>
      </c>
      <c r="C3221" s="10">
        <v>71</v>
      </c>
      <c r="D3221" s="10">
        <v>279</v>
      </c>
      <c r="E3221" s="10" t="s">
        <v>34</v>
      </c>
    </row>
    <row r="3222" spans="1:6" x14ac:dyDescent="0.35">
      <c r="A3222" s="2">
        <v>42821</v>
      </c>
      <c r="B3222" s="70" t="s">
        <v>38</v>
      </c>
      <c r="C3222" s="10">
        <v>70</v>
      </c>
      <c r="D3222" s="10">
        <v>306</v>
      </c>
      <c r="E3222" s="10" t="s">
        <v>34</v>
      </c>
    </row>
    <row r="3223" spans="1:6" x14ac:dyDescent="0.35">
      <c r="A3223" s="2">
        <v>42821</v>
      </c>
      <c r="B3223" s="70" t="s">
        <v>38</v>
      </c>
      <c r="C3223" s="10">
        <v>68</v>
      </c>
      <c r="D3223" s="10">
        <v>251</v>
      </c>
      <c r="E3223" s="10" t="s">
        <v>39</v>
      </c>
    </row>
    <row r="3224" spans="1:6" x14ac:dyDescent="0.35">
      <c r="A3224" s="2">
        <v>42821</v>
      </c>
      <c r="B3224" s="70" t="s">
        <v>38</v>
      </c>
      <c r="C3224" s="10">
        <v>71</v>
      </c>
      <c r="D3224" s="10">
        <v>301</v>
      </c>
      <c r="E3224" s="10" t="s">
        <v>33</v>
      </c>
    </row>
    <row r="3225" spans="1:6" x14ac:dyDescent="0.35">
      <c r="A3225" s="2">
        <v>42821</v>
      </c>
      <c r="B3225" s="70" t="s">
        <v>38</v>
      </c>
      <c r="C3225" s="10">
        <v>70</v>
      </c>
      <c r="D3225" s="10">
        <v>303</v>
      </c>
      <c r="E3225" s="10" t="s">
        <v>33</v>
      </c>
    </row>
    <row r="3226" spans="1:6" x14ac:dyDescent="0.35">
      <c r="A3226" s="2">
        <v>42821</v>
      </c>
      <c r="B3226" s="70" t="s">
        <v>38</v>
      </c>
      <c r="C3226" s="10">
        <v>68</v>
      </c>
      <c r="D3226" s="10">
        <v>243</v>
      </c>
      <c r="E3226" s="10" t="s">
        <v>33</v>
      </c>
    </row>
    <row r="3227" spans="1:6" x14ac:dyDescent="0.35">
      <c r="A3227" s="2">
        <v>42821</v>
      </c>
      <c r="B3227" s="70" t="s">
        <v>38</v>
      </c>
      <c r="C3227" s="10">
        <v>72</v>
      </c>
      <c r="D3227" s="10">
        <v>304</v>
      </c>
      <c r="E3227" s="10" t="s">
        <v>36</v>
      </c>
    </row>
    <row r="3228" spans="1:6" x14ac:dyDescent="0.35">
      <c r="A3228" s="2">
        <v>42821</v>
      </c>
      <c r="B3228" s="70" t="s">
        <v>38</v>
      </c>
      <c r="C3228" s="10">
        <v>72</v>
      </c>
      <c r="D3228" s="10">
        <v>300</v>
      </c>
      <c r="E3228" s="10" t="s">
        <v>33</v>
      </c>
    </row>
    <row r="3229" spans="1:6" x14ac:dyDescent="0.35">
      <c r="A3229" s="2">
        <v>42821</v>
      </c>
      <c r="B3229" s="70" t="s">
        <v>38</v>
      </c>
      <c r="C3229">
        <v>69</v>
      </c>
      <c r="D3229" s="10">
        <v>238</v>
      </c>
      <c r="E3229" s="10" t="s">
        <v>33</v>
      </c>
    </row>
    <row r="3230" spans="1:6" x14ac:dyDescent="0.35">
      <c r="A3230" s="2">
        <v>42821</v>
      </c>
      <c r="B3230" s="70" t="s">
        <v>38</v>
      </c>
      <c r="C3230">
        <v>67</v>
      </c>
      <c r="D3230" s="10">
        <v>265</v>
      </c>
      <c r="E3230" s="10" t="s">
        <v>33</v>
      </c>
    </row>
    <row r="3231" spans="1:6" x14ac:dyDescent="0.35">
      <c r="A3231" s="2">
        <v>42821</v>
      </c>
      <c r="B3231" s="70" t="s">
        <v>38</v>
      </c>
      <c r="C3231">
        <v>62</v>
      </c>
      <c r="D3231" s="10">
        <v>184</v>
      </c>
      <c r="E3231" s="10" t="s">
        <v>34</v>
      </c>
    </row>
    <row r="3232" spans="1:6" x14ac:dyDescent="0.35">
      <c r="A3232" s="2">
        <v>42821</v>
      </c>
      <c r="B3232" s="70" t="s">
        <v>38</v>
      </c>
      <c r="C3232">
        <v>65</v>
      </c>
      <c r="D3232" s="10">
        <v>249</v>
      </c>
      <c r="E3232" s="10" t="s">
        <v>34</v>
      </c>
    </row>
    <row r="3233" spans="1:21" x14ac:dyDescent="0.35">
      <c r="A3233" s="2">
        <v>42821</v>
      </c>
      <c r="B3233" s="70" t="s">
        <v>38</v>
      </c>
      <c r="C3233">
        <v>70</v>
      </c>
      <c r="D3233" s="10">
        <v>272</v>
      </c>
      <c r="E3233" s="10" t="s">
        <v>40</v>
      </c>
    </row>
    <row r="3234" spans="1:21" x14ac:dyDescent="0.35">
      <c r="A3234" s="2">
        <v>42821</v>
      </c>
      <c r="B3234" s="70" t="s">
        <v>38</v>
      </c>
      <c r="C3234">
        <v>72</v>
      </c>
      <c r="D3234" s="10">
        <v>354</v>
      </c>
      <c r="E3234" s="10" t="s">
        <v>33</v>
      </c>
    </row>
    <row r="3235" spans="1:21" x14ac:dyDescent="0.35">
      <c r="A3235" s="2">
        <v>42821</v>
      </c>
      <c r="B3235" s="70" t="s">
        <v>38</v>
      </c>
      <c r="C3235">
        <v>70</v>
      </c>
      <c r="D3235" s="10">
        <v>299</v>
      </c>
      <c r="E3235" s="10" t="s">
        <v>33</v>
      </c>
    </row>
    <row r="3236" spans="1:21" x14ac:dyDescent="0.35">
      <c r="A3236" s="2">
        <v>42821</v>
      </c>
      <c r="B3236" s="70" t="s">
        <v>38</v>
      </c>
      <c r="C3236">
        <v>73</v>
      </c>
      <c r="D3236" s="10">
        <v>294</v>
      </c>
      <c r="E3236" s="10" t="s">
        <v>33</v>
      </c>
    </row>
    <row r="3237" spans="1:21" x14ac:dyDescent="0.35">
      <c r="A3237" s="2">
        <v>42821</v>
      </c>
      <c r="B3237" s="70" t="s">
        <v>38</v>
      </c>
      <c r="C3237">
        <v>68</v>
      </c>
      <c r="D3237" s="10">
        <v>280</v>
      </c>
      <c r="E3237" s="10" t="s">
        <v>33</v>
      </c>
    </row>
    <row r="3238" spans="1:21" x14ac:dyDescent="0.35">
      <c r="A3238" s="2">
        <v>42821</v>
      </c>
      <c r="B3238" s="70" t="s">
        <v>38</v>
      </c>
      <c r="C3238">
        <v>68</v>
      </c>
      <c r="D3238" s="10">
        <v>309</v>
      </c>
      <c r="E3238" s="10" t="s">
        <v>33</v>
      </c>
      <c r="I3238" t="s">
        <v>42</v>
      </c>
      <c r="J3238" t="s">
        <v>39</v>
      </c>
      <c r="K3238" t="s">
        <v>40</v>
      </c>
      <c r="L3238" t="s">
        <v>36</v>
      </c>
      <c r="M3238" t="s">
        <v>33</v>
      </c>
      <c r="N3238" t="s">
        <v>34</v>
      </c>
      <c r="O3238" t="s">
        <v>32</v>
      </c>
      <c r="P3238" t="s">
        <v>37</v>
      </c>
      <c r="R3238" t="s">
        <v>43</v>
      </c>
      <c r="S3238" t="s">
        <v>44</v>
      </c>
    </row>
    <row r="3239" spans="1:21" x14ac:dyDescent="0.35">
      <c r="A3239" s="2">
        <v>42821</v>
      </c>
      <c r="B3239" s="70" t="s">
        <v>38</v>
      </c>
      <c r="C3239">
        <v>73</v>
      </c>
      <c r="D3239" s="10">
        <v>276</v>
      </c>
      <c r="E3239" s="10" t="s">
        <v>34</v>
      </c>
      <c r="I3239" s="5">
        <f>COUNTIF(E3190:E3240,"VA")</f>
        <v>0</v>
      </c>
      <c r="J3239" s="5">
        <f>COUNTIF(E3190:E3240,"VB")</f>
        <v>2</v>
      </c>
      <c r="K3239" s="5">
        <f>COUNTIF(E3190:E3240,"VIA0")</f>
        <v>3</v>
      </c>
      <c r="L3239" s="5">
        <f>COUNTIF(E3190:E3240,"VIA1")</f>
        <v>5</v>
      </c>
      <c r="M3239" s="5">
        <f>COUNTIF(E3190:E3240,"VIA2")</f>
        <v>25</v>
      </c>
      <c r="N3239" s="5">
        <f>COUNTIF(E3190:E3240,"VIA3")</f>
        <v>15</v>
      </c>
      <c r="O3239" s="5">
        <f>COUNTIF(E3190:E3240,"VIA4")</f>
        <v>0</v>
      </c>
      <c r="P3239" s="5">
        <f>COUNTIF(E3135:E3240,"VIB")</f>
        <v>0</v>
      </c>
      <c r="R3239" s="7">
        <f>AVERAGE(C3191:C3240)</f>
        <v>69.72</v>
      </c>
      <c r="S3239" s="7">
        <f>AVERAGE(D3191:D3240)</f>
        <v>286.60000000000002</v>
      </c>
      <c r="T3239" s="7"/>
      <c r="U3239" s="7" t="e">
        <f>AVERAGE(#REF!)</f>
        <v>#REF!</v>
      </c>
    </row>
    <row r="3240" spans="1:21" s="4" customFormat="1" x14ac:dyDescent="0.35">
      <c r="A3240" s="3">
        <v>42821</v>
      </c>
      <c r="B3240" s="44" t="s">
        <v>38</v>
      </c>
      <c r="C3240" s="4">
        <v>68</v>
      </c>
      <c r="D3240" s="11">
        <v>265</v>
      </c>
      <c r="E3240" s="11" t="s">
        <v>34</v>
      </c>
      <c r="I3240" s="6">
        <f t="shared" ref="I3240:O3240" si="97">I3239/50*100</f>
        <v>0</v>
      </c>
      <c r="J3240" s="6">
        <f t="shared" si="97"/>
        <v>4</v>
      </c>
      <c r="K3240" s="6">
        <f t="shared" si="97"/>
        <v>6</v>
      </c>
      <c r="L3240" s="6">
        <f t="shared" si="97"/>
        <v>10</v>
      </c>
      <c r="M3240" s="6">
        <f t="shared" si="97"/>
        <v>50</v>
      </c>
      <c r="N3240" s="6">
        <f t="shared" si="97"/>
        <v>30</v>
      </c>
      <c r="O3240" s="6">
        <f t="shared" si="97"/>
        <v>0</v>
      </c>
      <c r="P3240" s="6">
        <f t="shared" ref="P3240" si="98">P3239/99*100</f>
        <v>0</v>
      </c>
    </row>
    <row r="3241" spans="1:21" x14ac:dyDescent="0.35">
      <c r="A3241" s="2">
        <v>42821</v>
      </c>
      <c r="B3241" s="70" t="s">
        <v>29</v>
      </c>
      <c r="C3241" s="10">
        <v>95</v>
      </c>
      <c r="D3241" s="10">
        <v>832</v>
      </c>
      <c r="E3241" s="10" t="s">
        <v>98</v>
      </c>
    </row>
    <row r="3242" spans="1:21" x14ac:dyDescent="0.35">
      <c r="A3242" s="2">
        <v>42821</v>
      </c>
      <c r="B3242" s="70" t="s">
        <v>29</v>
      </c>
      <c r="C3242" s="10">
        <v>66</v>
      </c>
      <c r="D3242" s="10">
        <v>204</v>
      </c>
      <c r="E3242" s="10" t="s">
        <v>33</v>
      </c>
    </row>
    <row r="3243" spans="1:21" x14ac:dyDescent="0.35">
      <c r="A3243" s="2">
        <v>42821</v>
      </c>
      <c r="B3243" s="70" t="s">
        <v>29</v>
      </c>
      <c r="C3243" s="10">
        <v>69</v>
      </c>
      <c r="D3243" s="10">
        <v>288</v>
      </c>
      <c r="E3243" s="10" t="s">
        <v>33</v>
      </c>
      <c r="G3243" s="42" t="e">
        <f>AVERAGE(#REF!,#REF!)</f>
        <v>#REF!</v>
      </c>
    </row>
    <row r="3244" spans="1:21" x14ac:dyDescent="0.35">
      <c r="A3244" s="2">
        <v>42821</v>
      </c>
      <c r="B3244" s="70" t="s">
        <v>29</v>
      </c>
      <c r="C3244" s="10">
        <v>69</v>
      </c>
      <c r="D3244">
        <v>282</v>
      </c>
      <c r="E3244" s="10" t="s">
        <v>33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/>
    </row>
    <row r="3245" spans="1:21" x14ac:dyDescent="0.35">
      <c r="A3245" s="2">
        <v>42821</v>
      </c>
      <c r="B3245" s="70" t="s">
        <v>29</v>
      </c>
      <c r="C3245" s="10">
        <v>62</v>
      </c>
      <c r="D3245">
        <v>247</v>
      </c>
      <c r="E3245" s="10" t="s">
        <v>33</v>
      </c>
      <c r="H3245" s="5"/>
      <c r="I3245" s="34"/>
      <c r="J3245" s="34"/>
      <c r="K3245" s="34"/>
      <c r="L3245" s="34"/>
      <c r="M3245" s="34"/>
      <c r="N3245" s="34"/>
      <c r="O3245" s="34"/>
      <c r="P3245" s="34"/>
      <c r="Q3245" s="5"/>
    </row>
    <row r="3246" spans="1:21" x14ac:dyDescent="0.35">
      <c r="A3246" s="2">
        <v>42821</v>
      </c>
      <c r="B3246" s="70" t="s">
        <v>29</v>
      </c>
      <c r="C3246" s="10">
        <v>68</v>
      </c>
      <c r="D3246">
        <v>262</v>
      </c>
      <c r="E3246" s="10" t="s">
        <v>33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/>
    </row>
    <row r="3247" spans="1:21" x14ac:dyDescent="0.35">
      <c r="A3247" s="2">
        <v>42821</v>
      </c>
      <c r="B3247" s="70" t="s">
        <v>29</v>
      </c>
      <c r="C3247" s="10">
        <v>74</v>
      </c>
      <c r="D3247">
        <v>323</v>
      </c>
      <c r="E3247" s="10" t="s">
        <v>34</v>
      </c>
      <c r="H3247" s="5"/>
      <c r="I3247" s="5"/>
      <c r="J3247" s="5"/>
      <c r="K3247" s="5"/>
      <c r="L3247" s="5"/>
      <c r="M3247" s="5"/>
      <c r="N3247" s="5"/>
      <c r="O3247" s="5"/>
      <c r="P3247" s="5"/>
      <c r="Q3247" s="5"/>
    </row>
    <row r="3248" spans="1:21" x14ac:dyDescent="0.35">
      <c r="A3248" s="2">
        <v>42821</v>
      </c>
      <c r="B3248" s="70" t="s">
        <v>29</v>
      </c>
      <c r="C3248" s="10">
        <v>72</v>
      </c>
      <c r="D3248">
        <v>283</v>
      </c>
      <c r="E3248" s="10" t="s">
        <v>33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/>
    </row>
    <row r="3249" spans="1:5" x14ac:dyDescent="0.35">
      <c r="A3249" s="2">
        <v>42821</v>
      </c>
      <c r="B3249" s="70" t="s">
        <v>29</v>
      </c>
      <c r="C3249" s="10">
        <v>65</v>
      </c>
      <c r="D3249">
        <v>191</v>
      </c>
      <c r="E3249" s="10" t="s">
        <v>34</v>
      </c>
    </row>
    <row r="3250" spans="1:5" x14ac:dyDescent="0.35">
      <c r="A3250" s="2">
        <v>42821</v>
      </c>
      <c r="B3250" s="70" t="s">
        <v>29</v>
      </c>
      <c r="C3250" s="10">
        <v>71</v>
      </c>
      <c r="D3250">
        <v>296</v>
      </c>
      <c r="E3250" s="10" t="s">
        <v>36</v>
      </c>
    </row>
    <row r="3251" spans="1:5" x14ac:dyDescent="0.35">
      <c r="A3251" s="2">
        <v>42821</v>
      </c>
      <c r="B3251" s="70" t="s">
        <v>29</v>
      </c>
      <c r="C3251" s="10">
        <v>71</v>
      </c>
      <c r="D3251">
        <v>314</v>
      </c>
      <c r="E3251" s="10" t="s">
        <v>33</v>
      </c>
    </row>
    <row r="3252" spans="1:5" x14ac:dyDescent="0.35">
      <c r="A3252" s="2">
        <v>42821</v>
      </c>
      <c r="B3252" s="70" t="s">
        <v>29</v>
      </c>
      <c r="C3252" s="10">
        <v>78</v>
      </c>
      <c r="D3252">
        <v>371</v>
      </c>
      <c r="E3252" s="10" t="s">
        <v>33</v>
      </c>
    </row>
    <row r="3253" spans="1:5" x14ac:dyDescent="0.35">
      <c r="A3253" s="2">
        <v>42821</v>
      </c>
      <c r="B3253" s="70" t="s">
        <v>29</v>
      </c>
      <c r="C3253" s="10">
        <v>73</v>
      </c>
      <c r="D3253">
        <v>306</v>
      </c>
      <c r="E3253" s="10" t="s">
        <v>33</v>
      </c>
    </row>
    <row r="3254" spans="1:5" x14ac:dyDescent="0.35">
      <c r="A3254" s="2">
        <v>42821</v>
      </c>
      <c r="B3254" s="70" t="s">
        <v>29</v>
      </c>
      <c r="C3254" s="10">
        <v>73</v>
      </c>
      <c r="D3254">
        <v>364</v>
      </c>
      <c r="E3254" s="10" t="s">
        <v>33</v>
      </c>
    </row>
    <row r="3255" spans="1:5" x14ac:dyDescent="0.35">
      <c r="A3255" s="2">
        <v>42821</v>
      </c>
      <c r="B3255" s="70" t="s">
        <v>29</v>
      </c>
      <c r="C3255" s="10">
        <v>72</v>
      </c>
      <c r="D3255">
        <v>349</v>
      </c>
      <c r="E3255" s="10" t="s">
        <v>34</v>
      </c>
    </row>
    <row r="3256" spans="1:5" x14ac:dyDescent="0.35">
      <c r="A3256" s="2">
        <v>42821</v>
      </c>
      <c r="B3256" s="70" t="s">
        <v>29</v>
      </c>
      <c r="C3256" s="10">
        <v>64</v>
      </c>
      <c r="D3256">
        <v>208</v>
      </c>
      <c r="E3256" s="10" t="s">
        <v>33</v>
      </c>
    </row>
    <row r="3257" spans="1:5" x14ac:dyDescent="0.35">
      <c r="A3257" s="2">
        <v>42821</v>
      </c>
      <c r="B3257" s="70" t="s">
        <v>29</v>
      </c>
      <c r="C3257" s="10">
        <v>59</v>
      </c>
      <c r="D3257">
        <v>157</v>
      </c>
      <c r="E3257" s="10" t="s">
        <v>34</v>
      </c>
    </row>
    <row r="3258" spans="1:5" x14ac:dyDescent="0.35">
      <c r="A3258" s="2">
        <v>42821</v>
      </c>
      <c r="B3258" s="70" t="s">
        <v>29</v>
      </c>
      <c r="C3258" s="10">
        <v>68</v>
      </c>
      <c r="D3258">
        <v>225</v>
      </c>
      <c r="E3258" s="10" t="s">
        <v>34</v>
      </c>
    </row>
    <row r="3259" spans="1:5" x14ac:dyDescent="0.35">
      <c r="A3259" s="2">
        <v>42821</v>
      </c>
      <c r="B3259" s="70" t="s">
        <v>29</v>
      </c>
      <c r="C3259" s="10">
        <v>68</v>
      </c>
      <c r="D3259">
        <v>267</v>
      </c>
      <c r="E3259" s="10" t="s">
        <v>33</v>
      </c>
    </row>
    <row r="3260" spans="1:5" x14ac:dyDescent="0.35">
      <c r="A3260" s="2">
        <v>42821</v>
      </c>
      <c r="B3260" s="70" t="s">
        <v>29</v>
      </c>
      <c r="C3260" s="10">
        <v>69</v>
      </c>
      <c r="D3260">
        <v>304</v>
      </c>
      <c r="E3260" s="10" t="s">
        <v>33</v>
      </c>
    </row>
    <row r="3261" spans="1:5" x14ac:dyDescent="0.35">
      <c r="A3261" s="2">
        <v>42821</v>
      </c>
      <c r="B3261" s="70" t="s">
        <v>29</v>
      </c>
      <c r="C3261" s="10">
        <v>66</v>
      </c>
      <c r="D3261">
        <v>254</v>
      </c>
      <c r="E3261" s="10" t="s">
        <v>33</v>
      </c>
    </row>
    <row r="3262" spans="1:5" x14ac:dyDescent="0.35">
      <c r="A3262" s="2">
        <v>42821</v>
      </c>
      <c r="B3262" s="70" t="s">
        <v>29</v>
      </c>
      <c r="C3262" s="10">
        <v>65</v>
      </c>
      <c r="D3262">
        <v>226</v>
      </c>
      <c r="E3262" s="10" t="s">
        <v>40</v>
      </c>
    </row>
    <row r="3263" spans="1:5" x14ac:dyDescent="0.35">
      <c r="A3263" s="2">
        <v>42821</v>
      </c>
      <c r="B3263" s="70" t="s">
        <v>29</v>
      </c>
      <c r="C3263" s="10">
        <v>67</v>
      </c>
      <c r="D3263">
        <v>260</v>
      </c>
      <c r="E3263" s="10" t="s">
        <v>33</v>
      </c>
    </row>
    <row r="3264" spans="1:5" x14ac:dyDescent="0.35">
      <c r="A3264" s="2">
        <v>42821</v>
      </c>
      <c r="B3264" s="70" t="s">
        <v>29</v>
      </c>
      <c r="C3264" s="10">
        <v>66</v>
      </c>
      <c r="D3264">
        <v>238</v>
      </c>
      <c r="E3264" s="10" t="s">
        <v>39</v>
      </c>
    </row>
    <row r="3265" spans="1:5" x14ac:dyDescent="0.35">
      <c r="A3265" s="2">
        <v>42821</v>
      </c>
      <c r="B3265" s="70" t="s">
        <v>29</v>
      </c>
      <c r="C3265" s="10">
        <v>66</v>
      </c>
      <c r="D3265">
        <v>222</v>
      </c>
      <c r="E3265" s="10" t="s">
        <v>33</v>
      </c>
    </row>
    <row r="3266" spans="1:5" x14ac:dyDescent="0.35">
      <c r="A3266" s="2">
        <v>42821</v>
      </c>
      <c r="B3266" s="70" t="s">
        <v>29</v>
      </c>
      <c r="C3266" s="10">
        <v>73</v>
      </c>
      <c r="D3266">
        <v>360</v>
      </c>
      <c r="E3266" s="10" t="s">
        <v>34</v>
      </c>
    </row>
    <row r="3267" spans="1:5" x14ac:dyDescent="0.35">
      <c r="A3267" s="2">
        <v>42821</v>
      </c>
      <c r="B3267" s="70" t="s">
        <v>29</v>
      </c>
      <c r="C3267" s="10">
        <v>66</v>
      </c>
      <c r="D3267">
        <v>238</v>
      </c>
      <c r="E3267" s="10" t="s">
        <v>40</v>
      </c>
    </row>
    <row r="3268" spans="1:5" x14ac:dyDescent="0.35">
      <c r="A3268" s="2">
        <v>42821</v>
      </c>
      <c r="B3268" s="70" t="s">
        <v>29</v>
      </c>
      <c r="C3268" s="10">
        <v>67</v>
      </c>
      <c r="D3268">
        <v>246</v>
      </c>
      <c r="E3268" s="10" t="s">
        <v>34</v>
      </c>
    </row>
    <row r="3269" spans="1:5" x14ac:dyDescent="0.35">
      <c r="A3269" s="2">
        <v>42821</v>
      </c>
      <c r="B3269" s="70" t="s">
        <v>29</v>
      </c>
      <c r="C3269" s="10">
        <v>70</v>
      </c>
      <c r="D3269">
        <v>297</v>
      </c>
      <c r="E3269" s="10" t="s">
        <v>34</v>
      </c>
    </row>
    <row r="3270" spans="1:5" x14ac:dyDescent="0.35">
      <c r="A3270" s="2">
        <v>42821</v>
      </c>
      <c r="B3270" s="70" t="s">
        <v>29</v>
      </c>
      <c r="C3270" s="10">
        <v>72</v>
      </c>
      <c r="D3270">
        <v>320</v>
      </c>
      <c r="E3270" s="10" t="s">
        <v>34</v>
      </c>
    </row>
    <row r="3271" spans="1:5" x14ac:dyDescent="0.35">
      <c r="A3271" s="2">
        <v>42821</v>
      </c>
      <c r="B3271" s="70" t="s">
        <v>29</v>
      </c>
      <c r="C3271" s="10">
        <v>73</v>
      </c>
      <c r="D3271">
        <v>323</v>
      </c>
      <c r="E3271" s="10" t="s">
        <v>33</v>
      </c>
    </row>
    <row r="3272" spans="1:5" x14ac:dyDescent="0.35">
      <c r="A3272" s="2">
        <v>42821</v>
      </c>
      <c r="B3272" s="70" t="s">
        <v>29</v>
      </c>
      <c r="C3272" s="10">
        <v>69</v>
      </c>
      <c r="D3272">
        <v>307</v>
      </c>
      <c r="E3272" s="10" t="s">
        <v>34</v>
      </c>
    </row>
    <row r="3273" spans="1:5" x14ac:dyDescent="0.35">
      <c r="A3273" s="2">
        <v>42821</v>
      </c>
      <c r="B3273" s="70" t="s">
        <v>29</v>
      </c>
      <c r="C3273" s="10">
        <v>70</v>
      </c>
      <c r="D3273">
        <v>257</v>
      </c>
      <c r="E3273" s="10" t="s">
        <v>33</v>
      </c>
    </row>
    <row r="3274" spans="1:5" x14ac:dyDescent="0.35">
      <c r="A3274" s="2">
        <v>42821</v>
      </c>
      <c r="B3274" s="70" t="s">
        <v>29</v>
      </c>
      <c r="C3274" s="10">
        <v>68</v>
      </c>
      <c r="D3274">
        <v>265</v>
      </c>
      <c r="E3274" s="10" t="s">
        <v>34</v>
      </c>
    </row>
    <row r="3275" spans="1:5" x14ac:dyDescent="0.35">
      <c r="A3275" s="2">
        <v>42821</v>
      </c>
      <c r="B3275" s="70" t="s">
        <v>29</v>
      </c>
      <c r="C3275" s="10">
        <v>61</v>
      </c>
      <c r="D3275">
        <v>188</v>
      </c>
      <c r="E3275" s="10" t="s">
        <v>33</v>
      </c>
    </row>
    <row r="3276" spans="1:5" x14ac:dyDescent="0.35">
      <c r="A3276" s="2">
        <v>42821</v>
      </c>
      <c r="B3276" s="70" t="s">
        <v>29</v>
      </c>
      <c r="C3276" s="10">
        <v>69</v>
      </c>
      <c r="D3276">
        <v>225</v>
      </c>
      <c r="E3276" s="10" t="s">
        <v>33</v>
      </c>
    </row>
    <row r="3277" spans="1:5" x14ac:dyDescent="0.35">
      <c r="A3277" s="2">
        <v>42821</v>
      </c>
      <c r="B3277" s="70" t="s">
        <v>29</v>
      </c>
      <c r="C3277" s="10">
        <v>71</v>
      </c>
      <c r="D3277">
        <v>254</v>
      </c>
      <c r="E3277" s="10" t="s">
        <v>33</v>
      </c>
    </row>
    <row r="3278" spans="1:5" x14ac:dyDescent="0.35">
      <c r="A3278" s="2">
        <v>42821</v>
      </c>
      <c r="B3278" s="70" t="s">
        <v>29</v>
      </c>
      <c r="C3278" s="10">
        <v>71</v>
      </c>
      <c r="D3278">
        <v>316</v>
      </c>
      <c r="E3278" s="10" t="s">
        <v>33</v>
      </c>
    </row>
    <row r="3279" spans="1:5" x14ac:dyDescent="0.35">
      <c r="A3279" s="2">
        <v>42821</v>
      </c>
      <c r="B3279" s="70" t="s">
        <v>29</v>
      </c>
      <c r="C3279" s="10">
        <v>63</v>
      </c>
      <c r="D3279">
        <v>189</v>
      </c>
      <c r="E3279" s="10" t="s">
        <v>34</v>
      </c>
    </row>
    <row r="3280" spans="1:5" x14ac:dyDescent="0.35">
      <c r="A3280" s="2">
        <v>42821</v>
      </c>
      <c r="B3280" s="70" t="s">
        <v>29</v>
      </c>
      <c r="C3280" s="10">
        <v>72</v>
      </c>
      <c r="D3280">
        <v>305</v>
      </c>
      <c r="E3280" s="10" t="s">
        <v>33</v>
      </c>
    </row>
    <row r="3281" spans="1:21" x14ac:dyDescent="0.35">
      <c r="A3281" s="2">
        <v>42821</v>
      </c>
      <c r="B3281" s="70" t="s">
        <v>29</v>
      </c>
      <c r="C3281" s="10">
        <v>72</v>
      </c>
      <c r="D3281">
        <v>243</v>
      </c>
      <c r="E3281" s="10" t="s">
        <v>34</v>
      </c>
    </row>
    <row r="3282" spans="1:21" x14ac:dyDescent="0.35">
      <c r="A3282" s="2">
        <v>42821</v>
      </c>
      <c r="B3282" s="70" t="s">
        <v>29</v>
      </c>
      <c r="C3282" s="10">
        <v>63</v>
      </c>
      <c r="D3282">
        <v>215</v>
      </c>
      <c r="E3282" s="10" t="s">
        <v>33</v>
      </c>
    </row>
    <row r="3283" spans="1:21" x14ac:dyDescent="0.35">
      <c r="A3283" s="2">
        <v>42821</v>
      </c>
      <c r="B3283" s="70" t="s">
        <v>29</v>
      </c>
      <c r="C3283" s="10">
        <v>63</v>
      </c>
      <c r="D3283">
        <v>222</v>
      </c>
      <c r="E3283" s="10" t="s">
        <v>33</v>
      </c>
    </row>
    <row r="3284" spans="1:21" x14ac:dyDescent="0.35">
      <c r="A3284" s="2">
        <v>42821</v>
      </c>
      <c r="B3284" s="70" t="s">
        <v>29</v>
      </c>
      <c r="C3284" s="10">
        <v>71</v>
      </c>
      <c r="D3284">
        <v>327</v>
      </c>
      <c r="E3284" s="10" t="s">
        <v>33</v>
      </c>
    </row>
    <row r="3285" spans="1:21" x14ac:dyDescent="0.35">
      <c r="A3285" s="2">
        <v>42821</v>
      </c>
      <c r="B3285" s="70" t="s">
        <v>29</v>
      </c>
      <c r="C3285" s="10">
        <v>66</v>
      </c>
      <c r="D3285">
        <v>275</v>
      </c>
      <c r="E3285" s="10" t="s">
        <v>34</v>
      </c>
      <c r="I3285" t="s">
        <v>42</v>
      </c>
      <c r="J3285" t="s">
        <v>39</v>
      </c>
      <c r="K3285" t="s">
        <v>40</v>
      </c>
      <c r="L3285" t="s">
        <v>36</v>
      </c>
      <c r="M3285" t="s">
        <v>33</v>
      </c>
      <c r="N3285" t="s">
        <v>34</v>
      </c>
      <c r="O3285" t="s">
        <v>32</v>
      </c>
      <c r="P3285" t="s">
        <v>37</v>
      </c>
      <c r="R3285" t="s">
        <v>43</v>
      </c>
      <c r="S3285" t="s">
        <v>44</v>
      </c>
    </row>
    <row r="3286" spans="1:21" x14ac:dyDescent="0.35">
      <c r="A3286" s="2">
        <v>42821</v>
      </c>
      <c r="B3286" s="70" t="s">
        <v>29</v>
      </c>
      <c r="C3286" s="10">
        <v>73</v>
      </c>
      <c r="D3286">
        <v>308</v>
      </c>
      <c r="E3286" s="10" t="s">
        <v>33</v>
      </c>
      <c r="I3286" s="5">
        <f>COUNTIF(E3191:E3291,"VA")</f>
        <v>0</v>
      </c>
      <c r="J3286" s="5">
        <f>COUNTIF(E3187:E3291,"VB")</f>
        <v>3</v>
      </c>
      <c r="K3286" s="5">
        <f>COUNTIF(E3188:E3291,"VIA0")</f>
        <v>6</v>
      </c>
      <c r="L3286" s="5">
        <f>COUNTIF(E3187:E3291,"VIA1")</f>
        <v>7</v>
      </c>
      <c r="M3286" s="5">
        <f>COUNTIF(E3187:E3291,"VIA2")</f>
        <v>53</v>
      </c>
      <c r="N3286" s="5">
        <f>COUNTIF(E3187:E3291,"VIA3")</f>
        <v>31</v>
      </c>
      <c r="O3286" s="5">
        <f>COUNTIF(E3187:E3291,"VIA4")</f>
        <v>0</v>
      </c>
      <c r="P3286" s="5">
        <f>COUNTIF(E3182:E3287,"VIB")</f>
        <v>0</v>
      </c>
      <c r="R3286" s="7">
        <f>AVERAGE(C3242:C3291,C3191:C3240)</f>
        <v>69.22</v>
      </c>
      <c r="S3286" s="7">
        <f>AVERAGE(D3242:D3291,D3191:D3240)</f>
        <v>279.58999999999997</v>
      </c>
    </row>
    <row r="3287" spans="1:21" x14ac:dyDescent="0.35">
      <c r="A3287" s="2">
        <v>42821</v>
      </c>
      <c r="B3287" s="70" t="s">
        <v>29</v>
      </c>
      <c r="C3287" s="10">
        <v>73</v>
      </c>
      <c r="D3287">
        <v>354</v>
      </c>
      <c r="E3287" s="10" t="s">
        <v>36</v>
      </c>
      <c r="I3287" s="6">
        <f>I3286/100*100</f>
        <v>0</v>
      </c>
      <c r="J3287" s="6">
        <f t="shared" ref="J3287:P3287" si="99">J3286/100*100</f>
        <v>3</v>
      </c>
      <c r="K3287" s="6">
        <f t="shared" si="99"/>
        <v>6</v>
      </c>
      <c r="L3287" s="6">
        <f t="shared" si="99"/>
        <v>7.0000000000000009</v>
      </c>
      <c r="M3287" s="6">
        <f t="shared" si="99"/>
        <v>53</v>
      </c>
      <c r="N3287" s="6">
        <f t="shared" si="99"/>
        <v>31</v>
      </c>
      <c r="O3287" s="6">
        <f t="shared" si="99"/>
        <v>0</v>
      </c>
      <c r="P3287" s="6">
        <f t="shared" si="99"/>
        <v>0</v>
      </c>
      <c r="Q3287" s="4"/>
      <c r="R3287" s="4"/>
      <c r="S3287" s="4"/>
    </row>
    <row r="3288" spans="1:21" x14ac:dyDescent="0.35">
      <c r="A3288" s="2">
        <v>42821</v>
      </c>
      <c r="B3288" s="70" t="s">
        <v>29</v>
      </c>
      <c r="C3288" s="10">
        <v>73</v>
      </c>
      <c r="D3288">
        <v>320</v>
      </c>
      <c r="E3288" s="10" t="s">
        <v>34</v>
      </c>
    </row>
    <row r="3289" spans="1:21" x14ac:dyDescent="0.35">
      <c r="A3289" s="2">
        <v>42821</v>
      </c>
      <c r="B3289" s="70" t="s">
        <v>29</v>
      </c>
      <c r="C3289" s="10">
        <v>68</v>
      </c>
      <c r="D3289">
        <v>253</v>
      </c>
      <c r="E3289" s="10" t="s">
        <v>40</v>
      </c>
      <c r="I3289" t="s">
        <v>42</v>
      </c>
      <c r="J3289" t="s">
        <v>39</v>
      </c>
      <c r="K3289" t="s">
        <v>40</v>
      </c>
      <c r="L3289" t="s">
        <v>36</v>
      </c>
      <c r="M3289" t="s">
        <v>33</v>
      </c>
      <c r="N3289" t="s">
        <v>34</v>
      </c>
      <c r="O3289" t="s">
        <v>32</v>
      </c>
      <c r="P3289" t="s">
        <v>37</v>
      </c>
      <c r="R3289" t="s">
        <v>43</v>
      </c>
      <c r="S3289" t="s">
        <v>44</v>
      </c>
    </row>
    <row r="3290" spans="1:21" x14ac:dyDescent="0.35">
      <c r="A3290" s="2">
        <v>42821</v>
      </c>
      <c r="B3290" s="70" t="s">
        <v>29</v>
      </c>
      <c r="C3290" s="10">
        <v>70</v>
      </c>
      <c r="D3290">
        <v>266</v>
      </c>
      <c r="E3290" s="10" t="s">
        <v>33</v>
      </c>
      <c r="I3290" s="5">
        <f>COUNTIF(E3241:E3291,"VA")</f>
        <v>0</v>
      </c>
      <c r="J3290" s="5">
        <f>COUNTIF(E3241:E3291,"VB")</f>
        <v>1</v>
      </c>
      <c r="K3290" s="5">
        <f>COUNTIF(E3241:E3291,"VIA0")</f>
        <v>3</v>
      </c>
      <c r="L3290" s="5">
        <f>COUNTIF(E3241:E3291,"VIA1")</f>
        <v>2</v>
      </c>
      <c r="M3290" s="5">
        <f>COUNTIF(E3241:E3291,"VIA2")</f>
        <v>28</v>
      </c>
      <c r="N3290" s="5">
        <f>COUNTIF(E3241:E3291,"VIA3")</f>
        <v>16</v>
      </c>
      <c r="O3290" s="5">
        <f>COUNTIF(E3241:E3291,"VIA4")</f>
        <v>0</v>
      </c>
      <c r="P3290" s="5">
        <f>COUNTIF(E3186:E3291,"VIB")</f>
        <v>0</v>
      </c>
      <c r="R3290" s="7">
        <f>AVERAGE(C3242:C3291)</f>
        <v>68.72</v>
      </c>
      <c r="S3290" s="7">
        <f>AVERAGE(D3242:D3291)</f>
        <v>272.58</v>
      </c>
      <c r="T3290" s="7" t="e">
        <f>AVERAGE(E3242:E3291)</f>
        <v>#DIV/0!</v>
      </c>
      <c r="U3290" s="7" t="e">
        <f>AVERAGE(#REF!)</f>
        <v>#REF!</v>
      </c>
    </row>
    <row r="3291" spans="1:21" s="4" customFormat="1" x14ac:dyDescent="0.35">
      <c r="A3291" s="3">
        <v>42821</v>
      </c>
      <c r="B3291" s="44" t="s">
        <v>29</v>
      </c>
      <c r="C3291" s="11">
        <v>68</v>
      </c>
      <c r="D3291" s="4">
        <v>315</v>
      </c>
      <c r="E3291" s="11" t="s">
        <v>34</v>
      </c>
      <c r="I3291" s="6">
        <f t="shared" ref="I3291:O3291" si="100">I3290/50*100</f>
        <v>0</v>
      </c>
      <c r="J3291" s="6">
        <f t="shared" si="100"/>
        <v>2</v>
      </c>
      <c r="K3291" s="6">
        <f t="shared" si="100"/>
        <v>6</v>
      </c>
      <c r="L3291" s="6">
        <f t="shared" si="100"/>
        <v>4</v>
      </c>
      <c r="M3291" s="6">
        <f t="shared" si="100"/>
        <v>56.000000000000007</v>
      </c>
      <c r="N3291" s="6">
        <f t="shared" si="100"/>
        <v>32</v>
      </c>
      <c r="O3291" s="6">
        <f t="shared" si="100"/>
        <v>0</v>
      </c>
      <c r="P3291" s="6">
        <f t="shared" ref="P3291" si="101">P3290/99*100</f>
        <v>0</v>
      </c>
    </row>
    <row r="3292" spans="1:21" x14ac:dyDescent="0.35">
      <c r="A3292" s="2">
        <v>42825</v>
      </c>
      <c r="B3292" s="70" t="s">
        <v>38</v>
      </c>
      <c r="C3292" s="10">
        <v>124</v>
      </c>
      <c r="D3292" s="10">
        <v>1827</v>
      </c>
      <c r="E3292" s="10" t="s">
        <v>98</v>
      </c>
    </row>
    <row r="3293" spans="1:21" x14ac:dyDescent="0.35">
      <c r="A3293" s="2">
        <v>42825</v>
      </c>
      <c r="B3293" s="70" t="s">
        <v>38</v>
      </c>
      <c r="C3293" s="10">
        <v>103</v>
      </c>
      <c r="D3293" s="10">
        <v>1282</v>
      </c>
      <c r="E3293" s="10" t="s">
        <v>98</v>
      </c>
    </row>
    <row r="3294" spans="1:21" x14ac:dyDescent="0.35">
      <c r="A3294" s="2">
        <v>42825</v>
      </c>
      <c r="B3294" s="70" t="s">
        <v>38</v>
      </c>
      <c r="C3294" s="10">
        <v>117</v>
      </c>
      <c r="D3294" s="10">
        <v>1972</v>
      </c>
      <c r="E3294" s="10" t="s">
        <v>98</v>
      </c>
    </row>
    <row r="3295" spans="1:21" x14ac:dyDescent="0.35">
      <c r="A3295" s="2">
        <v>42825</v>
      </c>
      <c r="B3295" s="70" t="s">
        <v>38</v>
      </c>
      <c r="C3295" s="10">
        <v>138</v>
      </c>
      <c r="D3295" s="10">
        <v>3613</v>
      </c>
      <c r="E3295" s="10" t="s">
        <v>98</v>
      </c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</row>
    <row r="3296" spans="1:21" x14ac:dyDescent="0.35">
      <c r="A3296" s="2">
        <v>42825</v>
      </c>
      <c r="B3296" s="70" t="s">
        <v>38</v>
      </c>
      <c r="C3296" s="10">
        <v>125</v>
      </c>
      <c r="D3296" s="10">
        <v>2489</v>
      </c>
      <c r="E3296" s="10" t="s">
        <v>98</v>
      </c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</row>
    <row r="3297" spans="1:18" x14ac:dyDescent="0.35">
      <c r="A3297" s="2">
        <v>42825</v>
      </c>
      <c r="B3297" s="70" t="s">
        <v>38</v>
      </c>
      <c r="C3297" s="10">
        <v>127</v>
      </c>
      <c r="D3297" s="10">
        <v>2029</v>
      </c>
      <c r="E3297" s="10" t="s">
        <v>98</v>
      </c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</row>
    <row r="3298" spans="1:18" x14ac:dyDescent="0.35">
      <c r="A3298" s="2">
        <v>42825</v>
      </c>
      <c r="B3298" s="70" t="s">
        <v>38</v>
      </c>
      <c r="C3298" s="10">
        <v>92</v>
      </c>
      <c r="D3298" s="10">
        <v>959</v>
      </c>
      <c r="E3298" s="10" t="s">
        <v>98</v>
      </c>
      <c r="H3298" s="5"/>
      <c r="I3298" s="34" t="e">
        <f>AVERAGE(#REF!)</f>
        <v>#REF!</v>
      </c>
      <c r="J3298" s="34"/>
      <c r="K3298" s="34"/>
      <c r="L3298" s="34"/>
      <c r="M3298" s="34"/>
      <c r="N3298" s="34"/>
      <c r="O3298" s="34"/>
      <c r="P3298" s="34"/>
      <c r="Q3298" s="5"/>
      <c r="R3298" s="5"/>
    </row>
    <row r="3299" spans="1:18" x14ac:dyDescent="0.35">
      <c r="A3299" s="2">
        <v>42825</v>
      </c>
      <c r="B3299" s="70" t="s">
        <v>38</v>
      </c>
      <c r="C3299" s="10">
        <v>72</v>
      </c>
      <c r="D3299" s="10">
        <v>268</v>
      </c>
      <c r="E3299" t="s">
        <v>32</v>
      </c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</row>
    <row r="3300" spans="1:18" x14ac:dyDescent="0.35">
      <c r="A3300" s="2">
        <v>42825</v>
      </c>
      <c r="B3300" s="70" t="s">
        <v>38</v>
      </c>
      <c r="C3300" s="10">
        <v>68</v>
      </c>
      <c r="D3300" s="10">
        <v>213</v>
      </c>
      <c r="E3300" t="s">
        <v>32</v>
      </c>
      <c r="F3300" t="s">
        <v>288</v>
      </c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</row>
    <row r="3301" spans="1:18" x14ac:dyDescent="0.35">
      <c r="A3301" s="2">
        <v>42825</v>
      </c>
      <c r="B3301" s="70" t="s">
        <v>38</v>
      </c>
      <c r="C3301" s="10">
        <v>66</v>
      </c>
      <c r="D3301" s="10">
        <v>241</v>
      </c>
      <c r="E3301" t="s">
        <v>34</v>
      </c>
      <c r="F3301" t="s">
        <v>289</v>
      </c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</row>
    <row r="3302" spans="1:18" x14ac:dyDescent="0.35">
      <c r="A3302" s="2">
        <v>42825</v>
      </c>
      <c r="B3302" s="70" t="s">
        <v>38</v>
      </c>
      <c r="C3302" s="10">
        <v>67</v>
      </c>
      <c r="D3302" s="10">
        <v>230</v>
      </c>
      <c r="E3302" t="s">
        <v>40</v>
      </c>
      <c r="F3302" t="s">
        <v>290</v>
      </c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</row>
    <row r="3303" spans="1:18" x14ac:dyDescent="0.35">
      <c r="A3303" s="2">
        <v>42825</v>
      </c>
      <c r="B3303" s="70" t="s">
        <v>38</v>
      </c>
      <c r="C3303" s="10">
        <v>64</v>
      </c>
      <c r="D3303" s="10">
        <v>190</v>
      </c>
      <c r="E3303" t="s">
        <v>33</v>
      </c>
      <c r="F3303" t="s">
        <v>291</v>
      </c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</row>
    <row r="3304" spans="1:18" x14ac:dyDescent="0.35">
      <c r="A3304" s="2">
        <v>42825</v>
      </c>
      <c r="B3304" s="70" t="s">
        <v>38</v>
      </c>
      <c r="C3304" s="10">
        <v>68</v>
      </c>
      <c r="D3304" s="10">
        <v>264</v>
      </c>
      <c r="E3304" t="s">
        <v>32</v>
      </c>
      <c r="F3304" t="s">
        <v>292</v>
      </c>
    </row>
    <row r="3305" spans="1:18" x14ac:dyDescent="0.35">
      <c r="A3305" s="2">
        <v>42825</v>
      </c>
      <c r="B3305" s="70" t="s">
        <v>38</v>
      </c>
      <c r="C3305" s="10">
        <v>63</v>
      </c>
      <c r="D3305" s="10">
        <v>202</v>
      </c>
      <c r="E3305" t="s">
        <v>33</v>
      </c>
    </row>
    <row r="3306" spans="1:18" x14ac:dyDescent="0.35">
      <c r="A3306" s="2">
        <v>42825</v>
      </c>
      <c r="B3306" s="70" t="s">
        <v>38</v>
      </c>
      <c r="C3306" s="10">
        <v>69</v>
      </c>
      <c r="D3306" s="10">
        <v>265</v>
      </c>
      <c r="E3306" t="s">
        <v>34</v>
      </c>
    </row>
    <row r="3307" spans="1:18" x14ac:dyDescent="0.35">
      <c r="A3307" s="2">
        <v>42825</v>
      </c>
      <c r="B3307" s="70" t="s">
        <v>38</v>
      </c>
      <c r="C3307" s="10">
        <v>74</v>
      </c>
      <c r="D3307" s="10">
        <v>388</v>
      </c>
      <c r="E3307" t="s">
        <v>33</v>
      </c>
    </row>
    <row r="3308" spans="1:18" x14ac:dyDescent="0.35">
      <c r="A3308" s="2">
        <v>42825</v>
      </c>
      <c r="B3308" s="70" t="s">
        <v>38</v>
      </c>
      <c r="C3308" s="10">
        <v>68</v>
      </c>
      <c r="D3308" s="10">
        <v>308</v>
      </c>
      <c r="E3308" t="s">
        <v>33</v>
      </c>
    </row>
    <row r="3309" spans="1:18" x14ac:dyDescent="0.35">
      <c r="A3309" s="2">
        <v>42825</v>
      </c>
      <c r="B3309" s="70" t="s">
        <v>38</v>
      </c>
      <c r="C3309" s="10">
        <v>66</v>
      </c>
      <c r="D3309" s="10">
        <v>248</v>
      </c>
      <c r="E3309" t="s">
        <v>32</v>
      </c>
      <c r="F3309" t="s">
        <v>198</v>
      </c>
    </row>
    <row r="3310" spans="1:18" x14ac:dyDescent="0.35">
      <c r="A3310" s="2">
        <v>42825</v>
      </c>
      <c r="B3310" s="70" t="s">
        <v>38</v>
      </c>
      <c r="C3310" s="10">
        <v>74</v>
      </c>
      <c r="D3310" s="10">
        <v>385</v>
      </c>
      <c r="E3310" t="s">
        <v>34</v>
      </c>
    </row>
    <row r="3311" spans="1:18" x14ac:dyDescent="0.35">
      <c r="A3311" s="2">
        <v>42825</v>
      </c>
      <c r="B3311" s="70" t="s">
        <v>38</v>
      </c>
      <c r="C3311" s="10">
        <v>68</v>
      </c>
      <c r="D3311" s="10">
        <v>300</v>
      </c>
      <c r="E3311" t="s">
        <v>33</v>
      </c>
    </row>
    <row r="3312" spans="1:18" x14ac:dyDescent="0.35">
      <c r="A3312" s="2">
        <v>42825</v>
      </c>
      <c r="B3312" s="70" t="s">
        <v>38</v>
      </c>
      <c r="C3312" s="10">
        <v>73</v>
      </c>
      <c r="D3312" s="10">
        <v>394</v>
      </c>
      <c r="E3312" t="s">
        <v>39</v>
      </c>
    </row>
    <row r="3313" spans="1:6" x14ac:dyDescent="0.35">
      <c r="A3313" s="2">
        <v>42825</v>
      </c>
      <c r="B3313" s="70" t="s">
        <v>38</v>
      </c>
      <c r="C3313" s="10">
        <v>68</v>
      </c>
      <c r="D3313" s="10">
        <v>279</v>
      </c>
      <c r="E3313" t="s">
        <v>32</v>
      </c>
    </row>
    <row r="3314" spans="1:6" x14ac:dyDescent="0.35">
      <c r="A3314" s="2">
        <v>42825</v>
      </c>
      <c r="B3314" s="70" t="s">
        <v>38</v>
      </c>
      <c r="C3314" s="10">
        <v>62</v>
      </c>
      <c r="D3314" s="10">
        <v>202</v>
      </c>
      <c r="E3314" t="s">
        <v>34</v>
      </c>
    </row>
    <row r="3315" spans="1:6" x14ac:dyDescent="0.35">
      <c r="A3315" s="2">
        <v>42825</v>
      </c>
      <c r="B3315" s="70" t="s">
        <v>38</v>
      </c>
      <c r="C3315" s="10">
        <v>69</v>
      </c>
      <c r="D3315" s="10">
        <v>305</v>
      </c>
      <c r="E3315" t="s">
        <v>33</v>
      </c>
    </row>
    <row r="3316" spans="1:6" x14ac:dyDescent="0.35">
      <c r="A3316" s="2">
        <v>42825</v>
      </c>
      <c r="B3316" s="70" t="s">
        <v>38</v>
      </c>
      <c r="C3316" s="10">
        <v>66</v>
      </c>
      <c r="D3316" s="10">
        <v>255</v>
      </c>
      <c r="E3316" t="s">
        <v>34</v>
      </c>
    </row>
    <row r="3317" spans="1:6" x14ac:dyDescent="0.35">
      <c r="A3317" s="2">
        <v>42825</v>
      </c>
      <c r="B3317" s="70" t="s">
        <v>38</v>
      </c>
      <c r="C3317" s="10">
        <v>69</v>
      </c>
      <c r="D3317" s="10">
        <v>230</v>
      </c>
      <c r="E3317" t="s">
        <v>34</v>
      </c>
    </row>
    <row r="3318" spans="1:6" x14ac:dyDescent="0.35">
      <c r="A3318" s="2">
        <v>42825</v>
      </c>
      <c r="B3318" s="70" t="s">
        <v>38</v>
      </c>
      <c r="C3318" s="10">
        <v>66</v>
      </c>
      <c r="D3318" s="10">
        <v>286</v>
      </c>
      <c r="E3318" t="s">
        <v>34</v>
      </c>
    </row>
    <row r="3319" spans="1:6" x14ac:dyDescent="0.35">
      <c r="A3319" s="2">
        <v>42825</v>
      </c>
      <c r="B3319" s="70" t="s">
        <v>38</v>
      </c>
      <c r="C3319" s="10">
        <v>69</v>
      </c>
      <c r="D3319" s="10">
        <v>278</v>
      </c>
      <c r="E3319" t="s">
        <v>34</v>
      </c>
    </row>
    <row r="3320" spans="1:6" x14ac:dyDescent="0.35">
      <c r="A3320" s="2">
        <v>42825</v>
      </c>
      <c r="B3320" s="70" t="s">
        <v>38</v>
      </c>
      <c r="C3320" s="10">
        <v>66</v>
      </c>
      <c r="D3320" s="10">
        <v>168</v>
      </c>
      <c r="E3320" t="s">
        <v>34</v>
      </c>
      <c r="F3320" t="s">
        <v>287</v>
      </c>
    </row>
    <row r="3321" spans="1:6" x14ac:dyDescent="0.35">
      <c r="A3321" s="2">
        <v>42825</v>
      </c>
      <c r="B3321" s="70" t="s">
        <v>38</v>
      </c>
      <c r="C3321" s="10">
        <v>77</v>
      </c>
      <c r="D3321" s="10">
        <v>262</v>
      </c>
      <c r="E3321" t="s">
        <v>34</v>
      </c>
    </row>
    <row r="3322" spans="1:6" x14ac:dyDescent="0.35">
      <c r="A3322" s="2">
        <v>42825</v>
      </c>
      <c r="B3322" s="70" t="s">
        <v>38</v>
      </c>
      <c r="C3322" s="10">
        <v>64</v>
      </c>
      <c r="D3322" s="10">
        <v>228</v>
      </c>
      <c r="E3322" t="s">
        <v>33</v>
      </c>
    </row>
    <row r="3323" spans="1:6" x14ac:dyDescent="0.35">
      <c r="A3323" s="2">
        <v>42825</v>
      </c>
      <c r="B3323" s="70" t="s">
        <v>38</v>
      </c>
      <c r="C3323" s="10">
        <v>68</v>
      </c>
      <c r="D3323" s="10">
        <v>276</v>
      </c>
      <c r="E3323" t="s">
        <v>33</v>
      </c>
    </row>
    <row r="3324" spans="1:6" x14ac:dyDescent="0.35">
      <c r="A3324" s="2">
        <v>42825</v>
      </c>
      <c r="B3324" s="70" t="s">
        <v>38</v>
      </c>
      <c r="C3324" s="10">
        <v>75</v>
      </c>
      <c r="D3324" s="10">
        <v>375</v>
      </c>
      <c r="E3324" t="s">
        <v>34</v>
      </c>
    </row>
    <row r="3325" spans="1:6" x14ac:dyDescent="0.35">
      <c r="A3325" s="2">
        <v>42825</v>
      </c>
      <c r="B3325" s="70" t="s">
        <v>38</v>
      </c>
      <c r="C3325" s="10">
        <v>68</v>
      </c>
      <c r="D3325" s="10">
        <v>295</v>
      </c>
      <c r="E3325" t="s">
        <v>34</v>
      </c>
    </row>
    <row r="3326" spans="1:6" x14ac:dyDescent="0.35">
      <c r="A3326" s="2">
        <v>42825</v>
      </c>
      <c r="B3326" s="70" t="s">
        <v>38</v>
      </c>
      <c r="C3326" s="10">
        <v>67</v>
      </c>
      <c r="D3326" s="10">
        <v>256</v>
      </c>
      <c r="E3326" t="s">
        <v>39</v>
      </c>
    </row>
    <row r="3327" spans="1:6" x14ac:dyDescent="0.35">
      <c r="A3327" s="2">
        <v>42825</v>
      </c>
      <c r="B3327" s="70" t="s">
        <v>38</v>
      </c>
      <c r="C3327" s="10">
        <v>73</v>
      </c>
      <c r="D3327" s="10">
        <v>364</v>
      </c>
      <c r="E3327" t="s">
        <v>34</v>
      </c>
    </row>
    <row r="3328" spans="1:6" x14ac:dyDescent="0.35">
      <c r="A3328" s="2">
        <v>42825</v>
      </c>
      <c r="B3328" s="70" t="s">
        <v>38</v>
      </c>
      <c r="C3328" s="10">
        <v>68</v>
      </c>
      <c r="D3328" s="10">
        <v>264</v>
      </c>
      <c r="E3328" t="s">
        <v>33</v>
      </c>
    </row>
    <row r="3329" spans="1:6" x14ac:dyDescent="0.35">
      <c r="A3329" s="2">
        <v>42825</v>
      </c>
      <c r="B3329" s="70" t="s">
        <v>38</v>
      </c>
      <c r="C3329" s="10">
        <v>69</v>
      </c>
      <c r="D3329" s="10">
        <v>254</v>
      </c>
      <c r="E3329" t="s">
        <v>34</v>
      </c>
    </row>
    <row r="3330" spans="1:6" x14ac:dyDescent="0.35">
      <c r="A3330" s="2">
        <v>42825</v>
      </c>
      <c r="B3330" s="70" t="s">
        <v>38</v>
      </c>
      <c r="C3330" s="10">
        <v>74</v>
      </c>
      <c r="D3330" s="10">
        <v>375</v>
      </c>
      <c r="E3330" t="s">
        <v>33</v>
      </c>
    </row>
    <row r="3331" spans="1:6" x14ac:dyDescent="0.35">
      <c r="A3331" s="2">
        <v>42825</v>
      </c>
      <c r="B3331" s="70" t="s">
        <v>38</v>
      </c>
      <c r="C3331" s="10">
        <v>64</v>
      </c>
      <c r="D3331" s="10">
        <v>277</v>
      </c>
      <c r="E3331" t="s">
        <v>34</v>
      </c>
    </row>
    <row r="3332" spans="1:6" x14ac:dyDescent="0.35">
      <c r="A3332" s="2">
        <v>42825</v>
      </c>
      <c r="B3332" s="70" t="s">
        <v>38</v>
      </c>
      <c r="C3332" s="10">
        <v>66</v>
      </c>
      <c r="D3332" s="10">
        <v>210</v>
      </c>
      <c r="E3332" t="s">
        <v>32</v>
      </c>
    </row>
    <row r="3333" spans="1:6" x14ac:dyDescent="0.35">
      <c r="A3333" s="2">
        <v>42825</v>
      </c>
      <c r="B3333" s="70" t="s">
        <v>38</v>
      </c>
      <c r="C3333" s="10">
        <v>72</v>
      </c>
      <c r="D3333" s="10">
        <v>295</v>
      </c>
      <c r="E3333" t="s">
        <v>34</v>
      </c>
    </row>
    <row r="3334" spans="1:6" x14ac:dyDescent="0.35">
      <c r="A3334" s="2">
        <v>42825</v>
      </c>
      <c r="B3334" s="70" t="s">
        <v>38</v>
      </c>
      <c r="C3334" s="10">
        <v>71</v>
      </c>
      <c r="D3334" s="10">
        <v>317</v>
      </c>
      <c r="E3334" t="s">
        <v>34</v>
      </c>
    </row>
    <row r="3335" spans="1:6" x14ac:dyDescent="0.35">
      <c r="A3335" s="2">
        <v>42825</v>
      </c>
      <c r="B3335" s="70" t="s">
        <v>38</v>
      </c>
      <c r="C3335" s="10">
        <v>68</v>
      </c>
      <c r="D3335" s="10">
        <v>311</v>
      </c>
      <c r="E3335" t="s">
        <v>34</v>
      </c>
    </row>
    <row r="3336" spans="1:6" x14ac:dyDescent="0.35">
      <c r="A3336" s="2">
        <v>42825</v>
      </c>
      <c r="B3336" s="70" t="s">
        <v>38</v>
      </c>
      <c r="C3336" s="10">
        <v>70</v>
      </c>
      <c r="D3336" s="10">
        <v>302</v>
      </c>
      <c r="E3336" t="s">
        <v>34</v>
      </c>
    </row>
    <row r="3337" spans="1:6" x14ac:dyDescent="0.35">
      <c r="A3337" s="2">
        <v>42825</v>
      </c>
      <c r="B3337" s="70" t="s">
        <v>38</v>
      </c>
      <c r="C3337" s="10">
        <v>64</v>
      </c>
      <c r="D3337" s="10">
        <v>240</v>
      </c>
      <c r="E3337" t="s">
        <v>34</v>
      </c>
    </row>
    <row r="3338" spans="1:6" x14ac:dyDescent="0.35">
      <c r="A3338" s="2">
        <v>42825</v>
      </c>
      <c r="B3338" s="70" t="s">
        <v>38</v>
      </c>
      <c r="C3338" s="10">
        <v>72</v>
      </c>
      <c r="D3338" s="10">
        <v>338</v>
      </c>
      <c r="E3338" t="s">
        <v>33</v>
      </c>
    </row>
    <row r="3339" spans="1:6" x14ac:dyDescent="0.35">
      <c r="A3339" s="2">
        <v>42825</v>
      </c>
      <c r="B3339" s="70" t="s">
        <v>38</v>
      </c>
      <c r="C3339" s="10">
        <v>71</v>
      </c>
      <c r="D3339" s="10">
        <v>316</v>
      </c>
      <c r="E3339" t="s">
        <v>34</v>
      </c>
    </row>
    <row r="3340" spans="1:6" x14ac:dyDescent="0.35">
      <c r="A3340" s="2">
        <v>42825</v>
      </c>
      <c r="B3340" s="70" t="s">
        <v>38</v>
      </c>
      <c r="C3340" s="10">
        <v>64</v>
      </c>
      <c r="D3340" s="10">
        <v>181</v>
      </c>
      <c r="E3340" t="s">
        <v>34</v>
      </c>
    </row>
    <row r="3341" spans="1:6" x14ac:dyDescent="0.35">
      <c r="A3341" s="2">
        <v>42825</v>
      </c>
      <c r="B3341" s="70" t="s">
        <v>38</v>
      </c>
      <c r="C3341" s="10">
        <v>70</v>
      </c>
      <c r="D3341" s="10">
        <v>327</v>
      </c>
      <c r="E3341" t="s">
        <v>32</v>
      </c>
      <c r="F3341" t="s">
        <v>198</v>
      </c>
    </row>
    <row r="3342" spans="1:6" x14ac:dyDescent="0.35">
      <c r="A3342" s="2">
        <v>42825</v>
      </c>
      <c r="B3342" s="70" t="s">
        <v>38</v>
      </c>
      <c r="C3342" s="10">
        <v>70</v>
      </c>
      <c r="D3342" s="10">
        <v>296</v>
      </c>
      <c r="E3342" t="s">
        <v>34</v>
      </c>
    </row>
    <row r="3343" spans="1:6" x14ac:dyDescent="0.35">
      <c r="A3343" s="2">
        <v>42825</v>
      </c>
      <c r="B3343" s="70" t="s">
        <v>38</v>
      </c>
      <c r="C3343" s="10">
        <v>65</v>
      </c>
      <c r="D3343" s="10">
        <v>243</v>
      </c>
      <c r="E3343" t="s">
        <v>32</v>
      </c>
      <c r="F3343" t="s">
        <v>293</v>
      </c>
    </row>
    <row r="3344" spans="1:6" x14ac:dyDescent="0.35">
      <c r="A3344" s="2">
        <v>42825</v>
      </c>
      <c r="B3344" s="70" t="s">
        <v>38</v>
      </c>
      <c r="C3344" s="10">
        <v>70</v>
      </c>
      <c r="D3344" s="10">
        <v>337</v>
      </c>
      <c r="E3344" t="s">
        <v>34</v>
      </c>
    </row>
    <row r="3345" spans="1:21" x14ac:dyDescent="0.35">
      <c r="A3345" s="2">
        <v>42825</v>
      </c>
      <c r="B3345" s="70" t="s">
        <v>38</v>
      </c>
      <c r="C3345" s="10">
        <v>68</v>
      </c>
      <c r="D3345" s="10">
        <v>309</v>
      </c>
      <c r="E3345" t="s">
        <v>36</v>
      </c>
    </row>
    <row r="3346" spans="1:21" x14ac:dyDescent="0.35">
      <c r="A3346" s="2">
        <v>42825</v>
      </c>
      <c r="B3346" s="70" t="s">
        <v>38</v>
      </c>
      <c r="C3346" s="10">
        <v>71</v>
      </c>
      <c r="D3346" s="10">
        <v>318</v>
      </c>
      <c r="E3346" t="s">
        <v>39</v>
      </c>
      <c r="I3346" t="s">
        <v>42</v>
      </c>
      <c r="J3346" t="s">
        <v>39</v>
      </c>
      <c r="K3346" t="s">
        <v>40</v>
      </c>
      <c r="L3346" t="s">
        <v>36</v>
      </c>
      <c r="M3346" t="s">
        <v>33</v>
      </c>
      <c r="N3346" t="s">
        <v>34</v>
      </c>
      <c r="O3346" t="s">
        <v>32</v>
      </c>
      <c r="P3346" t="s">
        <v>37</v>
      </c>
      <c r="R3346" t="s">
        <v>43</v>
      </c>
      <c r="S3346" t="s">
        <v>44</v>
      </c>
    </row>
    <row r="3347" spans="1:21" x14ac:dyDescent="0.35">
      <c r="A3347" s="2">
        <v>42825</v>
      </c>
      <c r="B3347" s="70" t="s">
        <v>38</v>
      </c>
      <c r="C3347" s="10">
        <v>61</v>
      </c>
      <c r="D3347" s="10">
        <v>162</v>
      </c>
      <c r="E3347" t="s">
        <v>34</v>
      </c>
      <c r="I3347" s="5">
        <f>COUNTIF(E3299:E3348,"VA")</f>
        <v>0</v>
      </c>
      <c r="J3347" s="5">
        <f>COUNTIF(E3298:E3348,"VB")</f>
        <v>3</v>
      </c>
      <c r="K3347" s="5">
        <f>COUNTIF(E3298:E3348,"VIA0")</f>
        <v>1</v>
      </c>
      <c r="L3347" s="5">
        <f>COUNTIF(E3298:E3348,"VIA1")</f>
        <v>1</v>
      </c>
      <c r="M3347" s="5">
        <f>COUNTIF(E3298:E3348,"VIA2")</f>
        <v>11</v>
      </c>
      <c r="N3347" s="5">
        <f>COUNTIF(E3298:E3348,"VIA3")</f>
        <v>26</v>
      </c>
      <c r="O3347" s="5">
        <f>COUNTIF(E3298:E3348,"VIA4")</f>
        <v>8</v>
      </c>
      <c r="P3347" s="5">
        <f>COUNTIF(E3243:E3348,"VIB")</f>
        <v>0</v>
      </c>
      <c r="R3347" s="7">
        <f>AVERAGE(C3299:C3348)</f>
        <v>68.42</v>
      </c>
      <c r="S3347" s="7">
        <f>AVERAGE(D3299:D3348)</f>
        <v>279.38</v>
      </c>
      <c r="T3347" s="7"/>
      <c r="U3347" s="7" t="e">
        <f>AVERAGE(#REF!)</f>
        <v>#REF!</v>
      </c>
    </row>
    <row r="3348" spans="1:21" s="4" customFormat="1" x14ac:dyDescent="0.35">
      <c r="A3348" s="3">
        <v>42825</v>
      </c>
      <c r="B3348" s="44" t="s">
        <v>38</v>
      </c>
      <c r="C3348" s="11">
        <v>66</v>
      </c>
      <c r="D3348" s="11">
        <v>342</v>
      </c>
      <c r="E3348" s="4" t="s">
        <v>34</v>
      </c>
      <c r="I3348" s="6">
        <f t="shared" ref="I3348:O3348" si="102">I3347/50*100</f>
        <v>0</v>
      </c>
      <c r="J3348" s="6">
        <f t="shared" si="102"/>
        <v>6</v>
      </c>
      <c r="K3348" s="6">
        <f t="shared" si="102"/>
        <v>2</v>
      </c>
      <c r="L3348" s="6">
        <f t="shared" si="102"/>
        <v>2</v>
      </c>
      <c r="M3348" s="6">
        <f t="shared" si="102"/>
        <v>22</v>
      </c>
      <c r="N3348" s="6">
        <f t="shared" si="102"/>
        <v>52</v>
      </c>
      <c r="O3348" s="6">
        <f t="shared" si="102"/>
        <v>16</v>
      </c>
      <c r="P3348" s="6">
        <f t="shared" ref="P3348" si="103">P3347/99*100</f>
        <v>0</v>
      </c>
    </row>
    <row r="3349" spans="1:21" x14ac:dyDescent="0.35">
      <c r="A3349" s="2">
        <v>42825</v>
      </c>
      <c r="B3349" s="70" t="s">
        <v>29</v>
      </c>
      <c r="C3349" s="10">
        <v>182</v>
      </c>
      <c r="D3349" s="10">
        <v>6793</v>
      </c>
      <c r="E3349" s="10" t="s">
        <v>98</v>
      </c>
    </row>
    <row r="3350" spans="1:21" x14ac:dyDescent="0.35">
      <c r="A3350" s="2">
        <v>42825</v>
      </c>
      <c r="B3350" s="70" t="s">
        <v>29</v>
      </c>
      <c r="C3350" s="10">
        <v>194</v>
      </c>
      <c r="D3350" s="10">
        <v>9520</v>
      </c>
      <c r="E3350" s="10" t="s">
        <v>98</v>
      </c>
    </row>
    <row r="3351" spans="1:21" x14ac:dyDescent="0.35">
      <c r="A3351" s="2">
        <v>42825</v>
      </c>
      <c r="B3351" s="70" t="s">
        <v>29</v>
      </c>
      <c r="C3351" s="10">
        <v>123</v>
      </c>
      <c r="D3351">
        <v>2765</v>
      </c>
      <c r="E3351" s="10" t="s">
        <v>98</v>
      </c>
    </row>
    <row r="3352" spans="1:21" x14ac:dyDescent="0.35">
      <c r="A3352" s="2">
        <v>42825</v>
      </c>
      <c r="B3352" s="70" t="s">
        <v>29</v>
      </c>
      <c r="C3352" s="10">
        <v>106</v>
      </c>
      <c r="D3352">
        <v>1454</v>
      </c>
      <c r="E3352" s="10" t="s">
        <v>98</v>
      </c>
    </row>
    <row r="3353" spans="1:21" x14ac:dyDescent="0.35">
      <c r="A3353" s="2">
        <v>42825</v>
      </c>
      <c r="B3353" s="70" t="s">
        <v>29</v>
      </c>
      <c r="C3353" s="10">
        <v>137</v>
      </c>
      <c r="D3353">
        <v>2885</v>
      </c>
      <c r="E3353" s="10" t="s">
        <v>98</v>
      </c>
    </row>
    <row r="3354" spans="1:21" x14ac:dyDescent="0.35">
      <c r="A3354" s="2">
        <v>42825</v>
      </c>
      <c r="B3354" s="70" t="s">
        <v>29</v>
      </c>
      <c r="C3354" s="10">
        <v>207</v>
      </c>
      <c r="D3354">
        <v>11388</v>
      </c>
      <c r="E3354" s="10" t="s">
        <v>98</v>
      </c>
    </row>
    <row r="3355" spans="1:21" x14ac:dyDescent="0.35">
      <c r="A3355" s="2">
        <v>42825</v>
      </c>
      <c r="B3355" s="70" t="s">
        <v>29</v>
      </c>
      <c r="C3355" s="10">
        <v>117</v>
      </c>
      <c r="D3355">
        <v>1761</v>
      </c>
      <c r="E3355" s="10" t="s">
        <v>98</v>
      </c>
    </row>
    <row r="3356" spans="1:21" x14ac:dyDescent="0.35">
      <c r="A3356" s="2">
        <v>42825</v>
      </c>
      <c r="B3356" s="70" t="s">
        <v>29</v>
      </c>
      <c r="C3356" s="10">
        <v>99</v>
      </c>
      <c r="D3356">
        <v>736</v>
      </c>
      <c r="E3356" s="10" t="s">
        <v>98</v>
      </c>
    </row>
    <row r="3357" spans="1:21" x14ac:dyDescent="0.35">
      <c r="A3357" s="2">
        <v>42825</v>
      </c>
      <c r="B3357" s="70" t="s">
        <v>29</v>
      </c>
      <c r="C3357" s="10">
        <v>103</v>
      </c>
      <c r="D3357">
        <v>1363</v>
      </c>
      <c r="E3357" s="10" t="s">
        <v>98</v>
      </c>
      <c r="J3357" s="42" t="e">
        <f>AVERAGE(#REF!)</f>
        <v>#REF!</v>
      </c>
    </row>
    <row r="3358" spans="1:21" x14ac:dyDescent="0.35">
      <c r="A3358" s="2">
        <v>42825</v>
      </c>
      <c r="B3358" s="70" t="s">
        <v>29</v>
      </c>
      <c r="C3358" s="10">
        <v>74</v>
      </c>
      <c r="D3358">
        <v>336</v>
      </c>
      <c r="E3358" s="10" t="s">
        <v>33</v>
      </c>
      <c r="F3358" t="s">
        <v>294</v>
      </c>
      <c r="J3358" s="42" t="e">
        <f>AVERAGE(#REF!,#REF!)</f>
        <v>#REF!</v>
      </c>
    </row>
    <row r="3359" spans="1:21" x14ac:dyDescent="0.35">
      <c r="A3359" s="2">
        <v>42825</v>
      </c>
      <c r="B3359" s="70" t="s">
        <v>29</v>
      </c>
      <c r="C3359" s="10">
        <v>73</v>
      </c>
      <c r="D3359">
        <v>326</v>
      </c>
      <c r="E3359" s="10" t="s">
        <v>32</v>
      </c>
      <c r="F3359" t="s">
        <v>295</v>
      </c>
    </row>
    <row r="3360" spans="1:21" x14ac:dyDescent="0.35">
      <c r="A3360" s="2">
        <v>42825</v>
      </c>
      <c r="B3360" s="70" t="s">
        <v>29</v>
      </c>
      <c r="C3360" s="10">
        <v>70</v>
      </c>
      <c r="D3360">
        <v>321</v>
      </c>
      <c r="E3360" s="10" t="s">
        <v>33</v>
      </c>
      <c r="F3360" t="s">
        <v>296</v>
      </c>
    </row>
    <row r="3361" spans="1:8" x14ac:dyDescent="0.35">
      <c r="A3361" s="2">
        <v>42825</v>
      </c>
      <c r="B3361" s="70" t="s">
        <v>29</v>
      </c>
      <c r="C3361" s="10">
        <v>72</v>
      </c>
      <c r="D3361">
        <v>335</v>
      </c>
      <c r="E3361" s="10" t="s">
        <v>34</v>
      </c>
      <c r="F3361" t="s">
        <v>297</v>
      </c>
    </row>
    <row r="3362" spans="1:8" x14ac:dyDescent="0.35">
      <c r="A3362" s="2">
        <v>42825</v>
      </c>
      <c r="B3362" s="70" t="s">
        <v>29</v>
      </c>
      <c r="C3362" s="10">
        <v>73</v>
      </c>
      <c r="D3362">
        <v>405</v>
      </c>
      <c r="E3362" s="10" t="s">
        <v>32</v>
      </c>
      <c r="F3362" t="s">
        <v>298</v>
      </c>
      <c r="H3362" t="s">
        <v>198</v>
      </c>
    </row>
    <row r="3363" spans="1:8" x14ac:dyDescent="0.35">
      <c r="A3363" s="2">
        <v>42825</v>
      </c>
      <c r="B3363" s="70" t="s">
        <v>29</v>
      </c>
      <c r="C3363" s="10">
        <v>73</v>
      </c>
      <c r="D3363">
        <v>326</v>
      </c>
      <c r="E3363" s="10" t="s">
        <v>34</v>
      </c>
    </row>
    <row r="3364" spans="1:8" x14ac:dyDescent="0.35">
      <c r="A3364" s="2">
        <v>42825</v>
      </c>
      <c r="B3364" s="70" t="s">
        <v>29</v>
      </c>
      <c r="C3364" s="10">
        <v>73</v>
      </c>
      <c r="D3364">
        <v>340</v>
      </c>
      <c r="E3364" s="10" t="s">
        <v>34</v>
      </c>
    </row>
    <row r="3365" spans="1:8" x14ac:dyDescent="0.35">
      <c r="A3365" s="2">
        <v>42825</v>
      </c>
      <c r="B3365" s="70" t="s">
        <v>29</v>
      </c>
      <c r="C3365" s="10">
        <v>68</v>
      </c>
      <c r="D3365">
        <v>318</v>
      </c>
      <c r="E3365" s="10" t="s">
        <v>33</v>
      </c>
      <c r="H3365" t="s">
        <v>299</v>
      </c>
    </row>
    <row r="3366" spans="1:8" x14ac:dyDescent="0.35">
      <c r="A3366" s="2">
        <v>42825</v>
      </c>
      <c r="B3366" s="70" t="s">
        <v>29</v>
      </c>
      <c r="C3366" s="10">
        <v>67</v>
      </c>
      <c r="D3366">
        <v>277</v>
      </c>
      <c r="E3366" s="10" t="s">
        <v>34</v>
      </c>
    </row>
    <row r="3367" spans="1:8" x14ac:dyDescent="0.35">
      <c r="A3367" s="2">
        <v>42825</v>
      </c>
      <c r="B3367" s="70" t="s">
        <v>29</v>
      </c>
      <c r="C3367" s="10">
        <v>74</v>
      </c>
      <c r="D3367">
        <v>320</v>
      </c>
      <c r="E3367" s="10" t="s">
        <v>34</v>
      </c>
    </row>
    <row r="3368" spans="1:8" x14ac:dyDescent="0.35">
      <c r="A3368" s="2">
        <v>42825</v>
      </c>
      <c r="B3368" s="70" t="s">
        <v>29</v>
      </c>
      <c r="C3368" s="10">
        <v>73</v>
      </c>
      <c r="D3368">
        <v>335</v>
      </c>
      <c r="E3368" s="10" t="s">
        <v>34</v>
      </c>
    </row>
    <row r="3369" spans="1:8" x14ac:dyDescent="0.35">
      <c r="A3369" s="2">
        <v>42825</v>
      </c>
      <c r="B3369" s="70" t="s">
        <v>29</v>
      </c>
      <c r="C3369" s="10">
        <v>67</v>
      </c>
      <c r="D3369">
        <v>277</v>
      </c>
      <c r="E3369" s="10" t="s">
        <v>34</v>
      </c>
    </row>
    <row r="3370" spans="1:8" x14ac:dyDescent="0.35">
      <c r="A3370" s="2">
        <v>42825</v>
      </c>
      <c r="B3370" s="70" t="s">
        <v>29</v>
      </c>
      <c r="C3370" s="10">
        <v>72</v>
      </c>
      <c r="D3370">
        <v>344</v>
      </c>
      <c r="E3370" s="10" t="s">
        <v>34</v>
      </c>
      <c r="G3370" t="s">
        <v>198</v>
      </c>
      <c r="H3370" t="s">
        <v>299</v>
      </c>
    </row>
    <row r="3371" spans="1:8" x14ac:dyDescent="0.35">
      <c r="A3371" s="2">
        <v>42825</v>
      </c>
      <c r="B3371" s="70" t="s">
        <v>29</v>
      </c>
      <c r="C3371" s="10">
        <v>69</v>
      </c>
      <c r="D3371">
        <v>275</v>
      </c>
      <c r="E3371" s="10" t="s">
        <v>39</v>
      </c>
    </row>
    <row r="3372" spans="1:8" x14ac:dyDescent="0.35">
      <c r="A3372" s="2">
        <v>42825</v>
      </c>
      <c r="B3372" s="70" t="s">
        <v>29</v>
      </c>
      <c r="C3372" s="10">
        <v>72</v>
      </c>
      <c r="D3372">
        <v>280</v>
      </c>
      <c r="E3372" s="10" t="s">
        <v>34</v>
      </c>
    </row>
    <row r="3373" spans="1:8" x14ac:dyDescent="0.35">
      <c r="A3373" s="2">
        <v>42825</v>
      </c>
      <c r="B3373" s="70" t="s">
        <v>29</v>
      </c>
      <c r="C3373" s="10">
        <v>74</v>
      </c>
      <c r="D3373">
        <v>399</v>
      </c>
      <c r="E3373" s="10" t="s">
        <v>34</v>
      </c>
      <c r="G3373" t="s">
        <v>198</v>
      </c>
    </row>
    <row r="3374" spans="1:8" x14ac:dyDescent="0.35">
      <c r="A3374" s="2">
        <v>42825</v>
      </c>
      <c r="B3374" s="70" t="s">
        <v>29</v>
      </c>
      <c r="C3374" s="10">
        <v>72</v>
      </c>
      <c r="D3374">
        <v>326</v>
      </c>
      <c r="E3374" s="10" t="s">
        <v>34</v>
      </c>
    </row>
    <row r="3375" spans="1:8" x14ac:dyDescent="0.35">
      <c r="A3375" s="2">
        <v>42825</v>
      </c>
      <c r="B3375" s="70" t="s">
        <v>29</v>
      </c>
      <c r="C3375" s="10">
        <v>67</v>
      </c>
      <c r="D3375">
        <v>291</v>
      </c>
      <c r="E3375" s="10" t="s">
        <v>33</v>
      </c>
      <c r="G3375" t="s">
        <v>198</v>
      </c>
    </row>
    <row r="3376" spans="1:8" x14ac:dyDescent="0.35">
      <c r="A3376" s="2">
        <v>42825</v>
      </c>
      <c r="B3376" s="70" t="s">
        <v>29</v>
      </c>
      <c r="C3376" s="10">
        <v>68</v>
      </c>
      <c r="D3376">
        <v>232</v>
      </c>
      <c r="E3376" s="10" t="s">
        <v>33</v>
      </c>
    </row>
    <row r="3377" spans="1:7" x14ac:dyDescent="0.35">
      <c r="A3377" s="2">
        <v>42825</v>
      </c>
      <c r="B3377" s="70" t="s">
        <v>29</v>
      </c>
      <c r="C3377" s="10">
        <v>72</v>
      </c>
      <c r="D3377">
        <v>322</v>
      </c>
      <c r="E3377" s="10" t="s">
        <v>33</v>
      </c>
      <c r="G3377" t="s">
        <v>198</v>
      </c>
    </row>
    <row r="3378" spans="1:7" x14ac:dyDescent="0.35">
      <c r="A3378" s="2">
        <v>42825</v>
      </c>
      <c r="B3378" s="70" t="s">
        <v>29</v>
      </c>
      <c r="C3378" s="10">
        <v>64</v>
      </c>
      <c r="D3378">
        <v>236</v>
      </c>
      <c r="E3378" s="10" t="s">
        <v>33</v>
      </c>
      <c r="G3378" t="s">
        <v>198</v>
      </c>
    </row>
    <row r="3379" spans="1:7" x14ac:dyDescent="0.35">
      <c r="A3379" s="2">
        <v>42825</v>
      </c>
      <c r="B3379" s="70" t="s">
        <v>29</v>
      </c>
      <c r="C3379" s="10">
        <v>68</v>
      </c>
      <c r="D3379">
        <v>274</v>
      </c>
      <c r="E3379" s="10" t="s">
        <v>33</v>
      </c>
    </row>
    <row r="3380" spans="1:7" x14ac:dyDescent="0.35">
      <c r="A3380" s="2">
        <v>42825</v>
      </c>
      <c r="B3380" s="70" t="s">
        <v>29</v>
      </c>
      <c r="C3380" s="10">
        <v>70</v>
      </c>
      <c r="D3380">
        <v>295</v>
      </c>
      <c r="E3380" s="10" t="s">
        <v>34</v>
      </c>
      <c r="G3380" t="s">
        <v>287</v>
      </c>
    </row>
    <row r="3381" spans="1:7" x14ac:dyDescent="0.35">
      <c r="A3381" s="2">
        <v>42825</v>
      </c>
      <c r="B3381" s="70" t="s">
        <v>29</v>
      </c>
      <c r="C3381" s="10">
        <v>66</v>
      </c>
      <c r="D3381">
        <v>285</v>
      </c>
      <c r="E3381" s="10" t="s">
        <v>34</v>
      </c>
    </row>
    <row r="3382" spans="1:7" x14ac:dyDescent="0.35">
      <c r="A3382" s="2">
        <v>42825</v>
      </c>
      <c r="B3382" s="70" t="s">
        <v>29</v>
      </c>
      <c r="C3382" s="10">
        <v>69</v>
      </c>
      <c r="D3382">
        <v>298</v>
      </c>
      <c r="E3382" s="10" t="s">
        <v>39</v>
      </c>
    </row>
    <row r="3383" spans="1:7" x14ac:dyDescent="0.35">
      <c r="A3383" s="2">
        <v>42825</v>
      </c>
      <c r="B3383" s="70" t="s">
        <v>29</v>
      </c>
      <c r="C3383" s="10">
        <v>64</v>
      </c>
      <c r="D3383">
        <v>205</v>
      </c>
      <c r="E3383" s="10" t="s">
        <v>33</v>
      </c>
    </row>
    <row r="3384" spans="1:7" x14ac:dyDescent="0.35">
      <c r="A3384" s="2">
        <v>42825</v>
      </c>
      <c r="B3384" s="70" t="s">
        <v>29</v>
      </c>
      <c r="C3384" s="10">
        <v>68</v>
      </c>
      <c r="D3384">
        <v>307</v>
      </c>
      <c r="E3384" s="10" t="s">
        <v>34</v>
      </c>
    </row>
    <row r="3385" spans="1:7" x14ac:dyDescent="0.35">
      <c r="A3385" s="2">
        <v>42825</v>
      </c>
      <c r="B3385" s="70" t="s">
        <v>29</v>
      </c>
      <c r="C3385" s="10">
        <v>67</v>
      </c>
      <c r="D3385">
        <v>308</v>
      </c>
      <c r="E3385" s="10" t="s">
        <v>33</v>
      </c>
    </row>
    <row r="3386" spans="1:7" x14ac:dyDescent="0.35">
      <c r="A3386" s="2">
        <v>42825</v>
      </c>
      <c r="B3386" s="70" t="s">
        <v>29</v>
      </c>
      <c r="C3386" s="10">
        <v>62</v>
      </c>
      <c r="D3386">
        <v>207</v>
      </c>
      <c r="E3386" s="10" t="s">
        <v>34</v>
      </c>
    </row>
    <row r="3387" spans="1:7" x14ac:dyDescent="0.35">
      <c r="A3387" s="2">
        <v>42825</v>
      </c>
      <c r="B3387" s="70" t="s">
        <v>29</v>
      </c>
      <c r="C3387" s="10">
        <v>73</v>
      </c>
      <c r="D3387">
        <v>216</v>
      </c>
      <c r="E3387" s="10" t="s">
        <v>34</v>
      </c>
    </row>
    <row r="3388" spans="1:7" x14ac:dyDescent="0.35">
      <c r="A3388" s="2">
        <v>42825</v>
      </c>
      <c r="B3388" s="70" t="s">
        <v>29</v>
      </c>
      <c r="C3388" s="10">
        <v>64</v>
      </c>
      <c r="D3388">
        <v>208</v>
      </c>
      <c r="E3388" s="10" t="s">
        <v>34</v>
      </c>
    </row>
    <row r="3389" spans="1:7" x14ac:dyDescent="0.35">
      <c r="A3389" s="2">
        <v>42825</v>
      </c>
      <c r="B3389" s="70" t="s">
        <v>29</v>
      </c>
      <c r="C3389" s="10">
        <v>70</v>
      </c>
      <c r="D3389">
        <v>294</v>
      </c>
      <c r="E3389" s="10" t="s">
        <v>39</v>
      </c>
    </row>
    <row r="3390" spans="1:7" x14ac:dyDescent="0.35">
      <c r="A3390" s="2">
        <v>42825</v>
      </c>
      <c r="B3390" s="70" t="s">
        <v>29</v>
      </c>
      <c r="C3390" s="10">
        <v>68</v>
      </c>
      <c r="D3390">
        <v>281</v>
      </c>
      <c r="E3390" s="10" t="s">
        <v>34</v>
      </c>
    </row>
    <row r="3391" spans="1:7" x14ac:dyDescent="0.35">
      <c r="A3391" s="2">
        <v>42825</v>
      </c>
      <c r="B3391" s="70" t="s">
        <v>29</v>
      </c>
      <c r="C3391" s="10">
        <v>69</v>
      </c>
      <c r="D3391">
        <v>271</v>
      </c>
      <c r="E3391" s="10" t="s">
        <v>34</v>
      </c>
    </row>
    <row r="3392" spans="1:7" x14ac:dyDescent="0.35">
      <c r="A3392" s="2">
        <v>42825</v>
      </c>
      <c r="B3392" s="70" t="s">
        <v>29</v>
      </c>
      <c r="C3392" s="10">
        <v>68</v>
      </c>
      <c r="D3392">
        <v>348</v>
      </c>
      <c r="E3392" s="10" t="s">
        <v>34</v>
      </c>
    </row>
    <row r="3393" spans="1:21" x14ac:dyDescent="0.35">
      <c r="A3393" s="2">
        <v>42825</v>
      </c>
      <c r="B3393" s="70" t="s">
        <v>29</v>
      </c>
      <c r="C3393" s="10">
        <v>73</v>
      </c>
      <c r="D3393">
        <v>320</v>
      </c>
      <c r="E3393" s="10" t="s">
        <v>34</v>
      </c>
    </row>
    <row r="3394" spans="1:21" x14ac:dyDescent="0.35">
      <c r="A3394" s="2">
        <v>42825</v>
      </c>
      <c r="B3394" s="70" t="s">
        <v>29</v>
      </c>
      <c r="C3394" s="10">
        <v>67</v>
      </c>
      <c r="D3394">
        <v>253</v>
      </c>
      <c r="E3394" s="10" t="s">
        <v>34</v>
      </c>
      <c r="R3394">
        <f>AVERAGE(C3349:C3357,C3292:C3298,C3241,C3186:C3190)</f>
        <v>125.18181818181819</v>
      </c>
      <c r="S3394">
        <f>AVERAGE(D3349:D3357,D3292:D3298,D3241,D3186:D3190)</f>
        <v>2886.090909090909</v>
      </c>
      <c r="U3394" t="e">
        <f>AVERAGE(#REF!,#REF!,#REF!,#REF!)</f>
        <v>#REF!</v>
      </c>
    </row>
    <row r="3395" spans="1:21" x14ac:dyDescent="0.35">
      <c r="A3395" s="2">
        <v>42825</v>
      </c>
      <c r="B3395" s="70" t="s">
        <v>29</v>
      </c>
      <c r="C3395" s="10">
        <v>69</v>
      </c>
      <c r="D3395">
        <v>331</v>
      </c>
      <c r="E3395" s="10" t="s">
        <v>33</v>
      </c>
    </row>
    <row r="3396" spans="1:21" x14ac:dyDescent="0.35">
      <c r="A3396" s="2">
        <v>42825</v>
      </c>
      <c r="B3396" s="70" t="s">
        <v>29</v>
      </c>
      <c r="C3396" s="10">
        <v>72</v>
      </c>
      <c r="D3396">
        <v>345</v>
      </c>
      <c r="E3396" s="10" t="s">
        <v>40</v>
      </c>
    </row>
    <row r="3397" spans="1:21" x14ac:dyDescent="0.35">
      <c r="A3397" s="2">
        <v>42825</v>
      </c>
      <c r="B3397" s="70" t="s">
        <v>29</v>
      </c>
      <c r="C3397" s="10">
        <v>74</v>
      </c>
      <c r="D3397">
        <v>342</v>
      </c>
      <c r="E3397" s="10" t="s">
        <v>34</v>
      </c>
    </row>
    <row r="3398" spans="1:21" x14ac:dyDescent="0.35">
      <c r="A3398" s="2">
        <v>42825</v>
      </c>
      <c r="B3398" s="70" t="s">
        <v>29</v>
      </c>
      <c r="C3398" s="10">
        <v>78</v>
      </c>
      <c r="D3398">
        <v>396</v>
      </c>
      <c r="E3398" s="10" t="s">
        <v>32</v>
      </c>
    </row>
    <row r="3399" spans="1:21" x14ac:dyDescent="0.35">
      <c r="A3399" s="2">
        <v>42825</v>
      </c>
      <c r="B3399" s="70" t="s">
        <v>29</v>
      </c>
      <c r="C3399" s="10">
        <v>67</v>
      </c>
      <c r="D3399">
        <v>300</v>
      </c>
      <c r="E3399" s="10" t="s">
        <v>33</v>
      </c>
    </row>
    <row r="3400" spans="1:21" x14ac:dyDescent="0.35">
      <c r="A3400" s="2">
        <v>42825</v>
      </c>
      <c r="B3400" s="70" t="s">
        <v>29</v>
      </c>
      <c r="C3400" s="10">
        <v>76</v>
      </c>
      <c r="D3400">
        <v>386</v>
      </c>
      <c r="E3400" s="10" t="s">
        <v>34</v>
      </c>
    </row>
    <row r="3401" spans="1:21" x14ac:dyDescent="0.35">
      <c r="A3401" s="2">
        <v>42825</v>
      </c>
      <c r="B3401" s="70" t="s">
        <v>29</v>
      </c>
      <c r="C3401" s="10">
        <v>64</v>
      </c>
      <c r="D3401">
        <v>277</v>
      </c>
      <c r="E3401" s="10" t="s">
        <v>34</v>
      </c>
      <c r="I3401" t="s">
        <v>42</v>
      </c>
      <c r="J3401" t="s">
        <v>39</v>
      </c>
      <c r="K3401" t="s">
        <v>40</v>
      </c>
      <c r="L3401" t="s">
        <v>36</v>
      </c>
      <c r="M3401" t="s">
        <v>33</v>
      </c>
      <c r="N3401" t="s">
        <v>34</v>
      </c>
      <c r="O3401" t="s">
        <v>32</v>
      </c>
      <c r="P3401" t="s">
        <v>37</v>
      </c>
      <c r="R3401" t="s">
        <v>43</v>
      </c>
      <c r="S3401" t="s">
        <v>44</v>
      </c>
    </row>
    <row r="3402" spans="1:21" x14ac:dyDescent="0.35">
      <c r="A3402" s="2">
        <v>42825</v>
      </c>
      <c r="B3402" s="70" t="s">
        <v>29</v>
      </c>
      <c r="C3402" s="10">
        <v>67</v>
      </c>
      <c r="D3402">
        <v>326</v>
      </c>
      <c r="E3402" s="10" t="s">
        <v>34</v>
      </c>
      <c r="I3402" s="5">
        <f>COUNTIF(E3297:E3407,"VA")</f>
        <v>0</v>
      </c>
      <c r="J3402" s="5">
        <f>COUNTIF(E3294:E3407,"VB")</f>
        <v>6</v>
      </c>
      <c r="K3402" s="5">
        <f>COUNTIF(E3293:E3407,"VIA0")</f>
        <v>2</v>
      </c>
      <c r="L3402" s="5">
        <f>COUNTIF(E3296:E3407,"VIA1")</f>
        <v>1</v>
      </c>
      <c r="M3402" s="5">
        <f>COUNTIF(E3294:E3407,"VIA2")</f>
        <v>23</v>
      </c>
      <c r="N3402" s="5">
        <f>COUNTIF(E3296:E3407,"VIA3")</f>
        <v>55</v>
      </c>
      <c r="O3402" s="5">
        <f>COUNTIF(E3294:E3407,"VIA4")</f>
        <v>13</v>
      </c>
      <c r="P3402" s="5">
        <f>COUNTIF(E3298:E3403,"VIB")</f>
        <v>0</v>
      </c>
      <c r="R3402" s="7">
        <f>AVERAGE(C3358:C3407,C3299:C3348)</f>
        <v>69.05</v>
      </c>
      <c r="S3402" s="7">
        <f>AVERAGE(D3358:D3407,D3299:D3348)</f>
        <v>291.16000000000003</v>
      </c>
    </row>
    <row r="3403" spans="1:21" x14ac:dyDescent="0.35">
      <c r="A3403" s="2">
        <v>42825</v>
      </c>
      <c r="B3403" s="70" t="s">
        <v>29</v>
      </c>
      <c r="C3403" s="10">
        <v>69</v>
      </c>
      <c r="D3403">
        <v>309</v>
      </c>
      <c r="E3403" s="10" t="s">
        <v>34</v>
      </c>
      <c r="I3403" s="6">
        <f t="shared" ref="I3403" si="104">I3402/50*100</f>
        <v>0</v>
      </c>
      <c r="J3403" s="6">
        <f>J3402/100*100</f>
        <v>6</v>
      </c>
      <c r="K3403" s="6">
        <f t="shared" ref="K3403:P3403" si="105">K3402/100*100</f>
        <v>2</v>
      </c>
      <c r="L3403" s="6">
        <f t="shared" si="105"/>
        <v>1</v>
      </c>
      <c r="M3403" s="6">
        <f t="shared" si="105"/>
        <v>23</v>
      </c>
      <c r="N3403" s="6">
        <f t="shared" si="105"/>
        <v>55.000000000000007</v>
      </c>
      <c r="O3403" s="6">
        <f t="shared" si="105"/>
        <v>13</v>
      </c>
      <c r="P3403" s="6">
        <f t="shared" si="105"/>
        <v>0</v>
      </c>
      <c r="Q3403" s="4"/>
      <c r="R3403" s="4"/>
      <c r="S3403" s="4"/>
    </row>
    <row r="3404" spans="1:21" x14ac:dyDescent="0.35">
      <c r="A3404" s="2">
        <v>42825</v>
      </c>
      <c r="B3404" s="70" t="s">
        <v>29</v>
      </c>
      <c r="C3404" s="10">
        <v>69</v>
      </c>
      <c r="D3404">
        <v>290</v>
      </c>
      <c r="E3404" s="10" t="s">
        <v>34</v>
      </c>
    </row>
    <row r="3405" spans="1:21" x14ac:dyDescent="0.35">
      <c r="A3405" s="2">
        <v>42825</v>
      </c>
      <c r="B3405" s="70" t="s">
        <v>29</v>
      </c>
      <c r="C3405" s="10">
        <v>70</v>
      </c>
      <c r="D3405">
        <v>289</v>
      </c>
      <c r="E3405" s="10" t="s">
        <v>32</v>
      </c>
      <c r="I3405" t="s">
        <v>42</v>
      </c>
      <c r="J3405" t="s">
        <v>39</v>
      </c>
      <c r="K3405" t="s">
        <v>40</v>
      </c>
      <c r="L3405" t="s">
        <v>36</v>
      </c>
      <c r="M3405" t="s">
        <v>33</v>
      </c>
      <c r="N3405" t="s">
        <v>34</v>
      </c>
      <c r="O3405" t="s">
        <v>32</v>
      </c>
      <c r="P3405" t="s">
        <v>37</v>
      </c>
      <c r="R3405" t="s">
        <v>43</v>
      </c>
      <c r="S3405" t="s">
        <v>44</v>
      </c>
    </row>
    <row r="3406" spans="1:21" x14ac:dyDescent="0.35">
      <c r="A3406" s="2">
        <v>42825</v>
      </c>
      <c r="B3406" s="70" t="s">
        <v>29</v>
      </c>
      <c r="C3406" s="10">
        <v>66</v>
      </c>
      <c r="D3406">
        <v>255</v>
      </c>
      <c r="E3406" s="10" t="s">
        <v>34</v>
      </c>
      <c r="G3406" t="s">
        <v>198</v>
      </c>
      <c r="I3406" s="5">
        <f>COUNTIF(E3358:E3407,"VA")</f>
        <v>0</v>
      </c>
      <c r="J3406" s="5">
        <f>COUNTIF(E3357:E3407,"VB")</f>
        <v>3</v>
      </c>
      <c r="K3406" s="5">
        <f>COUNTIF(E3357:E3407,"VIA0")</f>
        <v>1</v>
      </c>
      <c r="L3406" s="5">
        <f>COUNTIF(E3357:E3407,"VIA1")</f>
        <v>0</v>
      </c>
      <c r="M3406" s="5">
        <f>COUNTIF(E3357:E3407,"VIA2")</f>
        <v>12</v>
      </c>
      <c r="N3406" s="5">
        <f>COUNTIF(E3357:E3407,"VIA3")</f>
        <v>29</v>
      </c>
      <c r="O3406" s="5">
        <f>COUNTIF(E3357:E3407,"VIA4")</f>
        <v>5</v>
      </c>
      <c r="P3406" s="5">
        <f>COUNTIF(E3302:E3407,"VIB")</f>
        <v>0</v>
      </c>
      <c r="R3406" s="7">
        <f>AVERAGE(C3358:C3407)</f>
        <v>69.680000000000007</v>
      </c>
      <c r="S3406" s="7">
        <f>AVERAGE(D3358:D3407)</f>
        <v>302.94</v>
      </c>
      <c r="T3406" s="7"/>
      <c r="U3406" s="7" t="e">
        <f>AVERAGE(#REF!)</f>
        <v>#REF!</v>
      </c>
    </row>
    <row r="3407" spans="1:21" s="4" customFormat="1" x14ac:dyDescent="0.35">
      <c r="A3407" s="3">
        <v>42825</v>
      </c>
      <c r="B3407" s="44" t="s">
        <v>29</v>
      </c>
      <c r="C3407" s="11">
        <v>70</v>
      </c>
      <c r="D3407" s="4">
        <v>310</v>
      </c>
      <c r="E3407" s="11" t="s">
        <v>32</v>
      </c>
      <c r="I3407" s="6">
        <f t="shared" ref="I3407:O3407" si="106">I3406/50*100</f>
        <v>0</v>
      </c>
      <c r="J3407" s="6">
        <f t="shared" si="106"/>
        <v>6</v>
      </c>
      <c r="K3407" s="6">
        <f t="shared" si="106"/>
        <v>2</v>
      </c>
      <c r="L3407" s="6">
        <f t="shared" si="106"/>
        <v>0</v>
      </c>
      <c r="M3407" s="6">
        <f t="shared" si="106"/>
        <v>24</v>
      </c>
      <c r="N3407" s="6">
        <f t="shared" si="106"/>
        <v>57.999999999999993</v>
      </c>
      <c r="O3407" s="6">
        <f t="shared" si="106"/>
        <v>10</v>
      </c>
      <c r="P3407" s="6">
        <f t="shared" ref="P3407" si="107">P3406/99*100</f>
        <v>0</v>
      </c>
    </row>
    <row r="3408" spans="1:21" s="5" customFormat="1" x14ac:dyDescent="0.35">
      <c r="A3408" s="2">
        <v>42825</v>
      </c>
      <c r="B3408" s="70" t="s">
        <v>66</v>
      </c>
      <c r="C3408" s="10">
        <v>119</v>
      </c>
      <c r="D3408" s="10">
        <v>2615</v>
      </c>
      <c r="E3408" s="10" t="s">
        <v>98</v>
      </c>
    </row>
    <row r="3409" spans="1:9" s="5" customFormat="1" x14ac:dyDescent="0.35">
      <c r="A3409" s="2">
        <v>42825</v>
      </c>
      <c r="B3409" s="70" t="s">
        <v>66</v>
      </c>
      <c r="C3409" s="10">
        <v>87</v>
      </c>
      <c r="D3409" s="10">
        <v>712</v>
      </c>
      <c r="E3409" s="10" t="s">
        <v>98</v>
      </c>
    </row>
    <row r="3410" spans="1:9" s="5" customFormat="1" x14ac:dyDescent="0.35">
      <c r="A3410" s="2">
        <v>42825</v>
      </c>
      <c r="B3410" s="70" t="s">
        <v>66</v>
      </c>
      <c r="C3410" s="10">
        <v>74</v>
      </c>
      <c r="D3410" s="10">
        <v>366</v>
      </c>
      <c r="E3410" s="10" t="s">
        <v>34</v>
      </c>
      <c r="G3410" s="5" t="s">
        <v>198</v>
      </c>
      <c r="H3410" s="5" t="s">
        <v>310</v>
      </c>
    </row>
    <row r="3411" spans="1:9" s="5" customFormat="1" x14ac:dyDescent="0.35">
      <c r="A3411" s="2">
        <v>42825</v>
      </c>
      <c r="B3411" s="70" t="s">
        <v>66</v>
      </c>
      <c r="C3411" s="10">
        <v>68</v>
      </c>
      <c r="D3411" s="10">
        <v>339</v>
      </c>
      <c r="E3411" s="10" t="s">
        <v>39</v>
      </c>
      <c r="H3411" s="5" t="s">
        <v>311</v>
      </c>
    </row>
    <row r="3412" spans="1:9" s="5" customFormat="1" x14ac:dyDescent="0.35">
      <c r="A3412" s="2">
        <v>42825</v>
      </c>
      <c r="B3412" s="70" t="s">
        <v>66</v>
      </c>
      <c r="C3412" s="10">
        <v>71</v>
      </c>
      <c r="D3412" s="10">
        <v>311</v>
      </c>
      <c r="E3412" s="10" t="s">
        <v>33</v>
      </c>
      <c r="G3412" s="5" t="s">
        <v>198</v>
      </c>
      <c r="H3412" s="5" t="s">
        <v>312</v>
      </c>
      <c r="I3412" s="5" t="s">
        <v>309</v>
      </c>
    </row>
    <row r="3413" spans="1:9" s="5" customFormat="1" x14ac:dyDescent="0.35">
      <c r="A3413" s="2">
        <v>42825</v>
      </c>
      <c r="B3413" s="70" t="s">
        <v>66</v>
      </c>
      <c r="C3413" s="10">
        <v>69</v>
      </c>
      <c r="D3413" s="10">
        <v>267</v>
      </c>
      <c r="E3413" s="10" t="s">
        <v>39</v>
      </c>
      <c r="H3413" s="5" t="s">
        <v>313</v>
      </c>
    </row>
    <row r="3414" spans="1:9" s="5" customFormat="1" x14ac:dyDescent="0.35">
      <c r="A3414" s="2">
        <v>42825</v>
      </c>
      <c r="B3414" s="70" t="s">
        <v>66</v>
      </c>
      <c r="C3414" s="10">
        <v>67</v>
      </c>
      <c r="D3414" s="10">
        <v>221</v>
      </c>
      <c r="E3414" s="10" t="s">
        <v>34</v>
      </c>
      <c r="G3414" s="5" t="s">
        <v>198</v>
      </c>
      <c r="H3414" s="5" t="s">
        <v>314</v>
      </c>
    </row>
    <row r="3415" spans="1:9" s="5" customFormat="1" x14ac:dyDescent="0.35">
      <c r="A3415" s="2">
        <v>42825</v>
      </c>
      <c r="B3415" s="70" t="s">
        <v>66</v>
      </c>
      <c r="C3415" s="10">
        <v>65</v>
      </c>
      <c r="D3415" s="10">
        <v>295</v>
      </c>
      <c r="E3415" s="10" t="s">
        <v>34</v>
      </c>
      <c r="G3415" s="10" t="s">
        <v>198</v>
      </c>
    </row>
    <row r="3416" spans="1:9" s="5" customFormat="1" x14ac:dyDescent="0.35">
      <c r="A3416" s="2">
        <v>42825</v>
      </c>
      <c r="B3416" s="70" t="s">
        <v>66</v>
      </c>
      <c r="C3416" s="10">
        <v>75</v>
      </c>
      <c r="D3416" s="10">
        <v>312</v>
      </c>
      <c r="E3416" s="10" t="s">
        <v>33</v>
      </c>
      <c r="G3416" s="10" t="s">
        <v>198</v>
      </c>
    </row>
    <row r="3417" spans="1:9" s="5" customFormat="1" x14ac:dyDescent="0.35">
      <c r="A3417" s="2">
        <v>42825</v>
      </c>
      <c r="B3417" s="70" t="s">
        <v>66</v>
      </c>
      <c r="C3417" s="10">
        <v>68</v>
      </c>
      <c r="D3417" s="10">
        <v>291</v>
      </c>
      <c r="E3417" s="10" t="s">
        <v>33</v>
      </c>
      <c r="G3417" s="10" t="s">
        <v>198</v>
      </c>
    </row>
    <row r="3418" spans="1:9" s="5" customFormat="1" x14ac:dyDescent="0.35">
      <c r="A3418" s="2">
        <v>42825</v>
      </c>
      <c r="B3418" s="70" t="s">
        <v>66</v>
      </c>
      <c r="C3418" s="10">
        <v>61</v>
      </c>
      <c r="D3418" s="10">
        <v>248</v>
      </c>
      <c r="E3418" s="10" t="s">
        <v>36</v>
      </c>
    </row>
    <row r="3419" spans="1:9" s="5" customFormat="1" x14ac:dyDescent="0.35">
      <c r="A3419" s="2">
        <v>42825</v>
      </c>
      <c r="B3419" s="70" t="s">
        <v>66</v>
      </c>
      <c r="C3419" s="10">
        <v>65</v>
      </c>
      <c r="D3419" s="10">
        <v>237</v>
      </c>
      <c r="E3419" s="10" t="s">
        <v>33</v>
      </c>
    </row>
    <row r="3420" spans="1:9" s="5" customFormat="1" x14ac:dyDescent="0.35">
      <c r="A3420" s="2">
        <v>42825</v>
      </c>
      <c r="B3420" s="70" t="s">
        <v>66</v>
      </c>
      <c r="C3420" s="10">
        <v>69</v>
      </c>
      <c r="D3420" s="10">
        <v>258</v>
      </c>
      <c r="E3420" s="10" t="s">
        <v>36</v>
      </c>
      <c r="G3420" s="10" t="s">
        <v>198</v>
      </c>
    </row>
    <row r="3421" spans="1:9" s="4" customFormat="1" x14ac:dyDescent="0.35">
      <c r="A3421" s="3">
        <v>42825</v>
      </c>
      <c r="B3421" s="44" t="s">
        <v>66</v>
      </c>
      <c r="C3421" s="11">
        <v>73</v>
      </c>
      <c r="D3421" s="4">
        <v>317</v>
      </c>
      <c r="E3421" s="11" t="s">
        <v>34</v>
      </c>
      <c r="G3421" s="4" t="s">
        <v>198</v>
      </c>
    </row>
    <row r="3422" spans="1:9" x14ac:dyDescent="0.35">
      <c r="A3422" s="2">
        <v>42825</v>
      </c>
      <c r="B3422" s="70" t="s">
        <v>63</v>
      </c>
      <c r="C3422" s="10">
        <v>104</v>
      </c>
      <c r="D3422" s="10">
        <v>1524</v>
      </c>
      <c r="E3422" s="10" t="s">
        <v>98</v>
      </c>
    </row>
    <row r="3423" spans="1:9" x14ac:dyDescent="0.35">
      <c r="A3423" s="2">
        <v>42825</v>
      </c>
      <c r="B3423" s="70" t="s">
        <v>63</v>
      </c>
      <c r="C3423" s="10">
        <v>69</v>
      </c>
      <c r="D3423" s="10">
        <v>347</v>
      </c>
      <c r="E3423" s="10" t="s">
        <v>34</v>
      </c>
      <c r="F3423" t="s">
        <v>301</v>
      </c>
      <c r="H3423" t="s">
        <v>315</v>
      </c>
    </row>
    <row r="3424" spans="1:9" x14ac:dyDescent="0.35">
      <c r="A3424" s="2">
        <v>42825</v>
      </c>
      <c r="B3424" s="70" t="s">
        <v>63</v>
      </c>
      <c r="C3424" s="10">
        <v>71</v>
      </c>
      <c r="D3424">
        <v>298</v>
      </c>
      <c r="E3424" s="10" t="s">
        <v>33</v>
      </c>
      <c r="F3424" t="s">
        <v>302</v>
      </c>
      <c r="H3424" t="s">
        <v>65</v>
      </c>
    </row>
    <row r="3425" spans="1:8" x14ac:dyDescent="0.35">
      <c r="A3425" s="2">
        <v>42825</v>
      </c>
      <c r="B3425" s="70" t="s">
        <v>63</v>
      </c>
      <c r="C3425" s="10">
        <v>69</v>
      </c>
      <c r="D3425">
        <v>294</v>
      </c>
      <c r="E3425" s="10" t="s">
        <v>34</v>
      </c>
      <c r="F3425" t="s">
        <v>303</v>
      </c>
    </row>
    <row r="3426" spans="1:8" x14ac:dyDescent="0.35">
      <c r="A3426" s="2">
        <v>42825</v>
      </c>
      <c r="B3426" s="70" t="s">
        <v>63</v>
      </c>
      <c r="C3426" s="10">
        <v>64</v>
      </c>
      <c r="D3426">
        <v>215</v>
      </c>
      <c r="E3426" s="10" t="s">
        <v>33</v>
      </c>
      <c r="F3426" t="s">
        <v>304</v>
      </c>
      <c r="H3426" t="s">
        <v>198</v>
      </c>
    </row>
    <row r="3427" spans="1:8" x14ac:dyDescent="0.35">
      <c r="A3427" s="2">
        <v>42825</v>
      </c>
      <c r="B3427" s="70" t="s">
        <v>63</v>
      </c>
      <c r="C3427" s="10">
        <v>74</v>
      </c>
      <c r="D3427">
        <v>384</v>
      </c>
      <c r="E3427" s="10" t="s">
        <v>34</v>
      </c>
      <c r="F3427" t="s">
        <v>305</v>
      </c>
      <c r="H3427" t="s">
        <v>198</v>
      </c>
    </row>
    <row r="3428" spans="1:8" x14ac:dyDescent="0.35">
      <c r="A3428" s="2">
        <v>42825</v>
      </c>
      <c r="B3428" s="70" t="s">
        <v>63</v>
      </c>
      <c r="C3428" s="10">
        <v>69</v>
      </c>
      <c r="D3428">
        <v>263</v>
      </c>
      <c r="E3428" s="10" t="s">
        <v>33</v>
      </c>
    </row>
    <row r="3429" spans="1:8" x14ac:dyDescent="0.35">
      <c r="A3429" s="2">
        <v>42825</v>
      </c>
      <c r="B3429" s="70" t="s">
        <v>63</v>
      </c>
      <c r="C3429" s="10">
        <v>72</v>
      </c>
      <c r="D3429">
        <v>363</v>
      </c>
      <c r="E3429" s="10" t="s">
        <v>34</v>
      </c>
      <c r="H3429" t="s">
        <v>198</v>
      </c>
    </row>
    <row r="3430" spans="1:8" x14ac:dyDescent="0.35">
      <c r="A3430" s="2">
        <v>42825</v>
      </c>
      <c r="B3430" s="70" t="s">
        <v>63</v>
      </c>
      <c r="C3430" s="10">
        <v>67</v>
      </c>
      <c r="D3430">
        <v>249</v>
      </c>
      <c r="E3430" s="10" t="s">
        <v>34</v>
      </c>
      <c r="H3430" t="s">
        <v>198</v>
      </c>
    </row>
    <row r="3431" spans="1:8" x14ac:dyDescent="0.35">
      <c r="A3431" s="2">
        <v>42825</v>
      </c>
      <c r="B3431" s="70" t="s">
        <v>63</v>
      </c>
      <c r="C3431" s="10">
        <v>75</v>
      </c>
      <c r="D3431">
        <v>355</v>
      </c>
      <c r="E3431" s="10" t="s">
        <v>34</v>
      </c>
      <c r="H3431" t="s">
        <v>198</v>
      </c>
    </row>
    <row r="3432" spans="1:8" x14ac:dyDescent="0.35">
      <c r="A3432" s="2">
        <v>42825</v>
      </c>
      <c r="B3432" s="70" t="s">
        <v>63</v>
      </c>
      <c r="C3432" s="10">
        <v>67</v>
      </c>
      <c r="D3432">
        <v>313</v>
      </c>
      <c r="E3432" s="10" t="s">
        <v>34</v>
      </c>
      <c r="H3432" t="s">
        <v>306</v>
      </c>
    </row>
    <row r="3433" spans="1:8" x14ac:dyDescent="0.35">
      <c r="A3433" s="2">
        <v>42825</v>
      </c>
      <c r="B3433" s="70" t="s">
        <v>63</v>
      </c>
      <c r="C3433" s="10">
        <v>68</v>
      </c>
      <c r="D3433">
        <v>249</v>
      </c>
      <c r="E3433" s="10" t="s">
        <v>34</v>
      </c>
    </row>
    <row r="3434" spans="1:8" x14ac:dyDescent="0.35">
      <c r="A3434" s="2">
        <v>42825</v>
      </c>
      <c r="B3434" s="70" t="s">
        <v>63</v>
      </c>
      <c r="C3434" s="10">
        <v>65</v>
      </c>
      <c r="D3434">
        <v>246</v>
      </c>
      <c r="E3434" s="10" t="s">
        <v>34</v>
      </c>
    </row>
    <row r="3435" spans="1:8" x14ac:dyDescent="0.35">
      <c r="A3435" s="2">
        <v>42825</v>
      </c>
      <c r="B3435" s="70" t="s">
        <v>63</v>
      </c>
      <c r="C3435" s="10">
        <v>67</v>
      </c>
      <c r="D3435">
        <v>223</v>
      </c>
      <c r="E3435" s="10" t="s">
        <v>32</v>
      </c>
      <c r="H3435" t="s">
        <v>198</v>
      </c>
    </row>
    <row r="3436" spans="1:8" x14ac:dyDescent="0.35">
      <c r="A3436" s="2">
        <v>42825</v>
      </c>
      <c r="B3436" s="70" t="s">
        <v>63</v>
      </c>
      <c r="C3436" s="10">
        <v>66</v>
      </c>
      <c r="D3436">
        <v>268</v>
      </c>
      <c r="E3436" s="10" t="s">
        <v>34</v>
      </c>
      <c r="H3436" t="s">
        <v>198</v>
      </c>
    </row>
    <row r="3437" spans="1:8" x14ac:dyDescent="0.35">
      <c r="A3437" s="2">
        <v>42825</v>
      </c>
      <c r="B3437" s="70" t="s">
        <v>63</v>
      </c>
      <c r="C3437" s="10">
        <v>71</v>
      </c>
      <c r="D3437">
        <v>269</v>
      </c>
      <c r="E3437" s="10" t="s">
        <v>32</v>
      </c>
      <c r="H3437" t="s">
        <v>307</v>
      </c>
    </row>
    <row r="3438" spans="1:8" x14ac:dyDescent="0.35">
      <c r="A3438" s="2">
        <v>42825</v>
      </c>
      <c r="B3438" s="70" t="s">
        <v>63</v>
      </c>
      <c r="C3438" s="10">
        <v>71</v>
      </c>
      <c r="D3438">
        <v>310</v>
      </c>
      <c r="E3438" s="10" t="s">
        <v>34</v>
      </c>
    </row>
    <row r="3439" spans="1:8" x14ac:dyDescent="0.35">
      <c r="A3439" s="2">
        <v>42825</v>
      </c>
      <c r="B3439" s="70" t="s">
        <v>63</v>
      </c>
      <c r="C3439" s="10">
        <v>62</v>
      </c>
      <c r="D3439">
        <v>186</v>
      </c>
      <c r="E3439" s="10" t="s">
        <v>33</v>
      </c>
    </row>
    <row r="3440" spans="1:8" x14ac:dyDescent="0.35">
      <c r="A3440" s="2">
        <v>42825</v>
      </c>
      <c r="B3440" s="70" t="s">
        <v>63</v>
      </c>
      <c r="C3440" s="10">
        <v>72</v>
      </c>
      <c r="D3440">
        <v>350</v>
      </c>
      <c r="E3440" s="10" t="s">
        <v>34</v>
      </c>
      <c r="H3440" t="s">
        <v>198</v>
      </c>
    </row>
    <row r="3441" spans="1:8" x14ac:dyDescent="0.35">
      <c r="A3441" s="2">
        <v>42825</v>
      </c>
      <c r="B3441" s="70" t="s">
        <v>63</v>
      </c>
      <c r="C3441" s="10">
        <v>72</v>
      </c>
      <c r="D3441">
        <v>353</v>
      </c>
      <c r="E3441" s="10" t="s">
        <v>34</v>
      </c>
      <c r="H3441" t="s">
        <v>198</v>
      </c>
    </row>
    <row r="3442" spans="1:8" x14ac:dyDescent="0.35">
      <c r="A3442" s="2">
        <v>42825</v>
      </c>
      <c r="B3442" s="70" t="s">
        <v>63</v>
      </c>
      <c r="C3442" s="10">
        <v>70</v>
      </c>
      <c r="D3442">
        <v>274</v>
      </c>
      <c r="E3442" s="10" t="s">
        <v>34</v>
      </c>
    </row>
    <row r="3443" spans="1:8" x14ac:dyDescent="0.35">
      <c r="A3443" s="2">
        <v>42825</v>
      </c>
      <c r="B3443" s="70" t="s">
        <v>63</v>
      </c>
      <c r="C3443" s="10">
        <v>74</v>
      </c>
      <c r="D3443">
        <v>240</v>
      </c>
      <c r="E3443" s="10" t="s">
        <v>32</v>
      </c>
    </row>
    <row r="3444" spans="1:8" x14ac:dyDescent="0.35">
      <c r="A3444" s="2">
        <v>42825</v>
      </c>
      <c r="B3444" s="70" t="s">
        <v>63</v>
      </c>
      <c r="C3444" s="10">
        <v>71</v>
      </c>
      <c r="D3444">
        <v>328</v>
      </c>
      <c r="E3444" s="10" t="s">
        <v>34</v>
      </c>
      <c r="H3444" t="s">
        <v>198</v>
      </c>
    </row>
    <row r="3445" spans="1:8" x14ac:dyDescent="0.35">
      <c r="A3445" s="2">
        <v>42825</v>
      </c>
      <c r="B3445" s="70" t="s">
        <v>63</v>
      </c>
      <c r="C3445" s="10">
        <v>72</v>
      </c>
      <c r="D3445">
        <v>310</v>
      </c>
      <c r="E3445" s="10" t="s">
        <v>33</v>
      </c>
      <c r="H3445" t="s">
        <v>198</v>
      </c>
    </row>
    <row r="3446" spans="1:8" x14ac:dyDescent="0.35">
      <c r="A3446" s="2">
        <v>42825</v>
      </c>
      <c r="B3446" s="70" t="s">
        <v>63</v>
      </c>
      <c r="C3446" s="10">
        <v>68</v>
      </c>
      <c r="D3446">
        <v>247</v>
      </c>
      <c r="E3446" s="10" t="s">
        <v>34</v>
      </c>
      <c r="H3446" t="s">
        <v>308</v>
      </c>
    </row>
    <row r="3447" spans="1:8" x14ac:dyDescent="0.35">
      <c r="A3447" s="2">
        <v>42825</v>
      </c>
      <c r="B3447" s="70" t="s">
        <v>63</v>
      </c>
      <c r="C3447" s="10">
        <v>68</v>
      </c>
      <c r="D3447">
        <v>287</v>
      </c>
      <c r="E3447" s="10" t="s">
        <v>34</v>
      </c>
    </row>
    <row r="3448" spans="1:8" x14ac:dyDescent="0.35">
      <c r="A3448" s="2">
        <v>42825</v>
      </c>
      <c r="B3448" s="70" t="s">
        <v>63</v>
      </c>
      <c r="C3448" s="10">
        <v>69</v>
      </c>
      <c r="D3448">
        <v>278</v>
      </c>
      <c r="E3448" s="10" t="s">
        <v>33</v>
      </c>
      <c r="H3448" t="s">
        <v>198</v>
      </c>
    </row>
    <row r="3449" spans="1:8" x14ac:dyDescent="0.35">
      <c r="A3449" s="2">
        <v>42825</v>
      </c>
      <c r="B3449" s="70" t="s">
        <v>63</v>
      </c>
      <c r="C3449" s="10">
        <v>68</v>
      </c>
      <c r="D3449">
        <v>282</v>
      </c>
      <c r="E3449" s="10" t="s">
        <v>39</v>
      </c>
    </row>
    <row r="3450" spans="1:8" x14ac:dyDescent="0.35">
      <c r="A3450" s="2">
        <v>42825</v>
      </c>
      <c r="B3450" s="70" t="s">
        <v>63</v>
      </c>
      <c r="C3450" s="10">
        <v>69</v>
      </c>
      <c r="D3450">
        <v>302</v>
      </c>
      <c r="E3450" s="10" t="s">
        <v>33</v>
      </c>
      <c r="H3450" t="s">
        <v>198</v>
      </c>
    </row>
    <row r="3451" spans="1:8" x14ac:dyDescent="0.35">
      <c r="A3451" s="2">
        <v>42825</v>
      </c>
      <c r="B3451" s="70" t="s">
        <v>63</v>
      </c>
      <c r="C3451" s="10">
        <v>69</v>
      </c>
      <c r="D3451">
        <v>209</v>
      </c>
      <c r="E3451" s="10" t="s">
        <v>34</v>
      </c>
      <c r="H3451" t="s">
        <v>198</v>
      </c>
    </row>
    <row r="3452" spans="1:8" x14ac:dyDescent="0.35">
      <c r="A3452" s="2">
        <v>42825</v>
      </c>
      <c r="B3452" s="70" t="s">
        <v>63</v>
      </c>
      <c r="C3452" s="10">
        <v>69</v>
      </c>
      <c r="D3452">
        <v>240</v>
      </c>
      <c r="E3452" s="10" t="s">
        <v>34</v>
      </c>
      <c r="H3452" t="s">
        <v>198</v>
      </c>
    </row>
    <row r="3453" spans="1:8" x14ac:dyDescent="0.35">
      <c r="A3453" s="2">
        <v>42825</v>
      </c>
      <c r="B3453" s="70" t="s">
        <v>63</v>
      </c>
      <c r="C3453" s="10">
        <v>68</v>
      </c>
      <c r="D3453">
        <v>243</v>
      </c>
      <c r="E3453" s="10" t="s">
        <v>34</v>
      </c>
      <c r="H3453" t="s">
        <v>198</v>
      </c>
    </row>
    <row r="3454" spans="1:8" x14ac:dyDescent="0.35">
      <c r="A3454" s="2">
        <v>42825</v>
      </c>
      <c r="B3454" s="70" t="s">
        <v>63</v>
      </c>
      <c r="C3454" s="10">
        <v>67</v>
      </c>
      <c r="D3454">
        <v>263</v>
      </c>
      <c r="E3454" s="10" t="s">
        <v>34</v>
      </c>
    </row>
    <row r="3455" spans="1:8" x14ac:dyDescent="0.35">
      <c r="A3455" s="2">
        <v>42825</v>
      </c>
      <c r="B3455" s="70" t="s">
        <v>63</v>
      </c>
      <c r="C3455" s="10">
        <v>77</v>
      </c>
      <c r="D3455">
        <v>358</v>
      </c>
      <c r="E3455" s="10" t="s">
        <v>33</v>
      </c>
      <c r="H3455" t="s">
        <v>198</v>
      </c>
    </row>
    <row r="3456" spans="1:8" x14ac:dyDescent="0.35">
      <c r="A3456" s="2">
        <v>42825</v>
      </c>
      <c r="B3456" s="70" t="s">
        <v>63</v>
      </c>
      <c r="C3456" s="10">
        <v>63</v>
      </c>
      <c r="D3456">
        <v>199</v>
      </c>
      <c r="E3456" s="10" t="s">
        <v>33</v>
      </c>
      <c r="H3456" t="s">
        <v>198</v>
      </c>
    </row>
    <row r="3457" spans="1:8" x14ac:dyDescent="0.35">
      <c r="A3457" s="2">
        <v>42825</v>
      </c>
      <c r="B3457" s="70" t="s">
        <v>63</v>
      </c>
      <c r="C3457" s="10">
        <v>68</v>
      </c>
      <c r="D3457">
        <v>310</v>
      </c>
      <c r="E3457" s="10" t="s">
        <v>34</v>
      </c>
      <c r="H3457" t="s">
        <v>198</v>
      </c>
    </row>
    <row r="3458" spans="1:8" x14ac:dyDescent="0.35">
      <c r="A3458" s="2">
        <v>42825</v>
      </c>
      <c r="B3458" s="70" t="s">
        <v>63</v>
      </c>
      <c r="C3458" s="10">
        <v>66</v>
      </c>
      <c r="D3458">
        <v>239</v>
      </c>
      <c r="E3458" s="10" t="s">
        <v>33</v>
      </c>
      <c r="H3458" t="s">
        <v>198</v>
      </c>
    </row>
    <row r="3459" spans="1:8" x14ac:dyDescent="0.35">
      <c r="A3459" s="2">
        <v>42825</v>
      </c>
      <c r="B3459" s="70" t="s">
        <v>63</v>
      </c>
      <c r="C3459" s="10">
        <v>66</v>
      </c>
      <c r="D3459">
        <v>228</v>
      </c>
      <c r="E3459" s="10" t="s">
        <v>33</v>
      </c>
    </row>
    <row r="3460" spans="1:8" x14ac:dyDescent="0.35">
      <c r="A3460" s="2">
        <v>42825</v>
      </c>
      <c r="B3460" s="70" t="s">
        <v>63</v>
      </c>
      <c r="C3460" s="10">
        <v>67</v>
      </c>
      <c r="D3460">
        <v>269</v>
      </c>
      <c r="E3460" s="10" t="s">
        <v>34</v>
      </c>
    </row>
    <row r="3461" spans="1:8" x14ac:dyDescent="0.35">
      <c r="A3461" s="2">
        <v>42825</v>
      </c>
      <c r="B3461" s="70" t="s">
        <v>63</v>
      </c>
      <c r="C3461" s="10">
        <v>72</v>
      </c>
      <c r="D3461">
        <v>279</v>
      </c>
      <c r="E3461" s="10" t="s">
        <v>33</v>
      </c>
    </row>
    <row r="3462" spans="1:8" x14ac:dyDescent="0.35">
      <c r="A3462" s="2">
        <v>42825</v>
      </c>
      <c r="B3462" s="70" t="s">
        <v>63</v>
      </c>
      <c r="C3462" s="10">
        <v>71</v>
      </c>
      <c r="D3462">
        <v>325</v>
      </c>
      <c r="E3462" s="10" t="s">
        <v>32</v>
      </c>
      <c r="H3462" t="s">
        <v>198</v>
      </c>
    </row>
    <row r="3463" spans="1:8" x14ac:dyDescent="0.35">
      <c r="A3463" s="2">
        <v>42825</v>
      </c>
      <c r="B3463" s="70" t="s">
        <v>63</v>
      </c>
      <c r="C3463" s="10">
        <v>66</v>
      </c>
      <c r="D3463">
        <v>278</v>
      </c>
      <c r="E3463" s="10" t="s">
        <v>33</v>
      </c>
      <c r="H3463" t="s">
        <v>198</v>
      </c>
    </row>
    <row r="3464" spans="1:8" x14ac:dyDescent="0.35">
      <c r="A3464" s="2">
        <v>42825</v>
      </c>
      <c r="B3464" s="70" t="s">
        <v>63</v>
      </c>
      <c r="C3464" s="10">
        <v>72</v>
      </c>
      <c r="D3464">
        <v>298</v>
      </c>
      <c r="E3464" s="10" t="s">
        <v>39</v>
      </c>
      <c r="H3464" t="s">
        <v>293</v>
      </c>
    </row>
    <row r="3465" spans="1:8" x14ac:dyDescent="0.35">
      <c r="A3465" s="2">
        <v>42825</v>
      </c>
      <c r="B3465" s="70" t="s">
        <v>63</v>
      </c>
      <c r="C3465" s="10">
        <v>71</v>
      </c>
      <c r="D3465">
        <v>295</v>
      </c>
      <c r="E3465" s="10" t="s">
        <v>34</v>
      </c>
      <c r="H3465" t="s">
        <v>198</v>
      </c>
    </row>
    <row r="3466" spans="1:8" x14ac:dyDescent="0.35">
      <c r="A3466" s="2">
        <v>42825</v>
      </c>
      <c r="B3466" s="70" t="s">
        <v>63</v>
      </c>
      <c r="C3466" s="10">
        <v>68</v>
      </c>
      <c r="D3466">
        <v>265</v>
      </c>
      <c r="E3466" s="10" t="s">
        <v>34</v>
      </c>
    </row>
    <row r="3467" spans="1:8" x14ac:dyDescent="0.35">
      <c r="A3467" s="2">
        <v>42825</v>
      </c>
      <c r="B3467" s="70" t="s">
        <v>63</v>
      </c>
      <c r="C3467" s="10">
        <v>68</v>
      </c>
      <c r="D3467">
        <v>238</v>
      </c>
      <c r="E3467" s="10" t="s">
        <v>33</v>
      </c>
      <c r="H3467" t="s">
        <v>198</v>
      </c>
    </row>
    <row r="3468" spans="1:8" s="4" customFormat="1" x14ac:dyDescent="0.35">
      <c r="A3468" s="3">
        <v>42825</v>
      </c>
      <c r="B3468" s="44" t="s">
        <v>63</v>
      </c>
      <c r="C3468" s="11">
        <v>67</v>
      </c>
      <c r="D3468" s="4">
        <v>231</v>
      </c>
      <c r="E3468" s="11" t="s">
        <v>34</v>
      </c>
      <c r="H3468" s="4" t="s">
        <v>198</v>
      </c>
    </row>
    <row r="3469" spans="1:8" x14ac:dyDescent="0.35">
      <c r="A3469" s="2">
        <v>42825</v>
      </c>
      <c r="B3469" s="70" t="s">
        <v>113</v>
      </c>
      <c r="C3469" s="10">
        <v>63</v>
      </c>
      <c r="D3469" s="10">
        <v>178</v>
      </c>
      <c r="E3469" s="10" t="s">
        <v>34</v>
      </c>
      <c r="F3469" t="s">
        <v>198</v>
      </c>
    </row>
    <row r="3470" spans="1:8" x14ac:dyDescent="0.35">
      <c r="A3470" s="2">
        <v>42825</v>
      </c>
      <c r="B3470" s="70" t="s">
        <v>113</v>
      </c>
      <c r="C3470" s="10">
        <v>64</v>
      </c>
      <c r="D3470" s="10">
        <v>270</v>
      </c>
      <c r="E3470" s="10" t="s">
        <v>33</v>
      </c>
      <c r="F3470" t="s">
        <v>198</v>
      </c>
    </row>
    <row r="3471" spans="1:8" s="4" customFormat="1" x14ac:dyDescent="0.35">
      <c r="A3471" s="3">
        <v>42825</v>
      </c>
      <c r="B3471" s="44" t="s">
        <v>113</v>
      </c>
      <c r="C3471" s="11">
        <v>65</v>
      </c>
      <c r="D3471" s="11">
        <v>260</v>
      </c>
      <c r="E3471" s="11" t="s">
        <v>34</v>
      </c>
      <c r="F3471" s="4" t="s">
        <v>198</v>
      </c>
    </row>
    <row r="3472" spans="1:8" x14ac:dyDescent="0.35">
      <c r="A3472" s="2">
        <v>42825</v>
      </c>
      <c r="B3472" s="70" t="s">
        <v>102</v>
      </c>
      <c r="C3472" s="10">
        <v>67</v>
      </c>
      <c r="D3472" s="10">
        <v>248</v>
      </c>
      <c r="E3472" s="10" t="s">
        <v>32</v>
      </c>
      <c r="F3472" s="10" t="s">
        <v>198</v>
      </c>
    </row>
    <row r="3473" spans="1:23" s="4" customFormat="1" x14ac:dyDescent="0.35">
      <c r="A3473" s="3">
        <v>42825</v>
      </c>
      <c r="B3473" s="44" t="s">
        <v>102</v>
      </c>
      <c r="C3473" s="4">
        <v>62</v>
      </c>
      <c r="D3473" s="4">
        <v>226</v>
      </c>
      <c r="E3473" s="4" t="s">
        <v>39</v>
      </c>
    </row>
    <row r="3474" spans="1:23" x14ac:dyDescent="0.35">
      <c r="A3474" s="2">
        <v>42825</v>
      </c>
      <c r="B3474" s="70" t="s">
        <v>104</v>
      </c>
      <c r="C3474" s="10">
        <v>105</v>
      </c>
      <c r="D3474" s="10">
        <v>1291</v>
      </c>
      <c r="E3474" s="10" t="s">
        <v>98</v>
      </c>
    </row>
    <row r="3475" spans="1:23" x14ac:dyDescent="0.35">
      <c r="A3475" s="2">
        <v>42825</v>
      </c>
      <c r="B3475" s="70" t="s">
        <v>104</v>
      </c>
      <c r="C3475" s="10">
        <v>122</v>
      </c>
      <c r="D3475" s="10">
        <v>2355</v>
      </c>
      <c r="E3475" s="10" t="s">
        <v>98</v>
      </c>
    </row>
    <row r="3476" spans="1:23" x14ac:dyDescent="0.35">
      <c r="A3476" s="2">
        <v>42825</v>
      </c>
      <c r="B3476" s="70" t="s">
        <v>104</v>
      </c>
      <c r="C3476" s="10">
        <v>63</v>
      </c>
      <c r="D3476" s="10">
        <v>219</v>
      </c>
      <c r="E3476" s="10" t="s">
        <v>32</v>
      </c>
      <c r="F3476" t="s">
        <v>198</v>
      </c>
    </row>
    <row r="3477" spans="1:23" x14ac:dyDescent="0.35">
      <c r="A3477" s="2">
        <v>42825</v>
      </c>
      <c r="B3477" s="70" t="s">
        <v>104</v>
      </c>
      <c r="C3477" s="10">
        <v>68</v>
      </c>
      <c r="D3477" s="10">
        <v>315</v>
      </c>
      <c r="E3477" s="10" t="s">
        <v>34</v>
      </c>
      <c r="F3477" t="s">
        <v>198</v>
      </c>
    </row>
    <row r="3478" spans="1:23" x14ac:dyDescent="0.35">
      <c r="A3478" s="2">
        <v>42825</v>
      </c>
      <c r="B3478" s="70" t="s">
        <v>104</v>
      </c>
      <c r="C3478" s="10">
        <v>65</v>
      </c>
      <c r="D3478" s="10">
        <v>267</v>
      </c>
      <c r="E3478" s="10" t="s">
        <v>39</v>
      </c>
      <c r="I3478" t="s">
        <v>42</v>
      </c>
      <c r="J3478" t="s">
        <v>39</v>
      </c>
      <c r="K3478" t="s">
        <v>40</v>
      </c>
      <c r="L3478" t="s">
        <v>36</v>
      </c>
      <c r="M3478" t="s">
        <v>33</v>
      </c>
      <c r="N3478" t="s">
        <v>34</v>
      </c>
      <c r="O3478" t="s">
        <v>32</v>
      </c>
      <c r="P3478" t="s">
        <v>37</v>
      </c>
      <c r="R3478" t="s">
        <v>43</v>
      </c>
      <c r="S3478" t="s">
        <v>44</v>
      </c>
    </row>
    <row r="3479" spans="1:23" x14ac:dyDescent="0.35">
      <c r="A3479" s="2">
        <v>42825</v>
      </c>
      <c r="B3479" s="70" t="s">
        <v>104</v>
      </c>
      <c r="C3479" s="10">
        <v>70</v>
      </c>
      <c r="D3479" s="10">
        <v>305</v>
      </c>
      <c r="E3479" s="10" t="s">
        <v>34</v>
      </c>
      <c r="F3479" t="s">
        <v>198</v>
      </c>
      <c r="I3479" s="5">
        <f>COUNTIF(E3408:E3480,"VA")</f>
        <v>0</v>
      </c>
      <c r="J3479" s="5">
        <f>COUNTIF(E3409:E3480,"VB")</f>
        <v>6</v>
      </c>
      <c r="K3479" s="5">
        <f>COUNTIF(E3409:E3480,"VIA0")</f>
        <v>0</v>
      </c>
      <c r="L3479" s="5">
        <f>COUNTIF(E3408:E3480,"VIA1")</f>
        <v>2</v>
      </c>
      <c r="M3479" s="5">
        <f>COUNTIF(E3408:E3480,"VIA2")</f>
        <v>20</v>
      </c>
      <c r="N3479" s="5">
        <f>COUNTIF(E3408:E3480,"VIA3")</f>
        <v>34</v>
      </c>
      <c r="O3479" s="5">
        <f>COUNTIF(E3409:E3480,"VIA4")</f>
        <v>6</v>
      </c>
      <c r="P3479" s="5">
        <f>COUNTIF(E3409:E3480,"VIB")</f>
        <v>0</v>
      </c>
      <c r="R3479" s="7">
        <f>AVERAGE(C3476:C3480,C3423:C3473,C3410:C3421)</f>
        <v>68.411764705882348</v>
      </c>
      <c r="S3479" s="7">
        <f>AVERAGE(D3476:D3480,D3423:D3473,D3410:D3421)</f>
        <v>278.10294117647061</v>
      </c>
      <c r="T3479" s="7"/>
      <c r="U3479" s="7" t="e">
        <f>AVERAGE(#REF!,#REF!,#REF!)</f>
        <v>#REF!</v>
      </c>
      <c r="W3479" s="42" t="e">
        <f>AVERAGE(#REF!,#REF!,#REF!)</f>
        <v>#REF!</v>
      </c>
    </row>
    <row r="3480" spans="1:23" s="4" customFormat="1" x14ac:dyDescent="0.35">
      <c r="A3480" s="3">
        <v>42825</v>
      </c>
      <c r="B3480" s="44" t="s">
        <v>104</v>
      </c>
      <c r="C3480" s="11">
        <v>65</v>
      </c>
      <c r="D3480" s="11">
        <v>311</v>
      </c>
      <c r="E3480" s="11" t="s">
        <v>33</v>
      </c>
      <c r="F3480" s="4" t="s">
        <v>293</v>
      </c>
      <c r="I3480" s="6">
        <f>I3479/68*100</f>
        <v>0</v>
      </c>
      <c r="J3480" s="6">
        <f t="shared" ref="J3480:P3480" si="108">J3479/68*100</f>
        <v>8.8235294117647065</v>
      </c>
      <c r="K3480" s="6">
        <f t="shared" si="108"/>
        <v>0</v>
      </c>
      <c r="L3480" s="6">
        <f t="shared" si="108"/>
        <v>2.9411764705882351</v>
      </c>
      <c r="M3480" s="6">
        <f t="shared" si="108"/>
        <v>29.411764705882355</v>
      </c>
      <c r="N3480" s="6">
        <f t="shared" si="108"/>
        <v>50</v>
      </c>
      <c r="O3480" s="6">
        <f t="shared" si="108"/>
        <v>8.8235294117647065</v>
      </c>
      <c r="P3480" s="6">
        <f t="shared" si="108"/>
        <v>0</v>
      </c>
    </row>
    <row r="3481" spans="1:23" x14ac:dyDescent="0.35">
      <c r="A3481" s="2">
        <v>42826</v>
      </c>
      <c r="B3481" s="70" t="s">
        <v>41</v>
      </c>
      <c r="C3481" s="10">
        <v>64</v>
      </c>
      <c r="D3481" s="10">
        <v>211</v>
      </c>
      <c r="E3481" s="10" t="s">
        <v>33</v>
      </c>
      <c r="G3481" t="s">
        <v>320</v>
      </c>
    </row>
    <row r="3482" spans="1:23" x14ac:dyDescent="0.35">
      <c r="A3482" s="2">
        <v>42826</v>
      </c>
      <c r="B3482" s="70" t="s">
        <v>41</v>
      </c>
      <c r="C3482" s="10">
        <v>71</v>
      </c>
      <c r="D3482" s="10">
        <v>332</v>
      </c>
      <c r="E3482" s="10" t="s">
        <v>32</v>
      </c>
      <c r="F3482" t="s">
        <v>198</v>
      </c>
      <c r="G3482" t="s">
        <v>321</v>
      </c>
    </row>
    <row r="3483" spans="1:23" x14ac:dyDescent="0.35">
      <c r="A3483" s="2">
        <v>42826</v>
      </c>
      <c r="B3483" s="70" t="s">
        <v>41</v>
      </c>
      <c r="C3483" s="10">
        <v>70</v>
      </c>
      <c r="D3483" s="10">
        <v>263</v>
      </c>
      <c r="E3483" s="10" t="s">
        <v>33</v>
      </c>
      <c r="F3483" t="s">
        <v>198</v>
      </c>
      <c r="G3483" t="s">
        <v>322</v>
      </c>
    </row>
    <row r="3484" spans="1:23" x14ac:dyDescent="0.35">
      <c r="A3484" s="2">
        <v>42826</v>
      </c>
      <c r="B3484" s="70" t="s">
        <v>41</v>
      </c>
      <c r="C3484" s="10">
        <v>72</v>
      </c>
      <c r="D3484" s="10">
        <v>309</v>
      </c>
      <c r="E3484" s="10" t="s">
        <v>36</v>
      </c>
      <c r="G3484" t="s">
        <v>323</v>
      </c>
    </row>
    <row r="3485" spans="1:23" x14ac:dyDescent="0.35">
      <c r="A3485" s="2">
        <v>42826</v>
      </c>
      <c r="B3485" s="70" t="s">
        <v>41</v>
      </c>
      <c r="C3485" s="10">
        <v>75</v>
      </c>
      <c r="D3485" s="10">
        <v>339</v>
      </c>
      <c r="E3485" s="10" t="s">
        <v>34</v>
      </c>
      <c r="F3485" t="s">
        <v>198</v>
      </c>
      <c r="G3485" t="s">
        <v>324</v>
      </c>
    </row>
    <row r="3486" spans="1:23" x14ac:dyDescent="0.35">
      <c r="A3486" s="2">
        <v>42826</v>
      </c>
      <c r="B3486" s="70" t="s">
        <v>41</v>
      </c>
      <c r="C3486" s="10">
        <v>70</v>
      </c>
      <c r="D3486" s="10">
        <v>277</v>
      </c>
      <c r="E3486" s="10" t="s">
        <v>40</v>
      </c>
    </row>
    <row r="3487" spans="1:23" x14ac:dyDescent="0.35">
      <c r="A3487" s="2">
        <v>42826</v>
      </c>
      <c r="B3487" s="70" t="s">
        <v>41</v>
      </c>
      <c r="C3487" s="10">
        <v>68</v>
      </c>
      <c r="D3487" s="10">
        <v>220</v>
      </c>
      <c r="E3487" s="10" t="s">
        <v>33</v>
      </c>
      <c r="F3487" t="s">
        <v>198</v>
      </c>
    </row>
    <row r="3488" spans="1:23" x14ac:dyDescent="0.35">
      <c r="A3488" s="2">
        <v>42826</v>
      </c>
      <c r="B3488" s="70" t="s">
        <v>41</v>
      </c>
      <c r="C3488" s="10">
        <v>72</v>
      </c>
      <c r="D3488" s="10">
        <v>287</v>
      </c>
      <c r="E3488" s="10" t="s">
        <v>33</v>
      </c>
    </row>
    <row r="3489" spans="1:6" x14ac:dyDescent="0.35">
      <c r="A3489" s="2">
        <v>42826</v>
      </c>
      <c r="B3489" s="70" t="s">
        <v>41</v>
      </c>
      <c r="C3489" s="10">
        <v>73</v>
      </c>
      <c r="D3489" s="10">
        <v>343</v>
      </c>
      <c r="E3489" s="10" t="s">
        <v>36</v>
      </c>
    </row>
    <row r="3490" spans="1:6" x14ac:dyDescent="0.35">
      <c r="A3490" s="2">
        <v>42826</v>
      </c>
      <c r="B3490" s="70" t="s">
        <v>41</v>
      </c>
      <c r="C3490" s="10">
        <v>68</v>
      </c>
      <c r="D3490" s="10">
        <v>256</v>
      </c>
      <c r="E3490" s="10" t="s">
        <v>33</v>
      </c>
      <c r="F3490" t="s">
        <v>198</v>
      </c>
    </row>
    <row r="3491" spans="1:6" x14ac:dyDescent="0.35">
      <c r="A3491" s="2">
        <v>42826</v>
      </c>
      <c r="B3491" s="70" t="s">
        <v>41</v>
      </c>
      <c r="C3491" s="10">
        <v>75</v>
      </c>
      <c r="D3491" s="10">
        <v>334</v>
      </c>
      <c r="E3491" s="10" t="s">
        <v>40</v>
      </c>
    </row>
    <row r="3492" spans="1:6" x14ac:dyDescent="0.35">
      <c r="A3492" s="2">
        <v>42826</v>
      </c>
      <c r="B3492" s="70" t="s">
        <v>41</v>
      </c>
      <c r="C3492" s="10">
        <v>77</v>
      </c>
      <c r="D3492" s="10">
        <v>371</v>
      </c>
      <c r="E3492" s="10" t="s">
        <v>33</v>
      </c>
      <c r="F3492" t="s">
        <v>198</v>
      </c>
    </row>
    <row r="3493" spans="1:6" x14ac:dyDescent="0.35">
      <c r="A3493" s="2">
        <v>42826</v>
      </c>
      <c r="B3493" s="70" t="s">
        <v>41</v>
      </c>
      <c r="C3493" s="10">
        <v>70</v>
      </c>
      <c r="D3493" s="10">
        <v>291</v>
      </c>
      <c r="E3493" s="10" t="s">
        <v>33</v>
      </c>
    </row>
    <row r="3494" spans="1:6" x14ac:dyDescent="0.35">
      <c r="A3494" s="2">
        <v>42826</v>
      </c>
      <c r="B3494" s="70" t="s">
        <v>41</v>
      </c>
      <c r="C3494" s="10">
        <v>74</v>
      </c>
      <c r="D3494" s="10">
        <v>333</v>
      </c>
      <c r="E3494" s="10" t="s">
        <v>36</v>
      </c>
    </row>
    <row r="3495" spans="1:6" x14ac:dyDescent="0.35">
      <c r="A3495" s="2">
        <v>42826</v>
      </c>
      <c r="B3495" s="70" t="s">
        <v>41</v>
      </c>
      <c r="C3495" s="10">
        <v>66</v>
      </c>
      <c r="D3495" s="10">
        <v>269</v>
      </c>
      <c r="E3495" s="10" t="s">
        <v>33</v>
      </c>
      <c r="F3495" t="s">
        <v>198</v>
      </c>
    </row>
    <row r="3496" spans="1:6" x14ac:dyDescent="0.35">
      <c r="A3496" s="2">
        <v>42826</v>
      </c>
      <c r="B3496" s="70" t="s">
        <v>41</v>
      </c>
      <c r="C3496" s="10">
        <v>67</v>
      </c>
      <c r="D3496" s="10">
        <v>263</v>
      </c>
      <c r="E3496" s="10" t="s">
        <v>36</v>
      </c>
    </row>
    <row r="3497" spans="1:6" x14ac:dyDescent="0.35">
      <c r="A3497" s="2">
        <v>42826</v>
      </c>
      <c r="B3497" s="70" t="s">
        <v>41</v>
      </c>
      <c r="C3497" s="10">
        <v>66</v>
      </c>
      <c r="D3497" s="10">
        <v>281</v>
      </c>
      <c r="E3497" s="10" t="s">
        <v>34</v>
      </c>
      <c r="F3497" t="s">
        <v>198</v>
      </c>
    </row>
    <row r="3498" spans="1:6" x14ac:dyDescent="0.35">
      <c r="A3498" s="2">
        <v>42826</v>
      </c>
      <c r="B3498" s="70" t="s">
        <v>41</v>
      </c>
      <c r="C3498" s="10">
        <v>67</v>
      </c>
      <c r="D3498" s="10">
        <v>264</v>
      </c>
      <c r="E3498" s="10" t="s">
        <v>36</v>
      </c>
    </row>
    <row r="3499" spans="1:6" x14ac:dyDescent="0.35">
      <c r="A3499" s="2">
        <v>42826</v>
      </c>
      <c r="B3499" s="70" t="s">
        <v>41</v>
      </c>
      <c r="C3499" s="10">
        <v>64</v>
      </c>
      <c r="D3499" s="10">
        <v>280</v>
      </c>
      <c r="E3499" s="10" t="s">
        <v>40</v>
      </c>
      <c r="F3499" t="s">
        <v>318</v>
      </c>
    </row>
    <row r="3500" spans="1:6" x14ac:dyDescent="0.35">
      <c r="A3500" s="2">
        <v>42826</v>
      </c>
      <c r="B3500" s="70" t="s">
        <v>41</v>
      </c>
      <c r="C3500" s="10">
        <v>70</v>
      </c>
      <c r="D3500" s="10">
        <v>320</v>
      </c>
      <c r="E3500" s="10" t="s">
        <v>40</v>
      </c>
    </row>
    <row r="3501" spans="1:6" x14ac:dyDescent="0.35">
      <c r="A3501" s="2">
        <v>42826</v>
      </c>
      <c r="B3501" s="70" t="s">
        <v>41</v>
      </c>
      <c r="C3501" s="10">
        <v>72</v>
      </c>
      <c r="D3501" s="10">
        <v>330</v>
      </c>
      <c r="E3501" s="10" t="s">
        <v>40</v>
      </c>
      <c r="F3501" t="s">
        <v>198</v>
      </c>
    </row>
    <row r="3502" spans="1:6" x14ac:dyDescent="0.35">
      <c r="A3502" s="2">
        <v>42826</v>
      </c>
      <c r="B3502" s="70" t="s">
        <v>41</v>
      </c>
      <c r="C3502" s="10">
        <v>70</v>
      </c>
      <c r="D3502" s="10">
        <v>268</v>
      </c>
      <c r="E3502" s="10" t="s">
        <v>39</v>
      </c>
    </row>
    <row r="3503" spans="1:6" x14ac:dyDescent="0.35">
      <c r="A3503" s="2">
        <v>42826</v>
      </c>
      <c r="B3503" s="70" t="s">
        <v>41</v>
      </c>
      <c r="C3503" s="10">
        <v>69</v>
      </c>
      <c r="D3503" s="10">
        <v>254</v>
      </c>
      <c r="E3503" s="10" t="s">
        <v>36</v>
      </c>
    </row>
    <row r="3504" spans="1:6" x14ac:dyDescent="0.35">
      <c r="A3504" s="2">
        <v>42826</v>
      </c>
      <c r="B3504" s="70" t="s">
        <v>41</v>
      </c>
      <c r="C3504" s="10">
        <v>68</v>
      </c>
      <c r="D3504" s="10">
        <v>274</v>
      </c>
      <c r="E3504" s="10" t="s">
        <v>32</v>
      </c>
      <c r="F3504" t="s">
        <v>198</v>
      </c>
    </row>
    <row r="3505" spans="1:21" x14ac:dyDescent="0.35">
      <c r="A3505" s="2">
        <v>42826</v>
      </c>
      <c r="B3505" s="70" t="s">
        <v>41</v>
      </c>
      <c r="C3505" s="10">
        <v>63</v>
      </c>
      <c r="D3505" s="10">
        <v>203</v>
      </c>
      <c r="E3505" s="10" t="s">
        <v>40</v>
      </c>
    </row>
    <row r="3506" spans="1:21" x14ac:dyDescent="0.35">
      <c r="A3506" s="2">
        <v>42826</v>
      </c>
      <c r="B3506" s="70" t="s">
        <v>41</v>
      </c>
      <c r="C3506" s="10">
        <v>71</v>
      </c>
      <c r="D3506" s="10">
        <v>290</v>
      </c>
      <c r="E3506" s="10" t="s">
        <v>33</v>
      </c>
    </row>
    <row r="3507" spans="1:21" x14ac:dyDescent="0.35">
      <c r="A3507" s="2">
        <v>42826</v>
      </c>
      <c r="B3507" s="70" t="s">
        <v>41</v>
      </c>
      <c r="C3507" s="10">
        <v>67</v>
      </c>
      <c r="D3507" s="10">
        <v>230</v>
      </c>
      <c r="E3507" s="10" t="s">
        <v>34</v>
      </c>
      <c r="F3507" t="s">
        <v>198</v>
      </c>
    </row>
    <row r="3508" spans="1:21" x14ac:dyDescent="0.35">
      <c r="A3508" s="2">
        <v>42826</v>
      </c>
      <c r="B3508" s="70" t="s">
        <v>41</v>
      </c>
      <c r="C3508" s="10">
        <v>70</v>
      </c>
      <c r="D3508" s="10">
        <v>285</v>
      </c>
      <c r="E3508" s="10" t="s">
        <v>33</v>
      </c>
    </row>
    <row r="3509" spans="1:21" x14ac:dyDescent="0.35">
      <c r="A3509" s="2">
        <v>42826</v>
      </c>
      <c r="B3509" s="70" t="s">
        <v>41</v>
      </c>
      <c r="C3509" s="10">
        <v>68</v>
      </c>
      <c r="D3509" s="10">
        <v>310</v>
      </c>
      <c r="E3509" s="10" t="s">
        <v>39</v>
      </c>
    </row>
    <row r="3510" spans="1:21" x14ac:dyDescent="0.35">
      <c r="A3510" s="2">
        <v>42826</v>
      </c>
      <c r="B3510" s="70" t="s">
        <v>41</v>
      </c>
      <c r="C3510" s="10">
        <v>70</v>
      </c>
      <c r="D3510" s="10">
        <v>332</v>
      </c>
      <c r="E3510" s="10" t="s">
        <v>33</v>
      </c>
      <c r="F3510" t="s">
        <v>319</v>
      </c>
    </row>
    <row r="3511" spans="1:21" x14ac:dyDescent="0.35">
      <c r="A3511" s="2">
        <v>42826</v>
      </c>
      <c r="B3511" s="70" t="s">
        <v>41</v>
      </c>
      <c r="C3511" s="10">
        <v>65</v>
      </c>
      <c r="D3511" s="10">
        <v>223</v>
      </c>
      <c r="E3511" s="10" t="s">
        <v>39</v>
      </c>
    </row>
    <row r="3512" spans="1:21" x14ac:dyDescent="0.35">
      <c r="A3512" s="2">
        <v>42826</v>
      </c>
      <c r="B3512" s="70" t="s">
        <v>41</v>
      </c>
      <c r="C3512" s="10">
        <v>70</v>
      </c>
      <c r="D3512" s="10">
        <v>323</v>
      </c>
      <c r="E3512" s="10" t="s">
        <v>34</v>
      </c>
      <c r="F3512" t="s">
        <v>198</v>
      </c>
    </row>
    <row r="3513" spans="1:21" x14ac:dyDescent="0.35">
      <c r="A3513" s="2">
        <v>42826</v>
      </c>
      <c r="B3513" s="70" t="s">
        <v>41</v>
      </c>
      <c r="C3513" s="10">
        <v>73</v>
      </c>
      <c r="D3513" s="10">
        <v>308</v>
      </c>
      <c r="E3513" s="10" t="s">
        <v>33</v>
      </c>
    </row>
    <row r="3514" spans="1:21" x14ac:dyDescent="0.35">
      <c r="A3514" s="2">
        <v>42826</v>
      </c>
      <c r="B3514" s="70" t="s">
        <v>41</v>
      </c>
      <c r="C3514" s="10">
        <v>75</v>
      </c>
      <c r="D3514" s="10">
        <v>403</v>
      </c>
      <c r="E3514" s="10" t="s">
        <v>33</v>
      </c>
      <c r="I3514" t="s">
        <v>42</v>
      </c>
      <c r="J3514" t="s">
        <v>39</v>
      </c>
      <c r="K3514" t="s">
        <v>40</v>
      </c>
      <c r="L3514" t="s">
        <v>36</v>
      </c>
      <c r="M3514" t="s">
        <v>33</v>
      </c>
      <c r="N3514" t="s">
        <v>34</v>
      </c>
      <c r="O3514" t="s">
        <v>32</v>
      </c>
      <c r="P3514" t="s">
        <v>37</v>
      </c>
      <c r="R3514" t="s">
        <v>43</v>
      </c>
      <c r="S3514" t="s">
        <v>44</v>
      </c>
    </row>
    <row r="3515" spans="1:21" x14ac:dyDescent="0.35">
      <c r="A3515" s="2">
        <v>42826</v>
      </c>
      <c r="B3515" s="70" t="s">
        <v>41</v>
      </c>
      <c r="C3515" s="10">
        <v>71</v>
      </c>
      <c r="D3515" s="10">
        <v>254</v>
      </c>
      <c r="E3515" s="10" t="s">
        <v>34</v>
      </c>
      <c r="F3515" t="s">
        <v>198</v>
      </c>
      <c r="I3515" s="5">
        <f>COUNTIF(E3481:E3516,"VA")</f>
        <v>0</v>
      </c>
      <c r="J3515" s="5">
        <f>COUNTIF(E3481:E3516,"VB")</f>
        <v>3</v>
      </c>
      <c r="K3515" s="5">
        <f>COUNTIF(E3481:E3516,"VIA0")</f>
        <v>7</v>
      </c>
      <c r="L3515" s="5">
        <f>COUNTIF(E3481:E3516,"VIA1")</f>
        <v>6</v>
      </c>
      <c r="M3515" s="5">
        <f>COUNTIF(E3481:E3516,"VIA2")</f>
        <v>13</v>
      </c>
      <c r="N3515" s="5">
        <f>COUNTIF(E3481:E3516,"VIA3")</f>
        <v>5</v>
      </c>
      <c r="O3515" s="5">
        <f>COUNTIF(E3481:E3516,"VIA4")</f>
        <v>2</v>
      </c>
      <c r="P3515" s="5">
        <f>COUNTIF(E3481:E3516,"VIB")</f>
        <v>0</v>
      </c>
      <c r="R3515" s="7">
        <f>AVERAGE(C3481:C3516)</f>
        <v>69.666666666666671</v>
      </c>
      <c r="S3515" s="7">
        <f>AVERAGE(D3481:D3516)</f>
        <v>287.83333333333331</v>
      </c>
      <c r="T3515" s="7"/>
      <c r="U3515" s="7" t="e">
        <f>AVERAGE(#REF!)</f>
        <v>#REF!</v>
      </c>
    </row>
    <row r="3516" spans="1:21" s="4" customFormat="1" x14ac:dyDescent="0.35">
      <c r="A3516" s="3">
        <v>42826</v>
      </c>
      <c r="B3516" s="44" t="s">
        <v>41</v>
      </c>
      <c r="C3516" s="11">
        <v>67</v>
      </c>
      <c r="D3516" s="11">
        <v>232</v>
      </c>
      <c r="E3516" s="11" t="s">
        <v>40</v>
      </c>
      <c r="I3516" s="6">
        <f>I3515/36*100</f>
        <v>0</v>
      </c>
      <c r="J3516" s="6">
        <f t="shared" ref="J3516:P3516" si="109">J3515/36*100</f>
        <v>8.3333333333333321</v>
      </c>
      <c r="K3516" s="6">
        <f t="shared" si="109"/>
        <v>19.444444444444446</v>
      </c>
      <c r="L3516" s="6">
        <f t="shared" si="109"/>
        <v>16.666666666666664</v>
      </c>
      <c r="M3516" s="6">
        <f t="shared" si="109"/>
        <v>36.111111111111107</v>
      </c>
      <c r="N3516" s="6">
        <f t="shared" si="109"/>
        <v>13.888888888888889</v>
      </c>
      <c r="O3516" s="6">
        <f t="shared" si="109"/>
        <v>5.5555555555555554</v>
      </c>
      <c r="P3516" s="6">
        <f t="shared" si="109"/>
        <v>0</v>
      </c>
    </row>
    <row r="3517" spans="1:21" x14ac:dyDescent="0.35">
      <c r="A3517" s="2">
        <v>42828</v>
      </c>
      <c r="B3517" s="70" t="s">
        <v>29</v>
      </c>
      <c r="C3517" s="10">
        <v>122</v>
      </c>
      <c r="D3517" s="10">
        <v>1946</v>
      </c>
      <c r="E3517" s="10" t="s">
        <v>98</v>
      </c>
    </row>
    <row r="3518" spans="1:21" x14ac:dyDescent="0.35">
      <c r="A3518" s="2">
        <v>42828</v>
      </c>
      <c r="B3518" s="70" t="s">
        <v>29</v>
      </c>
      <c r="C3518" s="10">
        <v>111</v>
      </c>
      <c r="D3518" s="10">
        <v>1721</v>
      </c>
      <c r="E3518" s="10" t="s">
        <v>98</v>
      </c>
    </row>
    <row r="3519" spans="1:21" x14ac:dyDescent="0.35">
      <c r="A3519" s="2">
        <v>42828</v>
      </c>
      <c r="B3519" s="70" t="s">
        <v>29</v>
      </c>
      <c r="C3519" s="10">
        <v>112</v>
      </c>
      <c r="D3519" s="10">
        <v>1341</v>
      </c>
      <c r="E3519" s="10" t="s">
        <v>98</v>
      </c>
    </row>
    <row r="3520" spans="1:21" x14ac:dyDescent="0.35">
      <c r="A3520" s="2">
        <v>42828</v>
      </c>
      <c r="B3520" s="70" t="s">
        <v>29</v>
      </c>
      <c r="C3520" s="10">
        <v>68</v>
      </c>
      <c r="D3520" s="10">
        <v>266</v>
      </c>
      <c r="E3520" s="10" t="s">
        <v>33</v>
      </c>
    </row>
    <row r="3521" spans="1:7" x14ac:dyDescent="0.35">
      <c r="A3521" s="2">
        <v>42828</v>
      </c>
      <c r="B3521" s="70" t="s">
        <v>29</v>
      </c>
      <c r="C3521" s="10">
        <v>75</v>
      </c>
      <c r="D3521" s="10">
        <v>383</v>
      </c>
      <c r="E3521" s="10" t="s">
        <v>32</v>
      </c>
    </row>
    <row r="3522" spans="1:7" x14ac:dyDescent="0.35">
      <c r="A3522" s="2">
        <v>42828</v>
      </c>
      <c r="B3522" s="70" t="s">
        <v>29</v>
      </c>
      <c r="C3522" s="10">
        <v>71</v>
      </c>
      <c r="D3522" s="10">
        <v>317</v>
      </c>
      <c r="E3522" s="10" t="s">
        <v>34</v>
      </c>
      <c r="F3522" t="s">
        <v>293</v>
      </c>
    </row>
    <row r="3523" spans="1:7" x14ac:dyDescent="0.35">
      <c r="A3523" s="2">
        <v>42828</v>
      </c>
      <c r="B3523" s="70" t="s">
        <v>29</v>
      </c>
      <c r="C3523" s="10">
        <v>65</v>
      </c>
      <c r="D3523" s="10">
        <v>237</v>
      </c>
      <c r="E3523" s="10" t="s">
        <v>32</v>
      </c>
      <c r="F3523" t="s">
        <v>198</v>
      </c>
    </row>
    <row r="3524" spans="1:7" x14ac:dyDescent="0.35">
      <c r="A3524" s="2">
        <v>42828</v>
      </c>
      <c r="B3524" s="70" t="s">
        <v>29</v>
      </c>
      <c r="C3524" s="10">
        <v>63</v>
      </c>
      <c r="D3524" s="10">
        <v>196</v>
      </c>
      <c r="E3524" s="10" t="s">
        <v>32</v>
      </c>
    </row>
    <row r="3525" spans="1:7" x14ac:dyDescent="0.35">
      <c r="A3525" s="2">
        <v>42828</v>
      </c>
      <c r="B3525" s="70" t="s">
        <v>29</v>
      </c>
      <c r="C3525" s="10">
        <v>70</v>
      </c>
      <c r="D3525" s="10">
        <v>298</v>
      </c>
      <c r="E3525" s="10" t="s">
        <v>34</v>
      </c>
    </row>
    <row r="3526" spans="1:7" x14ac:dyDescent="0.35">
      <c r="A3526" s="2">
        <v>42828</v>
      </c>
      <c r="B3526" s="70" t="s">
        <v>29</v>
      </c>
      <c r="C3526" s="10">
        <v>72</v>
      </c>
      <c r="D3526" s="10">
        <v>261</v>
      </c>
      <c r="E3526" s="10" t="s">
        <v>32</v>
      </c>
      <c r="F3526" t="s">
        <v>198</v>
      </c>
    </row>
    <row r="3527" spans="1:7" x14ac:dyDescent="0.35">
      <c r="A3527" s="2">
        <v>42828</v>
      </c>
      <c r="B3527" s="70" t="s">
        <v>29</v>
      </c>
      <c r="C3527" s="10">
        <v>66</v>
      </c>
      <c r="D3527" s="10">
        <v>242</v>
      </c>
      <c r="E3527" s="10" t="s">
        <v>34</v>
      </c>
    </row>
    <row r="3528" spans="1:7" x14ac:dyDescent="0.35">
      <c r="A3528" s="2">
        <v>42828</v>
      </c>
      <c r="B3528" s="70" t="s">
        <v>29</v>
      </c>
      <c r="C3528" s="10">
        <v>70</v>
      </c>
      <c r="D3528" s="10">
        <v>276</v>
      </c>
      <c r="E3528" s="10" t="s">
        <v>34</v>
      </c>
      <c r="F3528" t="s">
        <v>198</v>
      </c>
    </row>
    <row r="3529" spans="1:7" x14ac:dyDescent="0.35">
      <c r="A3529" s="2">
        <v>42828</v>
      </c>
      <c r="B3529" s="70" t="s">
        <v>29</v>
      </c>
      <c r="C3529" s="10">
        <v>69</v>
      </c>
      <c r="D3529" s="10">
        <v>264</v>
      </c>
      <c r="E3529" s="10" t="s">
        <v>32</v>
      </c>
      <c r="F3529" t="s">
        <v>198</v>
      </c>
      <c r="G3529" t="s">
        <v>325</v>
      </c>
    </row>
    <row r="3530" spans="1:7" x14ac:dyDescent="0.35">
      <c r="A3530" s="2">
        <v>42828</v>
      </c>
      <c r="B3530" s="70" t="s">
        <v>29</v>
      </c>
      <c r="C3530" s="10">
        <v>68</v>
      </c>
      <c r="D3530" s="10">
        <v>205</v>
      </c>
      <c r="E3530" s="10" t="s">
        <v>32</v>
      </c>
    </row>
    <row r="3531" spans="1:7" x14ac:dyDescent="0.35">
      <c r="A3531" s="2">
        <v>42828</v>
      </c>
      <c r="B3531" s="70" t="s">
        <v>29</v>
      </c>
      <c r="C3531" s="10">
        <v>64</v>
      </c>
      <c r="D3531" s="10">
        <v>197</v>
      </c>
      <c r="E3531" s="10" t="s">
        <v>32</v>
      </c>
    </row>
    <row r="3532" spans="1:7" x14ac:dyDescent="0.35">
      <c r="A3532" s="2">
        <v>42828</v>
      </c>
      <c r="B3532" s="70" t="s">
        <v>29</v>
      </c>
      <c r="C3532" s="10">
        <v>75</v>
      </c>
      <c r="D3532" s="10">
        <v>405</v>
      </c>
      <c r="E3532" s="10" t="s">
        <v>34</v>
      </c>
      <c r="F3532" t="s">
        <v>198</v>
      </c>
    </row>
    <row r="3533" spans="1:7" x14ac:dyDescent="0.35">
      <c r="A3533" s="2">
        <v>42828</v>
      </c>
      <c r="B3533" s="70" t="s">
        <v>29</v>
      </c>
      <c r="C3533" s="10">
        <v>66</v>
      </c>
      <c r="D3533" s="10">
        <v>208</v>
      </c>
      <c r="E3533" s="10" t="s">
        <v>34</v>
      </c>
    </row>
    <row r="3534" spans="1:7" x14ac:dyDescent="0.35">
      <c r="A3534" s="2">
        <v>42828</v>
      </c>
      <c r="B3534" s="70" t="s">
        <v>29</v>
      </c>
      <c r="C3534" s="10">
        <v>66</v>
      </c>
      <c r="D3534" s="10">
        <v>218</v>
      </c>
      <c r="E3534" s="10" t="s">
        <v>32</v>
      </c>
    </row>
    <row r="3535" spans="1:7" x14ac:dyDescent="0.35">
      <c r="A3535" s="2">
        <v>42828</v>
      </c>
      <c r="B3535" s="70" t="s">
        <v>29</v>
      </c>
      <c r="C3535" s="10">
        <v>77</v>
      </c>
      <c r="D3535" s="10">
        <v>324</v>
      </c>
      <c r="E3535" s="10" t="s">
        <v>34</v>
      </c>
      <c r="F3535" t="s">
        <v>198</v>
      </c>
    </row>
    <row r="3536" spans="1:7" x14ac:dyDescent="0.35">
      <c r="A3536" s="2">
        <v>42828</v>
      </c>
      <c r="B3536" s="70" t="s">
        <v>29</v>
      </c>
      <c r="C3536" s="10">
        <v>70</v>
      </c>
      <c r="D3536" s="10">
        <v>244</v>
      </c>
      <c r="E3536" s="10" t="s">
        <v>32</v>
      </c>
      <c r="F3536" t="s">
        <v>198</v>
      </c>
    </row>
    <row r="3537" spans="1:6" x14ac:dyDescent="0.35">
      <c r="A3537" s="2">
        <v>42828</v>
      </c>
      <c r="B3537" s="70" t="s">
        <v>29</v>
      </c>
      <c r="C3537" s="10">
        <v>69</v>
      </c>
      <c r="D3537" s="10">
        <v>251</v>
      </c>
      <c r="E3537" s="10" t="s">
        <v>34</v>
      </c>
    </row>
    <row r="3538" spans="1:6" x14ac:dyDescent="0.35">
      <c r="A3538" s="2">
        <v>42828</v>
      </c>
      <c r="B3538" s="70" t="s">
        <v>29</v>
      </c>
      <c r="C3538" s="10">
        <v>69</v>
      </c>
      <c r="D3538" s="10">
        <v>243</v>
      </c>
      <c r="E3538" s="10" t="s">
        <v>34</v>
      </c>
    </row>
    <row r="3539" spans="1:6" x14ac:dyDescent="0.35">
      <c r="A3539" s="2">
        <v>42828</v>
      </c>
      <c r="B3539" s="70" t="s">
        <v>29</v>
      </c>
      <c r="C3539" s="10">
        <v>70</v>
      </c>
      <c r="D3539" s="10">
        <v>252</v>
      </c>
      <c r="E3539" s="10" t="s">
        <v>34</v>
      </c>
    </row>
    <row r="3540" spans="1:6" x14ac:dyDescent="0.35">
      <c r="A3540" s="2">
        <v>42828</v>
      </c>
      <c r="B3540" s="70" t="s">
        <v>29</v>
      </c>
      <c r="C3540" s="10">
        <v>67</v>
      </c>
      <c r="D3540" s="10">
        <v>224</v>
      </c>
      <c r="E3540" s="10" t="s">
        <v>34</v>
      </c>
    </row>
    <row r="3541" spans="1:6" x14ac:dyDescent="0.35">
      <c r="A3541" s="2">
        <v>42828</v>
      </c>
      <c r="B3541" s="70" t="s">
        <v>29</v>
      </c>
      <c r="C3541" s="10">
        <v>72</v>
      </c>
      <c r="D3541" s="10">
        <v>308</v>
      </c>
      <c r="E3541" s="10" t="s">
        <v>34</v>
      </c>
    </row>
    <row r="3542" spans="1:6" x14ac:dyDescent="0.35">
      <c r="A3542" s="2">
        <v>42828</v>
      </c>
      <c r="B3542" s="70" t="s">
        <v>29</v>
      </c>
      <c r="C3542" s="10">
        <v>67</v>
      </c>
      <c r="D3542" s="10">
        <v>237</v>
      </c>
      <c r="E3542" s="10" t="s">
        <v>33</v>
      </c>
      <c r="F3542" t="s">
        <v>198</v>
      </c>
    </row>
    <row r="3543" spans="1:6" x14ac:dyDescent="0.35">
      <c r="A3543" s="2">
        <v>42828</v>
      </c>
      <c r="B3543" s="70" t="s">
        <v>29</v>
      </c>
      <c r="C3543" s="10">
        <v>68</v>
      </c>
      <c r="D3543" s="10">
        <v>278</v>
      </c>
      <c r="E3543" s="10" t="s">
        <v>34</v>
      </c>
    </row>
    <row r="3544" spans="1:6" x14ac:dyDescent="0.35">
      <c r="A3544" s="2">
        <v>42828</v>
      </c>
      <c r="B3544" s="70" t="s">
        <v>29</v>
      </c>
      <c r="C3544" s="10">
        <v>66</v>
      </c>
      <c r="D3544" s="10">
        <v>219</v>
      </c>
      <c r="E3544" s="10" t="s">
        <v>34</v>
      </c>
    </row>
    <row r="3545" spans="1:6" x14ac:dyDescent="0.35">
      <c r="A3545" s="2">
        <v>42828</v>
      </c>
      <c r="B3545" s="70" t="s">
        <v>29</v>
      </c>
      <c r="C3545" s="10">
        <v>61</v>
      </c>
      <c r="D3545" s="10">
        <v>193</v>
      </c>
      <c r="E3545" s="10" t="s">
        <v>34</v>
      </c>
      <c r="F3545" t="s">
        <v>326</v>
      </c>
    </row>
    <row r="3546" spans="1:6" x14ac:dyDescent="0.35">
      <c r="A3546" s="2">
        <v>42828</v>
      </c>
      <c r="B3546" s="70" t="s">
        <v>29</v>
      </c>
      <c r="C3546" s="10">
        <v>71</v>
      </c>
      <c r="D3546" s="10">
        <v>314</v>
      </c>
      <c r="E3546" s="10" t="s">
        <v>32</v>
      </c>
      <c r="F3546" t="s">
        <v>198</v>
      </c>
    </row>
    <row r="3547" spans="1:6" x14ac:dyDescent="0.35">
      <c r="A3547" s="2">
        <v>42828</v>
      </c>
      <c r="B3547" s="70" t="s">
        <v>29</v>
      </c>
      <c r="C3547" s="10">
        <v>68</v>
      </c>
      <c r="D3547" s="10">
        <v>222</v>
      </c>
      <c r="E3547" s="10" t="s">
        <v>34</v>
      </c>
    </row>
    <row r="3548" spans="1:6" x14ac:dyDescent="0.35">
      <c r="A3548" s="2">
        <v>42828</v>
      </c>
      <c r="B3548" s="70" t="s">
        <v>29</v>
      </c>
      <c r="C3548" s="10">
        <v>68</v>
      </c>
      <c r="D3548" s="10">
        <v>259</v>
      </c>
      <c r="E3548" s="10" t="s">
        <v>32</v>
      </c>
    </row>
    <row r="3549" spans="1:6" x14ac:dyDescent="0.35">
      <c r="A3549" s="2">
        <v>42828</v>
      </c>
      <c r="B3549" s="70" t="s">
        <v>29</v>
      </c>
      <c r="C3549" s="10">
        <v>65</v>
      </c>
      <c r="D3549" s="10">
        <v>236</v>
      </c>
      <c r="E3549" s="10" t="s">
        <v>33</v>
      </c>
    </row>
    <row r="3550" spans="1:6" x14ac:dyDescent="0.35">
      <c r="A3550" s="2">
        <v>42828</v>
      </c>
      <c r="B3550" s="70" t="s">
        <v>29</v>
      </c>
      <c r="C3550" s="10">
        <v>64</v>
      </c>
      <c r="D3550" s="10">
        <v>196</v>
      </c>
      <c r="E3550" s="10" t="s">
        <v>40</v>
      </c>
    </row>
    <row r="3551" spans="1:6" x14ac:dyDescent="0.35">
      <c r="A3551" s="2">
        <v>42828</v>
      </c>
      <c r="B3551" s="70" t="s">
        <v>29</v>
      </c>
      <c r="C3551" s="10">
        <v>70</v>
      </c>
      <c r="D3551" s="10">
        <v>218</v>
      </c>
      <c r="E3551" s="10" t="s">
        <v>34</v>
      </c>
      <c r="F3551" t="s">
        <v>198</v>
      </c>
    </row>
    <row r="3552" spans="1:6" x14ac:dyDescent="0.35">
      <c r="A3552" s="2">
        <v>42828</v>
      </c>
      <c r="B3552" s="70" t="s">
        <v>29</v>
      </c>
      <c r="C3552" s="10">
        <v>66</v>
      </c>
      <c r="D3552" s="10">
        <v>242</v>
      </c>
      <c r="E3552" s="10" t="s">
        <v>34</v>
      </c>
    </row>
    <row r="3553" spans="1:21" x14ac:dyDescent="0.35">
      <c r="A3553" s="2">
        <v>42828</v>
      </c>
      <c r="B3553" s="70" t="s">
        <v>29</v>
      </c>
      <c r="C3553" s="10">
        <v>68</v>
      </c>
      <c r="D3553" s="10">
        <v>241</v>
      </c>
      <c r="E3553" s="10" t="s">
        <v>34</v>
      </c>
    </row>
    <row r="3554" spans="1:21" x14ac:dyDescent="0.35">
      <c r="A3554" s="2">
        <v>42828</v>
      </c>
      <c r="B3554" s="70" t="s">
        <v>29</v>
      </c>
      <c r="C3554" s="10">
        <v>76</v>
      </c>
      <c r="D3554" s="10">
        <v>296</v>
      </c>
      <c r="E3554" s="10" t="s">
        <v>32</v>
      </c>
      <c r="F3554" t="s">
        <v>293</v>
      </c>
    </row>
    <row r="3555" spans="1:21" x14ac:dyDescent="0.35">
      <c r="A3555" s="2">
        <v>42828</v>
      </c>
      <c r="B3555" s="70" t="s">
        <v>29</v>
      </c>
      <c r="C3555" s="10">
        <v>67</v>
      </c>
      <c r="D3555" s="10">
        <v>243</v>
      </c>
      <c r="E3555" s="10" t="s">
        <v>34</v>
      </c>
    </row>
    <row r="3556" spans="1:21" x14ac:dyDescent="0.35">
      <c r="A3556" s="2">
        <v>42828</v>
      </c>
      <c r="B3556" s="70" t="s">
        <v>29</v>
      </c>
      <c r="C3556" s="10">
        <v>76</v>
      </c>
      <c r="D3556" s="10">
        <v>390</v>
      </c>
      <c r="E3556" s="10" t="s">
        <v>34</v>
      </c>
    </row>
    <row r="3557" spans="1:21" x14ac:dyDescent="0.35">
      <c r="A3557" s="2">
        <v>42828</v>
      </c>
      <c r="B3557" s="70" t="s">
        <v>29</v>
      </c>
      <c r="C3557" s="10">
        <v>73</v>
      </c>
      <c r="D3557" s="10">
        <v>333</v>
      </c>
      <c r="E3557" s="10" t="s">
        <v>32</v>
      </c>
    </row>
    <row r="3558" spans="1:21" x14ac:dyDescent="0.35">
      <c r="A3558" s="2">
        <v>42828</v>
      </c>
      <c r="B3558" s="70" t="s">
        <v>29</v>
      </c>
      <c r="C3558" s="10">
        <v>66</v>
      </c>
      <c r="D3558" s="10">
        <v>217</v>
      </c>
      <c r="E3558" s="10" t="s">
        <v>34</v>
      </c>
    </row>
    <row r="3559" spans="1:21" x14ac:dyDescent="0.35">
      <c r="A3559" s="2">
        <v>42828</v>
      </c>
      <c r="B3559" s="70" t="s">
        <v>29</v>
      </c>
      <c r="C3559" s="10">
        <v>70</v>
      </c>
      <c r="D3559" s="10">
        <v>254</v>
      </c>
      <c r="E3559" s="10" t="s">
        <v>34</v>
      </c>
    </row>
    <row r="3560" spans="1:21" x14ac:dyDescent="0.35">
      <c r="A3560" s="2">
        <v>42828</v>
      </c>
      <c r="B3560" s="70" t="s">
        <v>29</v>
      </c>
      <c r="C3560" s="10">
        <v>68</v>
      </c>
      <c r="D3560" s="10">
        <v>222</v>
      </c>
      <c r="E3560" s="10" t="s">
        <v>34</v>
      </c>
    </row>
    <row r="3561" spans="1:21" x14ac:dyDescent="0.35">
      <c r="A3561" s="2">
        <v>42828</v>
      </c>
      <c r="B3561" s="70" t="s">
        <v>29</v>
      </c>
      <c r="C3561" s="10">
        <v>68</v>
      </c>
      <c r="D3561" s="10">
        <v>233</v>
      </c>
      <c r="E3561" s="10" t="s">
        <v>32</v>
      </c>
    </row>
    <row r="3562" spans="1:21" x14ac:dyDescent="0.35">
      <c r="A3562" s="2">
        <v>42828</v>
      </c>
      <c r="B3562" s="70" t="s">
        <v>29</v>
      </c>
      <c r="C3562" s="10">
        <v>72</v>
      </c>
      <c r="D3562" s="10">
        <v>324</v>
      </c>
      <c r="E3562" s="10" t="s">
        <v>34</v>
      </c>
    </row>
    <row r="3563" spans="1:21" x14ac:dyDescent="0.35">
      <c r="A3563" s="2">
        <v>42828</v>
      </c>
      <c r="B3563" s="70" t="s">
        <v>29</v>
      </c>
      <c r="C3563" s="10">
        <v>67</v>
      </c>
      <c r="D3563" s="10">
        <v>231</v>
      </c>
      <c r="E3563" s="10" t="s">
        <v>34</v>
      </c>
    </row>
    <row r="3564" spans="1:21" x14ac:dyDescent="0.35">
      <c r="A3564" s="2">
        <v>42828</v>
      </c>
      <c r="B3564" s="70" t="s">
        <v>29</v>
      </c>
      <c r="C3564" s="10">
        <v>66</v>
      </c>
      <c r="D3564" s="10">
        <v>236</v>
      </c>
      <c r="E3564" s="10" t="s">
        <v>34</v>
      </c>
    </row>
    <row r="3565" spans="1:21" x14ac:dyDescent="0.35">
      <c r="A3565" s="2">
        <v>42828</v>
      </c>
      <c r="B3565" s="70" t="s">
        <v>29</v>
      </c>
      <c r="C3565" s="10">
        <v>70</v>
      </c>
      <c r="D3565" s="10">
        <v>321</v>
      </c>
      <c r="E3565" s="10" t="s">
        <v>36</v>
      </c>
    </row>
    <row r="3566" spans="1:21" x14ac:dyDescent="0.35">
      <c r="A3566" s="2">
        <v>42828</v>
      </c>
      <c r="B3566" s="70" t="s">
        <v>29</v>
      </c>
      <c r="C3566" s="10">
        <v>68</v>
      </c>
      <c r="D3566" s="10">
        <v>235</v>
      </c>
      <c r="E3566" s="10" t="s">
        <v>33</v>
      </c>
      <c r="F3566" t="s">
        <v>293</v>
      </c>
    </row>
    <row r="3567" spans="1:21" x14ac:dyDescent="0.35">
      <c r="A3567" s="2">
        <v>42828</v>
      </c>
      <c r="B3567" s="70" t="s">
        <v>29</v>
      </c>
      <c r="C3567" s="10">
        <v>67</v>
      </c>
      <c r="D3567" s="10">
        <v>224</v>
      </c>
      <c r="E3567" s="10" t="s">
        <v>34</v>
      </c>
      <c r="F3567" t="s">
        <v>293</v>
      </c>
      <c r="I3567" t="s">
        <v>42</v>
      </c>
      <c r="J3567" t="s">
        <v>39</v>
      </c>
      <c r="K3567" t="s">
        <v>40</v>
      </c>
      <c r="L3567" t="s">
        <v>36</v>
      </c>
      <c r="M3567" t="s">
        <v>33</v>
      </c>
      <c r="N3567" t="s">
        <v>34</v>
      </c>
      <c r="O3567" t="s">
        <v>32</v>
      </c>
      <c r="P3567" t="s">
        <v>37</v>
      </c>
      <c r="R3567" t="s">
        <v>43</v>
      </c>
      <c r="S3567" t="s">
        <v>44</v>
      </c>
    </row>
    <row r="3568" spans="1:21" x14ac:dyDescent="0.35">
      <c r="A3568" s="2">
        <v>42828</v>
      </c>
      <c r="B3568" s="70" t="s">
        <v>29</v>
      </c>
      <c r="C3568" s="10">
        <v>64</v>
      </c>
      <c r="D3568" s="10">
        <v>202</v>
      </c>
      <c r="E3568" s="10" t="s">
        <v>34</v>
      </c>
      <c r="I3568" s="5">
        <f>COUNTIF(E3520:E3569,"VA")</f>
        <v>0</v>
      </c>
      <c r="J3568" s="5">
        <f>COUNTIF(E3519:E3569,"VB")</f>
        <v>0</v>
      </c>
      <c r="K3568" s="5">
        <f>COUNTIF(E3519:E3569,"VIA0")</f>
        <v>1</v>
      </c>
      <c r="L3568" s="5">
        <f>COUNTIF(E3519:E3569,"VIA1")</f>
        <v>1</v>
      </c>
      <c r="M3568" s="5">
        <f>COUNTIF(E3519:E3569,"VIA2")</f>
        <v>4</v>
      </c>
      <c r="N3568" s="5">
        <f>COUNTIF(E3519:E3569,"VIA3")</f>
        <v>29</v>
      </c>
      <c r="O3568" s="5">
        <f>COUNTIF(E3519:E3569,"VIA4")</f>
        <v>15</v>
      </c>
      <c r="P3568" s="5">
        <f>COUNTIF(E3464:E3569,"VIB")</f>
        <v>0</v>
      </c>
      <c r="R3568" s="7">
        <f>AVERAGE(C3520:C3569)</f>
        <v>68.58</v>
      </c>
      <c r="S3568" s="7">
        <f>AVERAGE(D3520:D3569)</f>
        <v>258.02</v>
      </c>
      <c r="T3568" s="7"/>
      <c r="U3568" s="7" t="e">
        <f>AVERAGE(#REF!)</f>
        <v>#REF!</v>
      </c>
    </row>
    <row r="3569" spans="1:16" s="4" customFormat="1" x14ac:dyDescent="0.35">
      <c r="A3569" s="3">
        <v>42828</v>
      </c>
      <c r="B3569" s="44" t="s">
        <v>29</v>
      </c>
      <c r="C3569" s="11">
        <v>67</v>
      </c>
      <c r="D3569" s="11">
        <v>266</v>
      </c>
      <c r="E3569" s="11" t="s">
        <v>32</v>
      </c>
      <c r="I3569" s="6">
        <f t="shared" ref="I3569:O3569" si="110">I3568/50*100</f>
        <v>0</v>
      </c>
      <c r="J3569" s="6">
        <f t="shared" si="110"/>
        <v>0</v>
      </c>
      <c r="K3569" s="6">
        <f t="shared" si="110"/>
        <v>2</v>
      </c>
      <c r="L3569" s="6">
        <f t="shared" si="110"/>
        <v>2</v>
      </c>
      <c r="M3569" s="6">
        <f t="shared" si="110"/>
        <v>8</v>
      </c>
      <c r="N3569" s="6">
        <f t="shared" si="110"/>
        <v>57.999999999999993</v>
      </c>
      <c r="O3569" s="6">
        <f t="shared" si="110"/>
        <v>30</v>
      </c>
      <c r="P3569" s="6">
        <f t="shared" ref="P3569" si="111">P3568/99*100</f>
        <v>0</v>
      </c>
    </row>
    <row r="3570" spans="1:16" x14ac:dyDescent="0.35">
      <c r="A3570" s="2">
        <v>42828</v>
      </c>
      <c r="B3570" s="70" t="s">
        <v>38</v>
      </c>
      <c r="C3570" s="10">
        <v>105</v>
      </c>
      <c r="D3570" s="10">
        <v>1444</v>
      </c>
      <c r="E3570" s="10" t="s">
        <v>98</v>
      </c>
    </row>
    <row r="3571" spans="1:16" x14ac:dyDescent="0.35">
      <c r="A3571" s="2">
        <v>42828</v>
      </c>
      <c r="B3571" s="70" t="s">
        <v>38</v>
      </c>
      <c r="C3571" s="10">
        <v>138</v>
      </c>
      <c r="D3571">
        <v>3142</v>
      </c>
      <c r="E3571" s="10" t="s">
        <v>98</v>
      </c>
    </row>
    <row r="3572" spans="1:16" x14ac:dyDescent="0.35">
      <c r="A3572" s="2">
        <v>42828</v>
      </c>
      <c r="B3572" s="70" t="s">
        <v>38</v>
      </c>
      <c r="C3572" s="10">
        <v>93</v>
      </c>
      <c r="D3572">
        <v>1002</v>
      </c>
      <c r="E3572" s="10" t="s">
        <v>98</v>
      </c>
    </row>
    <row r="3573" spans="1:16" x14ac:dyDescent="0.35">
      <c r="A3573" s="2">
        <v>42828</v>
      </c>
      <c r="B3573" s="70" t="s">
        <v>38</v>
      </c>
      <c r="C3573" s="10">
        <v>93</v>
      </c>
      <c r="D3573">
        <v>844</v>
      </c>
      <c r="E3573" s="10" t="s">
        <v>98</v>
      </c>
    </row>
    <row r="3574" spans="1:16" x14ac:dyDescent="0.35">
      <c r="A3574" s="2">
        <v>42828</v>
      </c>
      <c r="B3574" s="70" t="s">
        <v>38</v>
      </c>
      <c r="C3574" s="10">
        <v>113</v>
      </c>
      <c r="D3574">
        <v>1481</v>
      </c>
      <c r="E3574" s="10" t="s">
        <v>98</v>
      </c>
    </row>
    <row r="3575" spans="1:16" x14ac:dyDescent="0.35">
      <c r="A3575" s="2">
        <v>42828</v>
      </c>
      <c r="B3575" s="70" t="s">
        <v>38</v>
      </c>
      <c r="C3575" s="10">
        <v>72</v>
      </c>
      <c r="D3575">
        <v>328</v>
      </c>
      <c r="E3575" s="10" t="s">
        <v>32</v>
      </c>
      <c r="F3575" t="s">
        <v>293</v>
      </c>
    </row>
    <row r="3576" spans="1:16" x14ac:dyDescent="0.35">
      <c r="A3576" s="2">
        <v>42828</v>
      </c>
      <c r="B3576" s="70" t="s">
        <v>38</v>
      </c>
      <c r="C3576" s="10">
        <v>71</v>
      </c>
      <c r="D3576">
        <v>321</v>
      </c>
      <c r="E3576" s="10" t="s">
        <v>32</v>
      </c>
      <c r="F3576" t="s">
        <v>293</v>
      </c>
    </row>
    <row r="3577" spans="1:16" x14ac:dyDescent="0.35">
      <c r="A3577" s="2">
        <v>42828</v>
      </c>
      <c r="B3577" s="70" t="s">
        <v>38</v>
      </c>
      <c r="C3577" s="10">
        <v>74</v>
      </c>
      <c r="D3577">
        <v>342</v>
      </c>
      <c r="E3577" s="10" t="s">
        <v>34</v>
      </c>
    </row>
    <row r="3578" spans="1:16" x14ac:dyDescent="0.35">
      <c r="A3578" s="2">
        <v>42828</v>
      </c>
      <c r="B3578" s="70" t="s">
        <v>38</v>
      </c>
      <c r="C3578" s="10">
        <v>73</v>
      </c>
      <c r="D3578">
        <v>327</v>
      </c>
      <c r="E3578" s="10" t="s">
        <v>34</v>
      </c>
      <c r="F3578" t="s">
        <v>198</v>
      </c>
    </row>
    <row r="3579" spans="1:16" x14ac:dyDescent="0.35">
      <c r="A3579" s="2">
        <v>42828</v>
      </c>
      <c r="B3579" s="70" t="s">
        <v>38</v>
      </c>
      <c r="C3579" s="10">
        <v>73</v>
      </c>
      <c r="D3579">
        <v>318</v>
      </c>
      <c r="E3579" s="10" t="s">
        <v>32</v>
      </c>
    </row>
    <row r="3580" spans="1:16" x14ac:dyDescent="0.35">
      <c r="A3580" s="2">
        <v>42828</v>
      </c>
      <c r="B3580" s="70" t="s">
        <v>38</v>
      </c>
      <c r="C3580" s="10">
        <v>75</v>
      </c>
      <c r="D3580">
        <v>410</v>
      </c>
      <c r="E3580" s="10" t="s">
        <v>34</v>
      </c>
      <c r="F3580" t="s">
        <v>198</v>
      </c>
    </row>
    <row r="3581" spans="1:16" x14ac:dyDescent="0.35">
      <c r="A3581" s="2">
        <v>42828</v>
      </c>
      <c r="B3581" s="70" t="s">
        <v>38</v>
      </c>
      <c r="C3581" s="10">
        <v>70</v>
      </c>
      <c r="D3581">
        <v>265</v>
      </c>
      <c r="E3581" s="10" t="s">
        <v>32</v>
      </c>
    </row>
    <row r="3582" spans="1:16" x14ac:dyDescent="0.35">
      <c r="A3582" s="2">
        <v>42828</v>
      </c>
      <c r="B3582" s="70" t="s">
        <v>38</v>
      </c>
      <c r="C3582" s="10">
        <v>69</v>
      </c>
      <c r="D3582">
        <v>283</v>
      </c>
      <c r="E3582" s="10" t="s">
        <v>32</v>
      </c>
      <c r="F3582" t="s">
        <v>198</v>
      </c>
    </row>
    <row r="3583" spans="1:16" x14ac:dyDescent="0.35">
      <c r="A3583" s="2">
        <v>42828</v>
      </c>
      <c r="B3583" s="70" t="s">
        <v>38</v>
      </c>
      <c r="C3583" s="10">
        <v>76</v>
      </c>
      <c r="D3583">
        <v>383</v>
      </c>
      <c r="E3583" s="10" t="s">
        <v>33</v>
      </c>
    </row>
    <row r="3584" spans="1:16" x14ac:dyDescent="0.35">
      <c r="A3584" s="2">
        <v>42828</v>
      </c>
      <c r="B3584" s="70" t="s">
        <v>38</v>
      </c>
      <c r="C3584" s="10">
        <v>68</v>
      </c>
      <c r="D3584">
        <v>232</v>
      </c>
      <c r="E3584" s="10" t="s">
        <v>32</v>
      </c>
    </row>
    <row r="3585" spans="1:7" x14ac:dyDescent="0.35">
      <c r="A3585" s="2">
        <v>42828</v>
      </c>
      <c r="B3585" s="70" t="s">
        <v>38</v>
      </c>
      <c r="C3585" s="10">
        <v>69</v>
      </c>
      <c r="D3585">
        <v>252</v>
      </c>
      <c r="E3585" s="10" t="s">
        <v>34</v>
      </c>
      <c r="F3585" t="s">
        <v>293</v>
      </c>
    </row>
    <row r="3586" spans="1:7" x14ac:dyDescent="0.35">
      <c r="A3586" s="2">
        <v>42828</v>
      </c>
      <c r="B3586" s="70" t="s">
        <v>38</v>
      </c>
      <c r="C3586" s="10">
        <v>79</v>
      </c>
      <c r="D3586">
        <v>385</v>
      </c>
      <c r="E3586" s="10" t="s">
        <v>32</v>
      </c>
      <c r="F3586" t="s">
        <v>293</v>
      </c>
    </row>
    <row r="3587" spans="1:7" x14ac:dyDescent="0.35">
      <c r="A3587" s="2">
        <v>42828</v>
      </c>
      <c r="B3587" s="70" t="s">
        <v>38</v>
      </c>
      <c r="C3587" s="10">
        <v>73</v>
      </c>
      <c r="D3587">
        <v>345</v>
      </c>
      <c r="E3587" s="10" t="s">
        <v>34</v>
      </c>
      <c r="F3587" t="s">
        <v>198</v>
      </c>
      <c r="G3587" t="s">
        <v>327</v>
      </c>
    </row>
    <row r="3588" spans="1:7" x14ac:dyDescent="0.35">
      <c r="A3588" s="2">
        <v>42828</v>
      </c>
      <c r="B3588" s="70" t="s">
        <v>38</v>
      </c>
      <c r="C3588" s="10">
        <v>70</v>
      </c>
      <c r="D3588">
        <v>300</v>
      </c>
      <c r="E3588" s="10" t="s">
        <v>34</v>
      </c>
      <c r="F3588" t="s">
        <v>293</v>
      </c>
    </row>
    <row r="3589" spans="1:7" x14ac:dyDescent="0.35">
      <c r="A3589" s="2">
        <v>42828</v>
      </c>
      <c r="B3589" s="70" t="s">
        <v>38</v>
      </c>
      <c r="C3589" s="10">
        <v>80</v>
      </c>
      <c r="D3589">
        <v>351</v>
      </c>
      <c r="E3589" s="10" t="s">
        <v>34</v>
      </c>
      <c r="F3589" t="s">
        <v>198</v>
      </c>
    </row>
    <row r="3590" spans="1:7" x14ac:dyDescent="0.35">
      <c r="A3590" s="2">
        <v>42828</v>
      </c>
      <c r="B3590" s="70" t="s">
        <v>38</v>
      </c>
      <c r="C3590" s="10">
        <v>72</v>
      </c>
      <c r="D3590">
        <v>379</v>
      </c>
      <c r="E3590" s="10" t="s">
        <v>34</v>
      </c>
    </row>
    <row r="3591" spans="1:7" x14ac:dyDescent="0.35">
      <c r="A3591" s="2">
        <v>42828</v>
      </c>
      <c r="B3591" s="70" t="s">
        <v>38</v>
      </c>
      <c r="C3591" s="10">
        <v>70</v>
      </c>
      <c r="D3591">
        <v>390</v>
      </c>
      <c r="E3591" s="10" t="s">
        <v>33</v>
      </c>
      <c r="F3591" t="s">
        <v>293</v>
      </c>
    </row>
    <row r="3592" spans="1:7" x14ac:dyDescent="0.35">
      <c r="A3592" s="2">
        <v>42828</v>
      </c>
      <c r="B3592" s="70" t="s">
        <v>38</v>
      </c>
      <c r="C3592" s="10">
        <v>77</v>
      </c>
      <c r="D3592">
        <v>365</v>
      </c>
      <c r="E3592" s="10" t="s">
        <v>34</v>
      </c>
      <c r="F3592" t="s">
        <v>293</v>
      </c>
    </row>
    <row r="3593" spans="1:7" x14ac:dyDescent="0.35">
      <c r="A3593" s="2">
        <v>42828</v>
      </c>
      <c r="B3593" s="70" t="s">
        <v>38</v>
      </c>
      <c r="C3593" s="10">
        <v>70</v>
      </c>
      <c r="D3593">
        <v>300</v>
      </c>
      <c r="E3593" s="10" t="s">
        <v>32</v>
      </c>
      <c r="F3593" t="s">
        <v>293</v>
      </c>
    </row>
    <row r="3594" spans="1:7" x14ac:dyDescent="0.35">
      <c r="A3594" s="2">
        <v>42828</v>
      </c>
      <c r="B3594" s="70" t="s">
        <v>38</v>
      </c>
      <c r="C3594" s="10">
        <v>72</v>
      </c>
      <c r="D3594">
        <v>300</v>
      </c>
      <c r="E3594" s="10" t="s">
        <v>34</v>
      </c>
      <c r="F3594" t="s">
        <v>198</v>
      </c>
    </row>
    <row r="3595" spans="1:7" x14ac:dyDescent="0.35">
      <c r="A3595" s="2">
        <v>42828</v>
      </c>
      <c r="B3595" s="70" t="s">
        <v>38</v>
      </c>
      <c r="C3595" s="10">
        <v>70</v>
      </c>
      <c r="D3595">
        <v>315</v>
      </c>
      <c r="E3595" s="10" t="s">
        <v>34</v>
      </c>
      <c r="F3595" t="s">
        <v>198</v>
      </c>
    </row>
    <row r="3596" spans="1:7" x14ac:dyDescent="0.35">
      <c r="A3596" s="2">
        <v>42828</v>
      </c>
      <c r="B3596" s="70" t="s">
        <v>38</v>
      </c>
      <c r="C3596" s="10">
        <v>73</v>
      </c>
      <c r="D3596">
        <v>355</v>
      </c>
      <c r="E3596" s="10" t="s">
        <v>33</v>
      </c>
      <c r="F3596" t="s">
        <v>198</v>
      </c>
    </row>
    <row r="3597" spans="1:7" x14ac:dyDescent="0.35">
      <c r="A3597" s="2">
        <v>42828</v>
      </c>
      <c r="B3597" s="70" t="s">
        <v>38</v>
      </c>
      <c r="C3597" s="10">
        <v>65</v>
      </c>
      <c r="D3597">
        <v>242</v>
      </c>
      <c r="E3597" s="10" t="s">
        <v>33</v>
      </c>
      <c r="F3597" t="s">
        <v>198</v>
      </c>
    </row>
    <row r="3598" spans="1:7" x14ac:dyDescent="0.35">
      <c r="A3598" s="2">
        <v>42828</v>
      </c>
      <c r="B3598" s="70" t="s">
        <v>38</v>
      </c>
      <c r="C3598" s="10">
        <v>72</v>
      </c>
      <c r="D3598">
        <v>328</v>
      </c>
      <c r="E3598" s="10" t="s">
        <v>34</v>
      </c>
      <c r="F3598" t="s">
        <v>293</v>
      </c>
    </row>
    <row r="3599" spans="1:7" x14ac:dyDescent="0.35">
      <c r="A3599" s="2">
        <v>42828</v>
      </c>
      <c r="B3599" s="70" t="s">
        <v>38</v>
      </c>
      <c r="C3599" s="10">
        <v>70</v>
      </c>
      <c r="D3599">
        <v>259</v>
      </c>
      <c r="E3599" s="10" t="s">
        <v>33</v>
      </c>
    </row>
    <row r="3600" spans="1:7" x14ac:dyDescent="0.35">
      <c r="A3600" s="2">
        <v>42828</v>
      </c>
      <c r="B3600" s="70" t="s">
        <v>38</v>
      </c>
      <c r="C3600" s="10">
        <v>67</v>
      </c>
      <c r="D3600">
        <v>273</v>
      </c>
      <c r="E3600" s="10" t="s">
        <v>33</v>
      </c>
      <c r="F3600" t="s">
        <v>293</v>
      </c>
    </row>
    <row r="3601" spans="1:9" x14ac:dyDescent="0.35">
      <c r="A3601" s="2">
        <v>42828</v>
      </c>
      <c r="B3601" s="70" t="s">
        <v>38</v>
      </c>
      <c r="C3601" s="10">
        <v>74</v>
      </c>
      <c r="D3601">
        <v>349</v>
      </c>
      <c r="E3601" s="10" t="s">
        <v>34</v>
      </c>
    </row>
    <row r="3602" spans="1:9" x14ac:dyDescent="0.35">
      <c r="A3602" s="2">
        <v>42828</v>
      </c>
      <c r="B3602" s="70" t="s">
        <v>38</v>
      </c>
      <c r="C3602" s="10">
        <v>67</v>
      </c>
      <c r="D3602">
        <v>292</v>
      </c>
      <c r="E3602" s="10" t="s">
        <v>34</v>
      </c>
      <c r="F3602" t="s">
        <v>198</v>
      </c>
    </row>
    <row r="3603" spans="1:9" x14ac:dyDescent="0.35">
      <c r="A3603" s="2">
        <v>42828</v>
      </c>
      <c r="B3603" s="70" t="s">
        <v>38</v>
      </c>
      <c r="C3603" s="10">
        <v>63</v>
      </c>
      <c r="D3603">
        <v>253</v>
      </c>
      <c r="E3603" s="10" t="s">
        <v>33</v>
      </c>
      <c r="F3603" t="s">
        <v>198</v>
      </c>
    </row>
    <row r="3604" spans="1:9" x14ac:dyDescent="0.35">
      <c r="A3604" s="2">
        <v>42828</v>
      </c>
      <c r="B3604" s="70" t="s">
        <v>38</v>
      </c>
      <c r="C3604" s="10">
        <v>70</v>
      </c>
      <c r="D3604">
        <v>270</v>
      </c>
      <c r="E3604" s="10" t="s">
        <v>34</v>
      </c>
      <c r="F3604" t="s">
        <v>293</v>
      </c>
    </row>
    <row r="3605" spans="1:9" x14ac:dyDescent="0.35">
      <c r="A3605" s="2">
        <v>42828</v>
      </c>
      <c r="B3605" s="70" t="s">
        <v>38</v>
      </c>
      <c r="C3605" s="10">
        <v>69</v>
      </c>
      <c r="D3605">
        <v>282</v>
      </c>
      <c r="E3605" s="10" t="s">
        <v>33</v>
      </c>
    </row>
    <row r="3606" spans="1:9" x14ac:dyDescent="0.35">
      <c r="A3606" s="2">
        <v>42828</v>
      </c>
      <c r="B3606" s="70" t="s">
        <v>38</v>
      </c>
      <c r="C3606" s="10">
        <v>66</v>
      </c>
      <c r="D3606">
        <v>260</v>
      </c>
      <c r="E3606" s="10" t="s">
        <v>34</v>
      </c>
      <c r="F3606" t="s">
        <v>198</v>
      </c>
    </row>
    <row r="3607" spans="1:9" x14ac:dyDescent="0.35">
      <c r="A3607" s="2">
        <v>42828</v>
      </c>
      <c r="B3607" s="70" t="s">
        <v>38</v>
      </c>
      <c r="C3607" s="10">
        <v>73</v>
      </c>
      <c r="D3607">
        <v>373</v>
      </c>
      <c r="E3607" s="10" t="s">
        <v>34</v>
      </c>
      <c r="F3607" t="s">
        <v>198</v>
      </c>
    </row>
    <row r="3608" spans="1:9" x14ac:dyDescent="0.35">
      <c r="A3608" s="2">
        <v>42828</v>
      </c>
      <c r="B3608" s="70" t="s">
        <v>38</v>
      </c>
      <c r="C3608" s="10">
        <v>71</v>
      </c>
      <c r="D3608">
        <v>320</v>
      </c>
      <c r="E3608" s="10" t="s">
        <v>34</v>
      </c>
      <c r="F3608" t="s">
        <v>198</v>
      </c>
    </row>
    <row r="3609" spans="1:9" x14ac:dyDescent="0.35">
      <c r="A3609" s="2">
        <v>42828</v>
      </c>
      <c r="B3609" s="70" t="s">
        <v>38</v>
      </c>
      <c r="C3609" s="10">
        <v>70</v>
      </c>
      <c r="D3609">
        <v>302</v>
      </c>
      <c r="E3609" s="10" t="s">
        <v>34</v>
      </c>
    </row>
    <row r="3610" spans="1:9" x14ac:dyDescent="0.35">
      <c r="A3610" s="2">
        <v>42828</v>
      </c>
      <c r="B3610" s="70" t="s">
        <v>38</v>
      </c>
      <c r="C3610" s="10">
        <v>68</v>
      </c>
      <c r="D3610">
        <v>249</v>
      </c>
      <c r="E3610" s="10" t="s">
        <v>33</v>
      </c>
    </row>
    <row r="3611" spans="1:9" x14ac:dyDescent="0.35">
      <c r="A3611" s="2">
        <v>42828</v>
      </c>
      <c r="B3611" s="70" t="s">
        <v>38</v>
      </c>
      <c r="C3611" s="10">
        <v>65</v>
      </c>
      <c r="D3611">
        <v>246</v>
      </c>
      <c r="E3611" s="10" t="s">
        <v>32</v>
      </c>
      <c r="F3611" t="s">
        <v>198</v>
      </c>
    </row>
    <row r="3612" spans="1:9" x14ac:dyDescent="0.35">
      <c r="A3612" s="2">
        <v>42828</v>
      </c>
      <c r="B3612" s="70" t="s">
        <v>38</v>
      </c>
      <c r="C3612" s="10">
        <v>68</v>
      </c>
      <c r="D3612">
        <v>266</v>
      </c>
      <c r="E3612" s="10" t="s">
        <v>36</v>
      </c>
    </row>
    <row r="3613" spans="1:9" x14ac:dyDescent="0.35">
      <c r="A3613" s="2">
        <v>42828</v>
      </c>
      <c r="B3613" s="70" t="s">
        <v>38</v>
      </c>
      <c r="C3613" s="10">
        <v>65</v>
      </c>
      <c r="D3613">
        <v>244</v>
      </c>
      <c r="E3613" s="10" t="s">
        <v>34</v>
      </c>
      <c r="F3613" t="s">
        <v>198</v>
      </c>
    </row>
    <row r="3614" spans="1:9" x14ac:dyDescent="0.35">
      <c r="A3614" s="2">
        <v>42828</v>
      </c>
      <c r="B3614" s="70" t="s">
        <v>38</v>
      </c>
      <c r="C3614" s="10">
        <v>70</v>
      </c>
      <c r="D3614">
        <v>267</v>
      </c>
      <c r="E3614" s="10" t="s">
        <v>32</v>
      </c>
    </row>
    <row r="3615" spans="1:9" x14ac:dyDescent="0.35">
      <c r="A3615" s="2">
        <v>42828</v>
      </c>
      <c r="B3615" s="70" t="s">
        <v>38</v>
      </c>
      <c r="C3615" s="10">
        <v>68</v>
      </c>
      <c r="D3615">
        <v>258</v>
      </c>
      <c r="E3615" s="10" t="s">
        <v>34</v>
      </c>
      <c r="F3615" t="s">
        <v>293</v>
      </c>
    </row>
    <row r="3616" spans="1:9" x14ac:dyDescent="0.35">
      <c r="A3616" s="2">
        <v>42828</v>
      </c>
      <c r="B3616" s="70" t="s">
        <v>38</v>
      </c>
      <c r="C3616" s="10">
        <v>69</v>
      </c>
      <c r="D3616">
        <v>327</v>
      </c>
      <c r="E3616" s="10" t="s">
        <v>34</v>
      </c>
      <c r="I3616" s="42" t="e">
        <f>AVERAGE(#REF!,#REF!)</f>
        <v>#REF!</v>
      </c>
    </row>
    <row r="3617" spans="1:21" x14ac:dyDescent="0.35">
      <c r="A3617" s="2">
        <v>42828</v>
      </c>
      <c r="B3617" s="70" t="s">
        <v>38</v>
      </c>
      <c r="C3617" s="10">
        <v>69</v>
      </c>
      <c r="D3617">
        <v>265</v>
      </c>
      <c r="E3617" s="10" t="s">
        <v>32</v>
      </c>
    </row>
    <row r="3618" spans="1:21" x14ac:dyDescent="0.35">
      <c r="A3618" s="2">
        <v>42828</v>
      </c>
      <c r="B3618" s="70" t="s">
        <v>38</v>
      </c>
      <c r="C3618" s="10">
        <v>74</v>
      </c>
      <c r="D3618">
        <v>365</v>
      </c>
      <c r="E3618" s="10" t="s">
        <v>34</v>
      </c>
    </row>
    <row r="3619" spans="1:21" x14ac:dyDescent="0.35">
      <c r="A3619" s="2">
        <v>42828</v>
      </c>
      <c r="B3619" s="70" t="s">
        <v>38</v>
      </c>
      <c r="C3619" s="10">
        <v>68</v>
      </c>
      <c r="D3619">
        <v>240</v>
      </c>
      <c r="E3619" s="10" t="s">
        <v>32</v>
      </c>
      <c r="I3619" t="s">
        <v>42</v>
      </c>
      <c r="J3619" t="s">
        <v>39</v>
      </c>
      <c r="K3619" t="s">
        <v>40</v>
      </c>
      <c r="L3619" t="s">
        <v>36</v>
      </c>
      <c r="M3619" t="s">
        <v>33</v>
      </c>
      <c r="N3619" t="s">
        <v>34</v>
      </c>
      <c r="O3619" t="s">
        <v>32</v>
      </c>
      <c r="P3619" t="s">
        <v>37</v>
      </c>
      <c r="R3619" t="s">
        <v>43</v>
      </c>
      <c r="S3619" t="s">
        <v>44</v>
      </c>
    </row>
    <row r="3620" spans="1:21" x14ac:dyDescent="0.35">
      <c r="A3620" s="2">
        <v>42828</v>
      </c>
      <c r="B3620" s="70" t="s">
        <v>38</v>
      </c>
      <c r="C3620" s="10">
        <v>67</v>
      </c>
      <c r="D3620">
        <v>282</v>
      </c>
      <c r="E3620" s="10" t="s">
        <v>34</v>
      </c>
      <c r="I3620" s="5">
        <f>COUNTIF(E3519:E3625,"VA")</f>
        <v>0</v>
      </c>
      <c r="J3620" s="5">
        <f>COUNTIF(E3518:E3625,"VB")</f>
        <v>0</v>
      </c>
      <c r="K3620" s="5">
        <f>COUNTIF(E3518:E3625,"VIA0")</f>
        <v>1</v>
      </c>
      <c r="L3620" s="5">
        <f>COUNTIF(E3519:E3625,"VIA1")</f>
        <v>2</v>
      </c>
      <c r="M3620" s="5">
        <f>COUNTIF(E3519:E3625,"VIA2")</f>
        <v>14</v>
      </c>
      <c r="N3620" s="5">
        <f>COUNTIF(E3519:E3625,"VIA3")</f>
        <v>57</v>
      </c>
      <c r="O3620" s="5">
        <f>COUNTIF(E3518:E3625,"VIA4")</f>
        <v>27</v>
      </c>
      <c r="P3620" s="5">
        <f>COUNTIF(E3518:E3625,"VIB")</f>
        <v>0</v>
      </c>
      <c r="R3620" s="7">
        <f>AVERAGE(C3575:C3625,C3520:C3569)</f>
        <v>69.594059405940598</v>
      </c>
      <c r="S3620" s="7">
        <f>AVERAGE(D3575:D3625,D3520:D3569)</f>
        <v>282.93069306930693</v>
      </c>
    </row>
    <row r="3621" spans="1:21" x14ac:dyDescent="0.35">
      <c r="A3621" s="2">
        <v>42828</v>
      </c>
      <c r="B3621" s="70" t="s">
        <v>38</v>
      </c>
      <c r="C3621" s="10">
        <v>68</v>
      </c>
      <c r="D3621">
        <v>298</v>
      </c>
      <c r="E3621" s="10" t="s">
        <v>33</v>
      </c>
      <c r="F3621" t="s">
        <v>293</v>
      </c>
      <c r="I3621" s="6">
        <f>I3620/101*100</f>
        <v>0</v>
      </c>
      <c r="J3621" s="6">
        <f t="shared" ref="J3621:P3621" si="112">J3620/101*100</f>
        <v>0</v>
      </c>
      <c r="K3621" s="6">
        <f t="shared" si="112"/>
        <v>0.99009900990099009</v>
      </c>
      <c r="L3621" s="6">
        <f t="shared" si="112"/>
        <v>1.9801980198019802</v>
      </c>
      <c r="M3621" s="6">
        <f t="shared" si="112"/>
        <v>13.861386138613863</v>
      </c>
      <c r="N3621" s="6">
        <f t="shared" si="112"/>
        <v>56.435643564356432</v>
      </c>
      <c r="O3621" s="6">
        <f t="shared" si="112"/>
        <v>26.732673267326735</v>
      </c>
      <c r="P3621" s="6">
        <f t="shared" si="112"/>
        <v>0</v>
      </c>
      <c r="Q3621" s="4"/>
      <c r="R3621" s="4"/>
      <c r="S3621" s="4"/>
    </row>
    <row r="3622" spans="1:21" x14ac:dyDescent="0.35">
      <c r="A3622" s="2">
        <v>42828</v>
      </c>
      <c r="B3622" s="70" t="s">
        <v>38</v>
      </c>
      <c r="C3622" s="10">
        <v>74</v>
      </c>
      <c r="D3622">
        <v>347</v>
      </c>
      <c r="E3622" s="10" t="s">
        <v>34</v>
      </c>
      <c r="F3622" t="s">
        <v>293</v>
      </c>
    </row>
    <row r="3623" spans="1:21" x14ac:dyDescent="0.35">
      <c r="A3623" s="2">
        <v>42828</v>
      </c>
      <c r="B3623" s="70" t="s">
        <v>38</v>
      </c>
      <c r="C3623" s="10">
        <v>71</v>
      </c>
      <c r="D3623">
        <v>310</v>
      </c>
      <c r="E3623" s="10" t="s">
        <v>34</v>
      </c>
      <c r="I3623" t="s">
        <v>42</v>
      </c>
      <c r="J3623" t="s">
        <v>39</v>
      </c>
      <c r="K3623" t="s">
        <v>40</v>
      </c>
      <c r="L3623" t="s">
        <v>36</v>
      </c>
      <c r="M3623" t="s">
        <v>33</v>
      </c>
      <c r="N3623" t="s">
        <v>34</v>
      </c>
      <c r="O3623" t="s">
        <v>32</v>
      </c>
      <c r="P3623" t="s">
        <v>37</v>
      </c>
      <c r="R3623" t="s">
        <v>43</v>
      </c>
      <c r="S3623" t="s">
        <v>44</v>
      </c>
    </row>
    <row r="3624" spans="1:21" x14ac:dyDescent="0.35">
      <c r="A3624" s="2">
        <v>42828</v>
      </c>
      <c r="B3624" s="70" t="s">
        <v>38</v>
      </c>
      <c r="C3624" s="10">
        <v>68</v>
      </c>
      <c r="D3624">
        <v>312</v>
      </c>
      <c r="E3624" s="10" t="s">
        <v>34</v>
      </c>
      <c r="F3624" t="s">
        <v>198</v>
      </c>
      <c r="I3624" s="5">
        <f>COUNTIF(E3575:E3625,"VA")</f>
        <v>0</v>
      </c>
      <c r="J3624" s="5">
        <f>COUNTIF(E3575:E3625,"VB")</f>
        <v>0</v>
      </c>
      <c r="K3624" s="5">
        <f>COUNTIF(E3575:E3625,"VIA0")</f>
        <v>0</v>
      </c>
      <c r="L3624" s="5">
        <f>COUNTIF(E3575:E3625,"VIA1")</f>
        <v>1</v>
      </c>
      <c r="M3624" s="5">
        <f>COUNTIF(E3575:E3625,"VIA2")</f>
        <v>10</v>
      </c>
      <c r="N3624" s="5">
        <f>COUNTIF(E3575:E3625,"VIA3")</f>
        <v>28</v>
      </c>
      <c r="O3624" s="5">
        <f>COUNTIF(E3575:E3625,"VIA4")</f>
        <v>12</v>
      </c>
      <c r="P3624" s="5">
        <f>COUNTIF(E3520:E3625,"VIB")</f>
        <v>0</v>
      </c>
      <c r="R3624" s="7">
        <f>AVERAGE(C3575:C3625)</f>
        <v>70.588235294117652</v>
      </c>
      <c r="S3624" s="7">
        <f>AVERAGE(D3575:D3625)</f>
        <v>307.35294117647061</v>
      </c>
      <c r="T3624" s="7"/>
      <c r="U3624" s="7" t="e">
        <f>AVERAGE(#REF!)</f>
        <v>#REF!</v>
      </c>
    </row>
    <row r="3625" spans="1:21" s="4" customFormat="1" x14ac:dyDescent="0.35">
      <c r="A3625" s="3">
        <v>42828</v>
      </c>
      <c r="B3625" s="44" t="s">
        <v>38</v>
      </c>
      <c r="C3625" s="11">
        <v>75</v>
      </c>
      <c r="D3625" s="4">
        <v>350</v>
      </c>
      <c r="E3625" s="11" t="s">
        <v>34</v>
      </c>
      <c r="F3625" s="4" t="s">
        <v>198</v>
      </c>
      <c r="I3625" s="6">
        <f>I3624/51*100</f>
        <v>0</v>
      </c>
      <c r="J3625" s="6">
        <f t="shared" ref="J3625:P3625" si="113">J3624/51*100</f>
        <v>0</v>
      </c>
      <c r="K3625" s="6">
        <f t="shared" si="113"/>
        <v>0</v>
      </c>
      <c r="L3625" s="6">
        <f t="shared" si="113"/>
        <v>1.9607843137254901</v>
      </c>
      <c r="M3625" s="6">
        <f t="shared" si="113"/>
        <v>19.607843137254903</v>
      </c>
      <c r="N3625" s="6">
        <f t="shared" si="113"/>
        <v>54.901960784313729</v>
      </c>
      <c r="O3625" s="6">
        <f t="shared" si="113"/>
        <v>23.52941176470588</v>
      </c>
      <c r="P3625" s="6">
        <f t="shared" si="113"/>
        <v>0</v>
      </c>
    </row>
    <row r="3626" spans="1:21" x14ac:dyDescent="0.35">
      <c r="A3626" s="2">
        <v>42832</v>
      </c>
      <c r="B3626" s="70" t="s">
        <v>38</v>
      </c>
      <c r="C3626" s="10">
        <v>97</v>
      </c>
      <c r="D3626" s="10">
        <v>1076</v>
      </c>
      <c r="E3626" s="10" t="s">
        <v>98</v>
      </c>
    </row>
    <row r="3627" spans="1:21" x14ac:dyDescent="0.35">
      <c r="A3627" s="2">
        <v>42832</v>
      </c>
      <c r="B3627" s="70" t="s">
        <v>38</v>
      </c>
      <c r="C3627" s="10">
        <v>86</v>
      </c>
      <c r="D3627" s="10">
        <v>607</v>
      </c>
      <c r="E3627" s="10" t="s">
        <v>98</v>
      </c>
    </row>
    <row r="3628" spans="1:21" x14ac:dyDescent="0.35">
      <c r="A3628" s="2">
        <v>42832</v>
      </c>
      <c r="B3628" s="70" t="s">
        <v>38</v>
      </c>
      <c r="C3628" s="10">
        <v>95</v>
      </c>
      <c r="D3628" s="10">
        <v>1085</v>
      </c>
      <c r="E3628" s="10" t="s">
        <v>98</v>
      </c>
    </row>
    <row r="3629" spans="1:21" x14ac:dyDescent="0.35">
      <c r="A3629" s="2">
        <v>42832</v>
      </c>
      <c r="B3629" s="70" t="s">
        <v>38</v>
      </c>
      <c r="C3629" s="10">
        <v>73</v>
      </c>
      <c r="D3629" s="10">
        <v>298</v>
      </c>
      <c r="E3629" s="10" t="s">
        <v>34</v>
      </c>
      <c r="G3629" t="s">
        <v>331</v>
      </c>
    </row>
    <row r="3630" spans="1:21" x14ac:dyDescent="0.35">
      <c r="A3630" s="2">
        <v>42832</v>
      </c>
      <c r="B3630" s="70" t="s">
        <v>38</v>
      </c>
      <c r="C3630" s="10">
        <v>70</v>
      </c>
      <c r="D3630" s="10">
        <v>203</v>
      </c>
      <c r="E3630" s="10" t="s">
        <v>32</v>
      </c>
      <c r="G3630" t="s">
        <v>332</v>
      </c>
    </row>
    <row r="3631" spans="1:21" x14ac:dyDescent="0.35">
      <c r="A3631" s="2">
        <v>42832</v>
      </c>
      <c r="B3631" s="70" t="s">
        <v>38</v>
      </c>
      <c r="C3631" s="10">
        <v>69</v>
      </c>
      <c r="D3631" s="10">
        <v>322</v>
      </c>
      <c r="E3631" s="10" t="s">
        <v>34</v>
      </c>
      <c r="G3631" t="s">
        <v>333</v>
      </c>
    </row>
    <row r="3632" spans="1:21" x14ac:dyDescent="0.35">
      <c r="A3632" s="2">
        <v>42832</v>
      </c>
      <c r="B3632" s="70" t="s">
        <v>38</v>
      </c>
      <c r="C3632" s="10">
        <v>70</v>
      </c>
      <c r="D3632" s="10">
        <v>343</v>
      </c>
      <c r="E3632" s="10" t="s">
        <v>34</v>
      </c>
      <c r="F3632" t="s">
        <v>198</v>
      </c>
      <c r="G3632" t="s">
        <v>334</v>
      </c>
    </row>
    <row r="3633" spans="1:7" x14ac:dyDescent="0.35">
      <c r="A3633" s="2">
        <v>42832</v>
      </c>
      <c r="B3633" s="70" t="s">
        <v>38</v>
      </c>
      <c r="C3633" s="10">
        <v>67</v>
      </c>
      <c r="D3633" s="10">
        <v>258</v>
      </c>
      <c r="E3633" s="10" t="s">
        <v>32</v>
      </c>
      <c r="F3633" t="s">
        <v>198</v>
      </c>
      <c r="G3633" t="s">
        <v>335</v>
      </c>
    </row>
    <row r="3634" spans="1:7" x14ac:dyDescent="0.35">
      <c r="A3634" s="2">
        <v>42832</v>
      </c>
      <c r="B3634" s="70" t="s">
        <v>38</v>
      </c>
      <c r="C3634" s="10">
        <v>71</v>
      </c>
      <c r="D3634" s="10">
        <v>241</v>
      </c>
      <c r="E3634" s="10" t="s">
        <v>34</v>
      </c>
      <c r="F3634" t="s">
        <v>198</v>
      </c>
    </row>
    <row r="3635" spans="1:7" x14ac:dyDescent="0.35">
      <c r="A3635" s="2">
        <v>42832</v>
      </c>
      <c r="B3635" s="70" t="s">
        <v>38</v>
      </c>
      <c r="C3635" s="10">
        <v>72</v>
      </c>
      <c r="D3635" s="10">
        <v>243</v>
      </c>
      <c r="E3635" s="10" t="s">
        <v>34</v>
      </c>
      <c r="F3635" t="s">
        <v>198</v>
      </c>
    </row>
    <row r="3636" spans="1:7" x14ac:dyDescent="0.35">
      <c r="A3636" s="2">
        <v>42832</v>
      </c>
      <c r="B3636" s="70" t="s">
        <v>38</v>
      </c>
      <c r="C3636" s="10">
        <v>68</v>
      </c>
      <c r="D3636" s="10">
        <v>235</v>
      </c>
      <c r="E3636" s="10" t="s">
        <v>32</v>
      </c>
      <c r="F3636" t="s">
        <v>198</v>
      </c>
    </row>
    <row r="3637" spans="1:7" x14ac:dyDescent="0.35">
      <c r="A3637" s="2">
        <v>42832</v>
      </c>
      <c r="B3637" s="70" t="s">
        <v>38</v>
      </c>
      <c r="C3637" s="10">
        <v>66</v>
      </c>
      <c r="D3637" s="10">
        <v>227</v>
      </c>
      <c r="E3637" s="10" t="s">
        <v>32</v>
      </c>
      <c r="F3637" t="s">
        <v>198</v>
      </c>
    </row>
    <row r="3638" spans="1:7" x14ac:dyDescent="0.35">
      <c r="A3638" s="2">
        <v>42832</v>
      </c>
      <c r="B3638" s="70" t="s">
        <v>38</v>
      </c>
      <c r="C3638" s="10">
        <v>65</v>
      </c>
      <c r="D3638" s="10">
        <v>249</v>
      </c>
      <c r="E3638" s="10" t="s">
        <v>34</v>
      </c>
    </row>
    <row r="3639" spans="1:7" x14ac:dyDescent="0.35">
      <c r="A3639" s="2">
        <v>42832</v>
      </c>
      <c r="B3639" s="70" t="s">
        <v>38</v>
      </c>
      <c r="C3639" s="10">
        <v>70</v>
      </c>
      <c r="D3639" s="10">
        <v>246</v>
      </c>
      <c r="E3639" s="10" t="s">
        <v>32</v>
      </c>
    </row>
    <row r="3640" spans="1:7" x14ac:dyDescent="0.35">
      <c r="A3640" s="2">
        <v>42832</v>
      </c>
      <c r="B3640" s="70" t="s">
        <v>38</v>
      </c>
      <c r="C3640" s="10">
        <v>58</v>
      </c>
      <c r="D3640" s="10">
        <v>202</v>
      </c>
      <c r="E3640" s="10" t="s">
        <v>34</v>
      </c>
    </row>
    <row r="3641" spans="1:7" x14ac:dyDescent="0.35">
      <c r="A3641" s="2">
        <v>42832</v>
      </c>
      <c r="B3641" s="70" t="s">
        <v>38</v>
      </c>
      <c r="C3641" s="10">
        <v>74</v>
      </c>
      <c r="D3641" s="10">
        <v>378</v>
      </c>
      <c r="E3641" s="10" t="s">
        <v>32</v>
      </c>
      <c r="F3641" t="s">
        <v>198</v>
      </c>
    </row>
    <row r="3642" spans="1:7" x14ac:dyDescent="0.35">
      <c r="A3642" s="2">
        <v>42832</v>
      </c>
      <c r="B3642" s="70" t="s">
        <v>38</v>
      </c>
      <c r="C3642" s="10">
        <v>70</v>
      </c>
      <c r="D3642" s="10">
        <v>282</v>
      </c>
      <c r="E3642" s="10" t="s">
        <v>32</v>
      </c>
    </row>
    <row r="3643" spans="1:7" x14ac:dyDescent="0.35">
      <c r="A3643" s="2">
        <v>42832</v>
      </c>
      <c r="B3643" s="70" t="s">
        <v>38</v>
      </c>
      <c r="C3643" s="10">
        <v>74</v>
      </c>
      <c r="D3643" s="10">
        <v>278</v>
      </c>
      <c r="E3643" s="10" t="s">
        <v>32</v>
      </c>
    </row>
    <row r="3644" spans="1:7" x14ac:dyDescent="0.35">
      <c r="A3644" s="2">
        <v>42832</v>
      </c>
      <c r="B3644" s="70" t="s">
        <v>38</v>
      </c>
      <c r="C3644" s="10">
        <v>74</v>
      </c>
      <c r="D3644" s="10">
        <v>353</v>
      </c>
      <c r="E3644" s="10" t="s">
        <v>33</v>
      </c>
    </row>
    <row r="3645" spans="1:7" x14ac:dyDescent="0.35">
      <c r="A3645" s="2">
        <v>42832</v>
      </c>
      <c r="B3645" s="70" t="s">
        <v>38</v>
      </c>
      <c r="C3645" s="10">
        <v>63</v>
      </c>
      <c r="D3645" s="10">
        <v>202</v>
      </c>
      <c r="E3645" s="10" t="s">
        <v>34</v>
      </c>
      <c r="F3645" t="s">
        <v>198</v>
      </c>
    </row>
    <row r="3646" spans="1:7" x14ac:dyDescent="0.35">
      <c r="A3646" s="2">
        <v>42832</v>
      </c>
      <c r="B3646" s="70" t="s">
        <v>38</v>
      </c>
      <c r="C3646" s="10">
        <v>68</v>
      </c>
      <c r="D3646" s="10">
        <v>307</v>
      </c>
      <c r="E3646" s="10" t="s">
        <v>34</v>
      </c>
    </row>
    <row r="3647" spans="1:7" x14ac:dyDescent="0.35">
      <c r="A3647" s="2">
        <v>42832</v>
      </c>
      <c r="B3647" s="70" t="s">
        <v>38</v>
      </c>
      <c r="C3647" s="10">
        <v>65</v>
      </c>
      <c r="D3647" s="10">
        <v>250</v>
      </c>
      <c r="E3647" s="10" t="s">
        <v>32</v>
      </c>
    </row>
    <row r="3648" spans="1:7" x14ac:dyDescent="0.35">
      <c r="A3648" s="2">
        <v>42832</v>
      </c>
      <c r="B3648" s="70" t="s">
        <v>38</v>
      </c>
      <c r="C3648" s="10">
        <v>66</v>
      </c>
      <c r="D3648" s="10">
        <v>212</v>
      </c>
      <c r="E3648" s="10" t="s">
        <v>32</v>
      </c>
    </row>
    <row r="3649" spans="1:6" x14ac:dyDescent="0.35">
      <c r="A3649" s="2">
        <v>42832</v>
      </c>
      <c r="B3649" s="70" t="s">
        <v>38</v>
      </c>
      <c r="C3649" s="10">
        <v>69</v>
      </c>
      <c r="D3649" s="10">
        <v>288</v>
      </c>
      <c r="E3649" s="10" t="s">
        <v>34</v>
      </c>
      <c r="F3649" t="s">
        <v>198</v>
      </c>
    </row>
    <row r="3650" spans="1:6" x14ac:dyDescent="0.35">
      <c r="A3650" s="2">
        <v>42832</v>
      </c>
      <c r="B3650" s="70" t="s">
        <v>38</v>
      </c>
      <c r="C3650" s="10">
        <v>66</v>
      </c>
      <c r="D3650" s="10">
        <v>228</v>
      </c>
      <c r="E3650" s="10" t="s">
        <v>32</v>
      </c>
    </row>
    <row r="3651" spans="1:6" x14ac:dyDescent="0.35">
      <c r="A3651" s="2">
        <v>42832</v>
      </c>
      <c r="B3651" s="70" t="s">
        <v>38</v>
      </c>
      <c r="C3651" s="10">
        <v>68</v>
      </c>
      <c r="D3651" s="10">
        <v>250</v>
      </c>
      <c r="E3651" s="10" t="s">
        <v>34</v>
      </c>
    </row>
    <row r="3652" spans="1:6" x14ac:dyDescent="0.35">
      <c r="A3652" s="2">
        <v>42832</v>
      </c>
      <c r="B3652" s="70" t="s">
        <v>38</v>
      </c>
      <c r="C3652" s="10">
        <v>70</v>
      </c>
      <c r="D3652" s="10">
        <v>368</v>
      </c>
      <c r="E3652" s="10" t="s">
        <v>33</v>
      </c>
      <c r="F3652" t="s">
        <v>198</v>
      </c>
    </row>
    <row r="3653" spans="1:6" x14ac:dyDescent="0.35">
      <c r="A3653" s="2">
        <v>42832</v>
      </c>
      <c r="B3653" s="70" t="s">
        <v>38</v>
      </c>
      <c r="C3653" s="10">
        <v>67</v>
      </c>
      <c r="D3653" s="10">
        <v>199</v>
      </c>
      <c r="E3653" s="10" t="s">
        <v>34</v>
      </c>
    </row>
    <row r="3654" spans="1:6" x14ac:dyDescent="0.35">
      <c r="A3654" s="2">
        <v>42832</v>
      </c>
      <c r="B3654" s="70" t="s">
        <v>38</v>
      </c>
      <c r="C3654" s="10">
        <v>70</v>
      </c>
      <c r="D3654" s="10">
        <v>291</v>
      </c>
      <c r="E3654" s="10" t="s">
        <v>34</v>
      </c>
    </row>
    <row r="3655" spans="1:6" x14ac:dyDescent="0.35">
      <c r="A3655" s="2">
        <v>42832</v>
      </c>
      <c r="B3655" s="70" t="s">
        <v>38</v>
      </c>
      <c r="C3655" s="10">
        <v>70</v>
      </c>
      <c r="D3655" s="10">
        <v>299</v>
      </c>
      <c r="E3655" s="10" t="s">
        <v>32</v>
      </c>
      <c r="F3655" t="s">
        <v>198</v>
      </c>
    </row>
    <row r="3656" spans="1:6" x14ac:dyDescent="0.35">
      <c r="A3656" s="2">
        <v>42832</v>
      </c>
      <c r="B3656" s="70" t="s">
        <v>38</v>
      </c>
      <c r="C3656" s="10">
        <v>65</v>
      </c>
      <c r="D3656" s="10">
        <v>247</v>
      </c>
      <c r="E3656" s="10" t="s">
        <v>34</v>
      </c>
    </row>
    <row r="3657" spans="1:6" x14ac:dyDescent="0.35">
      <c r="A3657" s="2">
        <v>42832</v>
      </c>
      <c r="B3657" s="70" t="s">
        <v>38</v>
      </c>
      <c r="C3657" s="10">
        <v>70</v>
      </c>
      <c r="D3657" s="10">
        <v>268</v>
      </c>
      <c r="E3657" s="10" t="s">
        <v>32</v>
      </c>
    </row>
    <row r="3658" spans="1:6" x14ac:dyDescent="0.35">
      <c r="A3658" s="2">
        <v>42832</v>
      </c>
      <c r="B3658" s="70" t="s">
        <v>38</v>
      </c>
      <c r="C3658" s="10">
        <v>66</v>
      </c>
      <c r="D3658" s="10">
        <v>243</v>
      </c>
      <c r="E3658" s="10" t="s">
        <v>32</v>
      </c>
    </row>
    <row r="3659" spans="1:6" x14ac:dyDescent="0.35">
      <c r="A3659" s="2">
        <v>42832</v>
      </c>
      <c r="B3659" s="70" t="s">
        <v>38</v>
      </c>
      <c r="C3659" s="10">
        <v>70</v>
      </c>
      <c r="D3659" s="10">
        <v>321</v>
      </c>
      <c r="E3659" s="10" t="s">
        <v>33</v>
      </c>
    </row>
    <row r="3660" spans="1:6" x14ac:dyDescent="0.35">
      <c r="A3660" s="2">
        <v>42832</v>
      </c>
      <c r="B3660" s="70" t="s">
        <v>38</v>
      </c>
      <c r="C3660" s="10">
        <v>67</v>
      </c>
      <c r="D3660" s="10">
        <v>245</v>
      </c>
      <c r="E3660" s="10" t="s">
        <v>32</v>
      </c>
    </row>
    <row r="3661" spans="1:6" x14ac:dyDescent="0.35">
      <c r="A3661" s="2">
        <v>42832</v>
      </c>
      <c r="B3661" s="70" t="s">
        <v>38</v>
      </c>
      <c r="C3661" s="10">
        <v>66</v>
      </c>
      <c r="D3661" s="10">
        <v>257</v>
      </c>
      <c r="E3661" s="10" t="s">
        <v>34</v>
      </c>
    </row>
    <row r="3662" spans="1:6" x14ac:dyDescent="0.35">
      <c r="A3662" s="2">
        <v>42832</v>
      </c>
      <c r="B3662" s="70" t="s">
        <v>38</v>
      </c>
      <c r="C3662" s="10">
        <v>72</v>
      </c>
      <c r="D3662" s="10">
        <v>322</v>
      </c>
      <c r="E3662" s="10" t="s">
        <v>32</v>
      </c>
      <c r="F3662" t="s">
        <v>198</v>
      </c>
    </row>
    <row r="3663" spans="1:6" x14ac:dyDescent="0.35">
      <c r="A3663" s="2">
        <v>42832</v>
      </c>
      <c r="B3663" s="70" t="s">
        <v>38</v>
      </c>
      <c r="C3663" s="10">
        <v>70</v>
      </c>
      <c r="D3663" s="10">
        <v>317</v>
      </c>
      <c r="E3663" s="10" t="s">
        <v>34</v>
      </c>
    </row>
    <row r="3664" spans="1:6" x14ac:dyDescent="0.35">
      <c r="A3664" s="2">
        <v>42832</v>
      </c>
      <c r="B3664" s="70" t="s">
        <v>38</v>
      </c>
      <c r="C3664" s="10">
        <v>69</v>
      </c>
      <c r="D3664" s="10">
        <v>293</v>
      </c>
      <c r="E3664" s="10" t="s">
        <v>34</v>
      </c>
    </row>
    <row r="3665" spans="1:21" x14ac:dyDescent="0.35">
      <c r="A3665" s="2">
        <v>42832</v>
      </c>
      <c r="B3665" s="70" t="s">
        <v>38</v>
      </c>
      <c r="C3665" s="10">
        <v>70</v>
      </c>
      <c r="D3665" s="10">
        <v>306</v>
      </c>
      <c r="E3665" s="10" t="s">
        <v>32</v>
      </c>
    </row>
    <row r="3666" spans="1:21" x14ac:dyDescent="0.35">
      <c r="A3666" s="2">
        <v>42832</v>
      </c>
      <c r="B3666" s="70" t="s">
        <v>38</v>
      </c>
      <c r="C3666" s="10">
        <v>71</v>
      </c>
      <c r="D3666" s="10">
        <v>295</v>
      </c>
      <c r="E3666" s="10" t="s">
        <v>34</v>
      </c>
    </row>
    <row r="3667" spans="1:21" x14ac:dyDescent="0.35">
      <c r="A3667" s="2">
        <v>42832</v>
      </c>
      <c r="B3667" s="70" t="s">
        <v>38</v>
      </c>
      <c r="C3667" s="10">
        <v>64</v>
      </c>
      <c r="D3667" s="10">
        <v>215</v>
      </c>
      <c r="E3667" s="10" t="s">
        <v>32</v>
      </c>
    </row>
    <row r="3668" spans="1:21" x14ac:dyDescent="0.35">
      <c r="A3668" s="2">
        <v>42832</v>
      </c>
      <c r="B3668" s="70" t="s">
        <v>38</v>
      </c>
      <c r="C3668" s="10">
        <v>69</v>
      </c>
      <c r="D3668" s="10">
        <v>280</v>
      </c>
      <c r="E3668" s="10" t="s">
        <v>34</v>
      </c>
    </row>
    <row r="3669" spans="1:21" x14ac:dyDescent="0.35">
      <c r="A3669" s="2">
        <v>42832</v>
      </c>
      <c r="B3669" s="70" t="s">
        <v>38</v>
      </c>
      <c r="C3669" s="10">
        <v>71</v>
      </c>
      <c r="D3669" s="10">
        <v>358</v>
      </c>
      <c r="E3669" s="10" t="s">
        <v>32</v>
      </c>
    </row>
    <row r="3670" spans="1:21" x14ac:dyDescent="0.35">
      <c r="A3670" s="2">
        <v>42832</v>
      </c>
      <c r="B3670" s="70" t="s">
        <v>38</v>
      </c>
      <c r="C3670" s="10">
        <v>77</v>
      </c>
      <c r="D3670" s="10">
        <v>384</v>
      </c>
      <c r="E3670" s="10" t="s">
        <v>34</v>
      </c>
    </row>
    <row r="3671" spans="1:21" x14ac:dyDescent="0.35">
      <c r="A3671" s="2">
        <v>42832</v>
      </c>
      <c r="B3671" s="70" t="s">
        <v>38</v>
      </c>
      <c r="C3671" s="10">
        <v>75</v>
      </c>
      <c r="D3671" s="10">
        <v>408</v>
      </c>
      <c r="E3671" s="10" t="s">
        <v>32</v>
      </c>
      <c r="F3671" t="s">
        <v>198</v>
      </c>
    </row>
    <row r="3672" spans="1:21" x14ac:dyDescent="0.35">
      <c r="A3672" s="2">
        <v>42832</v>
      </c>
      <c r="B3672" s="70" t="s">
        <v>38</v>
      </c>
      <c r="C3672" s="10">
        <v>64</v>
      </c>
      <c r="D3672" s="10">
        <v>262</v>
      </c>
      <c r="E3672" s="10" t="s">
        <v>32</v>
      </c>
    </row>
    <row r="3673" spans="1:21" x14ac:dyDescent="0.35">
      <c r="A3673" s="2">
        <v>42832</v>
      </c>
      <c r="B3673" s="70" t="s">
        <v>38</v>
      </c>
      <c r="C3673" s="10">
        <v>66</v>
      </c>
      <c r="D3673" s="10">
        <v>255</v>
      </c>
      <c r="E3673" s="10" t="s">
        <v>32</v>
      </c>
    </row>
    <row r="3674" spans="1:21" x14ac:dyDescent="0.35">
      <c r="A3674" s="2">
        <v>42832</v>
      </c>
      <c r="B3674" s="70" t="s">
        <v>38</v>
      </c>
      <c r="C3674" s="10">
        <v>69</v>
      </c>
      <c r="D3674" s="10">
        <v>296</v>
      </c>
      <c r="E3674" s="10" t="s">
        <v>32</v>
      </c>
    </row>
    <row r="3675" spans="1:21" x14ac:dyDescent="0.35">
      <c r="A3675" s="2">
        <v>42832</v>
      </c>
      <c r="B3675" s="70" t="s">
        <v>38</v>
      </c>
      <c r="C3675" s="10">
        <v>70</v>
      </c>
      <c r="D3675" s="10">
        <v>294</v>
      </c>
      <c r="E3675" s="10" t="s">
        <v>34</v>
      </c>
    </row>
    <row r="3676" spans="1:21" x14ac:dyDescent="0.35">
      <c r="A3676" s="2">
        <v>42832</v>
      </c>
      <c r="B3676" s="70" t="s">
        <v>38</v>
      </c>
      <c r="C3676" s="10">
        <v>62</v>
      </c>
      <c r="D3676" s="10">
        <v>227</v>
      </c>
      <c r="E3676" s="10" t="s">
        <v>33</v>
      </c>
    </row>
    <row r="3677" spans="1:21" x14ac:dyDescent="0.35">
      <c r="A3677" s="2">
        <v>42832</v>
      </c>
      <c r="B3677" s="70" t="s">
        <v>38</v>
      </c>
      <c r="C3677" s="10">
        <v>70</v>
      </c>
      <c r="D3677" s="10">
        <v>249</v>
      </c>
      <c r="E3677" s="10" t="s">
        <v>32</v>
      </c>
      <c r="I3677" t="s">
        <v>42</v>
      </c>
      <c r="J3677" t="s">
        <v>39</v>
      </c>
      <c r="K3677" t="s">
        <v>40</v>
      </c>
      <c r="L3677" t="s">
        <v>36</v>
      </c>
      <c r="M3677" t="s">
        <v>33</v>
      </c>
      <c r="N3677" t="s">
        <v>34</v>
      </c>
      <c r="O3677" t="s">
        <v>32</v>
      </c>
      <c r="P3677" t="s">
        <v>37</v>
      </c>
      <c r="R3677" t="s">
        <v>43</v>
      </c>
      <c r="S3677" t="s">
        <v>44</v>
      </c>
    </row>
    <row r="3678" spans="1:21" x14ac:dyDescent="0.35">
      <c r="A3678" s="2">
        <v>42832</v>
      </c>
      <c r="B3678" s="70" t="s">
        <v>38</v>
      </c>
      <c r="C3678" s="10">
        <v>70</v>
      </c>
      <c r="D3678" s="10">
        <v>297</v>
      </c>
      <c r="E3678" s="10" t="s">
        <v>32</v>
      </c>
      <c r="I3678" s="5">
        <f>COUNTIF(E3629:E3679,"VA")</f>
        <v>0</v>
      </c>
      <c r="J3678" s="5">
        <f>COUNTIF(E3629:E3679,"VB")</f>
        <v>0</v>
      </c>
      <c r="K3678" s="5">
        <f>COUNTIF(E3629:E3679,"VIA0")</f>
        <v>0</v>
      </c>
      <c r="L3678" s="5">
        <f>COUNTIF(E3629:E3679,"VIA1")</f>
        <v>0</v>
      </c>
      <c r="M3678" s="5">
        <f>COUNTIF(E3629:E3679,"VIA2")</f>
        <v>5</v>
      </c>
      <c r="N3678" s="5">
        <f>COUNTIF(E3629:E3679,"VIA3")</f>
        <v>21</v>
      </c>
      <c r="O3678" s="5">
        <f>COUNTIF(E3629:E3679,"VIA4")</f>
        <v>25</v>
      </c>
      <c r="P3678" s="5">
        <f>COUNTIF(E3574:E3679,"VIB")</f>
        <v>0</v>
      </c>
      <c r="R3678" s="7">
        <f>AVERAGE(C3629:C3679)</f>
        <v>68.764705882352942</v>
      </c>
      <c r="S3678" s="7">
        <f>AVERAGE(D3629:D3679)</f>
        <v>281.8235294117647</v>
      </c>
      <c r="T3678" s="7"/>
      <c r="U3678" s="7" t="e">
        <f>AVERAGE(#REF!)</f>
        <v>#REF!</v>
      </c>
    </row>
    <row r="3679" spans="1:21" s="4" customFormat="1" x14ac:dyDescent="0.35">
      <c r="A3679" s="3">
        <v>42832</v>
      </c>
      <c r="B3679" s="44" t="s">
        <v>38</v>
      </c>
      <c r="C3679" s="11">
        <v>71</v>
      </c>
      <c r="D3679" s="11">
        <v>482</v>
      </c>
      <c r="E3679" s="4" t="s">
        <v>33</v>
      </c>
      <c r="I3679" s="6">
        <f>I3678/51*100</f>
        <v>0</v>
      </c>
      <c r="J3679" s="6">
        <f t="shared" ref="J3679:P3679" si="114">J3678/51*100</f>
        <v>0</v>
      </c>
      <c r="K3679" s="6">
        <f t="shared" si="114"/>
        <v>0</v>
      </c>
      <c r="L3679" s="6">
        <f t="shared" si="114"/>
        <v>0</v>
      </c>
      <c r="M3679" s="6">
        <f t="shared" si="114"/>
        <v>9.8039215686274517</v>
      </c>
      <c r="N3679" s="6">
        <f t="shared" si="114"/>
        <v>41.17647058823529</v>
      </c>
      <c r="O3679" s="6">
        <f t="shared" si="114"/>
        <v>49.019607843137251</v>
      </c>
      <c r="P3679" s="6">
        <f t="shared" si="114"/>
        <v>0</v>
      </c>
    </row>
    <row r="3680" spans="1:21" x14ac:dyDescent="0.35">
      <c r="A3680" s="2">
        <v>42832</v>
      </c>
      <c r="B3680" s="70" t="s">
        <v>29</v>
      </c>
      <c r="C3680" s="10">
        <v>180</v>
      </c>
      <c r="D3680" s="10">
        <v>8207</v>
      </c>
      <c r="E3680" s="10" t="s">
        <v>98</v>
      </c>
    </row>
    <row r="3681" spans="1:10" x14ac:dyDescent="0.35">
      <c r="A3681" s="2">
        <v>42832</v>
      </c>
      <c r="B3681" s="70" t="s">
        <v>29</v>
      </c>
      <c r="C3681" s="10">
        <v>135</v>
      </c>
      <c r="D3681" s="10">
        <v>3051</v>
      </c>
      <c r="E3681" s="10" t="s">
        <v>98</v>
      </c>
    </row>
    <row r="3682" spans="1:10" x14ac:dyDescent="0.35">
      <c r="A3682" s="2">
        <v>42832</v>
      </c>
      <c r="B3682" s="70" t="s">
        <v>29</v>
      </c>
      <c r="C3682" s="10">
        <v>110</v>
      </c>
      <c r="D3682" s="10">
        <v>1289</v>
      </c>
      <c r="E3682" s="10" t="s">
        <v>98</v>
      </c>
    </row>
    <row r="3683" spans="1:10" x14ac:dyDescent="0.35">
      <c r="A3683" s="2">
        <v>42832</v>
      </c>
      <c r="B3683" s="70" t="s">
        <v>29</v>
      </c>
      <c r="C3683" s="10">
        <v>132</v>
      </c>
      <c r="D3683" s="10">
        <v>2634</v>
      </c>
      <c r="E3683" s="10" t="s">
        <v>98</v>
      </c>
    </row>
    <row r="3684" spans="1:10" x14ac:dyDescent="0.35">
      <c r="A3684" s="2">
        <v>42832</v>
      </c>
      <c r="B3684" s="70" t="s">
        <v>29</v>
      </c>
      <c r="C3684" s="10">
        <v>110</v>
      </c>
      <c r="D3684" s="10">
        <v>1605</v>
      </c>
      <c r="E3684" s="10" t="s">
        <v>98</v>
      </c>
    </row>
    <row r="3685" spans="1:10" x14ac:dyDescent="0.35">
      <c r="A3685" s="2">
        <v>42832</v>
      </c>
      <c r="B3685" s="70" t="s">
        <v>29</v>
      </c>
      <c r="C3685" s="10">
        <v>108</v>
      </c>
      <c r="D3685" s="10">
        <v>1515</v>
      </c>
      <c r="E3685" s="10" t="s">
        <v>98</v>
      </c>
    </row>
    <row r="3686" spans="1:10" x14ac:dyDescent="0.35">
      <c r="A3686" s="2">
        <v>42832</v>
      </c>
      <c r="B3686" s="70" t="s">
        <v>29</v>
      </c>
      <c r="C3686" s="10">
        <v>110</v>
      </c>
      <c r="D3686" s="10">
        <v>1394</v>
      </c>
      <c r="E3686" s="10" t="s">
        <v>98</v>
      </c>
    </row>
    <row r="3687" spans="1:10" x14ac:dyDescent="0.35">
      <c r="A3687" s="2">
        <v>42832</v>
      </c>
      <c r="B3687" s="70" t="s">
        <v>29</v>
      </c>
      <c r="C3687" s="10">
        <v>116</v>
      </c>
      <c r="D3687" s="10">
        <v>1615</v>
      </c>
      <c r="E3687" s="10" t="s">
        <v>98</v>
      </c>
    </row>
    <row r="3688" spans="1:10" x14ac:dyDescent="0.35">
      <c r="A3688" s="2">
        <v>42832</v>
      </c>
      <c r="B3688" s="70" t="s">
        <v>29</v>
      </c>
      <c r="C3688" s="10">
        <v>143</v>
      </c>
      <c r="D3688" s="10">
        <v>3776</v>
      </c>
      <c r="E3688" s="10" t="s">
        <v>98</v>
      </c>
    </row>
    <row r="3689" spans="1:10" x14ac:dyDescent="0.35">
      <c r="A3689" s="2">
        <v>42832</v>
      </c>
      <c r="B3689" s="70" t="s">
        <v>29</v>
      </c>
      <c r="C3689" s="10">
        <v>102</v>
      </c>
      <c r="D3689" s="10">
        <v>1316</v>
      </c>
      <c r="E3689" s="10" t="s">
        <v>98</v>
      </c>
    </row>
    <row r="3690" spans="1:10" x14ac:dyDescent="0.35">
      <c r="A3690" s="2">
        <v>42832</v>
      </c>
      <c r="B3690" s="70" t="s">
        <v>29</v>
      </c>
      <c r="C3690" s="10">
        <v>131</v>
      </c>
      <c r="D3690" s="10">
        <v>2264</v>
      </c>
      <c r="E3690" s="10" t="s">
        <v>98</v>
      </c>
      <c r="J3690" s="42" t="e">
        <f>AVERAGE(#REF!)</f>
        <v>#REF!</v>
      </c>
    </row>
    <row r="3691" spans="1:10" x14ac:dyDescent="0.35">
      <c r="A3691" s="2">
        <v>42832</v>
      </c>
      <c r="B3691" s="70" t="s">
        <v>29</v>
      </c>
      <c r="C3691" s="10">
        <v>86</v>
      </c>
      <c r="D3691" s="10">
        <v>680</v>
      </c>
      <c r="E3691" s="10" t="s">
        <v>98</v>
      </c>
      <c r="J3691" s="42" t="e">
        <f>AVERAGE(#REF!,#REF!)</f>
        <v>#REF!</v>
      </c>
    </row>
    <row r="3692" spans="1:10" x14ac:dyDescent="0.35">
      <c r="A3692" s="2">
        <v>42832</v>
      </c>
      <c r="B3692" s="70" t="s">
        <v>29</v>
      </c>
      <c r="C3692" s="10">
        <v>72</v>
      </c>
      <c r="D3692" s="10">
        <v>379</v>
      </c>
      <c r="E3692" s="10" t="s">
        <v>32</v>
      </c>
      <c r="G3692" t="s">
        <v>337</v>
      </c>
    </row>
    <row r="3693" spans="1:10" x14ac:dyDescent="0.35">
      <c r="A3693" s="2">
        <v>42832</v>
      </c>
      <c r="B3693" s="70" t="s">
        <v>29</v>
      </c>
      <c r="C3693" s="10">
        <v>69</v>
      </c>
      <c r="D3693" s="10">
        <v>275</v>
      </c>
      <c r="E3693" s="10" t="s">
        <v>33</v>
      </c>
      <c r="G3693" t="s">
        <v>338</v>
      </c>
    </row>
    <row r="3694" spans="1:10" x14ac:dyDescent="0.35">
      <c r="A3694" s="2">
        <v>42832</v>
      </c>
      <c r="B3694" s="70" t="s">
        <v>29</v>
      </c>
      <c r="C3694" s="10">
        <v>70</v>
      </c>
      <c r="D3694" s="10">
        <v>288</v>
      </c>
      <c r="E3694" s="10" t="s">
        <v>34</v>
      </c>
      <c r="G3694" t="s">
        <v>339</v>
      </c>
    </row>
    <row r="3695" spans="1:10" x14ac:dyDescent="0.35">
      <c r="A3695" s="2">
        <v>42832</v>
      </c>
      <c r="B3695" s="70" t="s">
        <v>29</v>
      </c>
      <c r="C3695" s="10">
        <v>73</v>
      </c>
      <c r="D3695" s="10">
        <v>354</v>
      </c>
      <c r="E3695" s="10" t="s">
        <v>32</v>
      </c>
      <c r="G3695" t="s">
        <v>340</v>
      </c>
    </row>
    <row r="3696" spans="1:10" x14ac:dyDescent="0.35">
      <c r="A3696" s="2">
        <v>42832</v>
      </c>
      <c r="B3696" s="70" t="s">
        <v>29</v>
      </c>
      <c r="C3696" s="10">
        <v>74</v>
      </c>
      <c r="D3696" s="10">
        <v>294</v>
      </c>
      <c r="E3696" s="10" t="s">
        <v>34</v>
      </c>
      <c r="G3696" t="s">
        <v>341</v>
      </c>
    </row>
    <row r="3697" spans="1:6" x14ac:dyDescent="0.35">
      <c r="A3697" s="2">
        <v>42832</v>
      </c>
      <c r="B3697" s="70" t="s">
        <v>29</v>
      </c>
      <c r="C3697" s="10">
        <v>71</v>
      </c>
      <c r="D3697" s="10">
        <v>305</v>
      </c>
      <c r="E3697" s="10" t="s">
        <v>34</v>
      </c>
    </row>
    <row r="3698" spans="1:6" x14ac:dyDescent="0.35">
      <c r="A3698" s="2">
        <v>42832</v>
      </c>
      <c r="B3698" s="70" t="s">
        <v>29</v>
      </c>
      <c r="C3698" s="10">
        <v>74</v>
      </c>
      <c r="D3698" s="10">
        <v>350</v>
      </c>
      <c r="E3698" s="10" t="s">
        <v>34</v>
      </c>
    </row>
    <row r="3699" spans="1:6" x14ac:dyDescent="0.35">
      <c r="A3699" s="2">
        <v>42832</v>
      </c>
      <c r="B3699" s="70" t="s">
        <v>29</v>
      </c>
      <c r="C3699" s="10">
        <v>63</v>
      </c>
      <c r="D3699" s="10">
        <v>196</v>
      </c>
      <c r="E3699" s="10" t="s">
        <v>34</v>
      </c>
    </row>
    <row r="3700" spans="1:6" x14ac:dyDescent="0.35">
      <c r="A3700" s="2">
        <v>42832</v>
      </c>
      <c r="B3700" s="70" t="s">
        <v>29</v>
      </c>
      <c r="C3700" s="10">
        <v>72</v>
      </c>
      <c r="D3700" s="10">
        <v>378</v>
      </c>
      <c r="E3700" s="10" t="s">
        <v>34</v>
      </c>
    </row>
    <row r="3701" spans="1:6" x14ac:dyDescent="0.35">
      <c r="A3701" s="2">
        <v>42832</v>
      </c>
      <c r="B3701" s="70" t="s">
        <v>29</v>
      </c>
      <c r="C3701" s="10">
        <v>73</v>
      </c>
      <c r="D3701" s="10">
        <v>333</v>
      </c>
      <c r="E3701" s="10" t="s">
        <v>34</v>
      </c>
      <c r="F3701" t="s">
        <v>198</v>
      </c>
    </row>
    <row r="3702" spans="1:6" x14ac:dyDescent="0.35">
      <c r="A3702" s="2">
        <v>42832</v>
      </c>
      <c r="B3702" s="70" t="s">
        <v>29</v>
      </c>
      <c r="C3702" s="10">
        <v>70</v>
      </c>
      <c r="D3702" s="10">
        <v>325</v>
      </c>
      <c r="E3702" s="10" t="s">
        <v>34</v>
      </c>
    </row>
    <row r="3703" spans="1:6" x14ac:dyDescent="0.35">
      <c r="A3703" s="2">
        <v>42832</v>
      </c>
      <c r="B3703" s="70" t="s">
        <v>29</v>
      </c>
      <c r="C3703" s="10">
        <v>72</v>
      </c>
      <c r="D3703" s="10">
        <v>281</v>
      </c>
      <c r="E3703" s="10" t="s">
        <v>32</v>
      </c>
    </row>
    <row r="3704" spans="1:6" x14ac:dyDescent="0.35">
      <c r="A3704" s="2">
        <v>42832</v>
      </c>
      <c r="B3704" s="70" t="s">
        <v>29</v>
      </c>
      <c r="C3704" s="10">
        <v>72</v>
      </c>
      <c r="D3704" s="10">
        <v>335</v>
      </c>
      <c r="E3704" s="10" t="s">
        <v>34</v>
      </c>
    </row>
    <row r="3705" spans="1:6" x14ac:dyDescent="0.35">
      <c r="A3705" s="2">
        <v>42832</v>
      </c>
      <c r="B3705" s="70" t="s">
        <v>29</v>
      </c>
      <c r="C3705" s="10">
        <v>65</v>
      </c>
      <c r="D3705" s="10">
        <v>200</v>
      </c>
      <c r="E3705" s="10" t="s">
        <v>34</v>
      </c>
    </row>
    <row r="3706" spans="1:6" x14ac:dyDescent="0.35">
      <c r="A3706" s="2">
        <v>42832</v>
      </c>
      <c r="B3706" s="70" t="s">
        <v>29</v>
      </c>
      <c r="C3706" s="10">
        <v>69</v>
      </c>
      <c r="D3706" s="10">
        <v>283</v>
      </c>
      <c r="E3706" s="10" t="s">
        <v>33</v>
      </c>
    </row>
    <row r="3707" spans="1:6" x14ac:dyDescent="0.35">
      <c r="A3707" s="2">
        <v>42832</v>
      </c>
      <c r="B3707" s="70" t="s">
        <v>29</v>
      </c>
      <c r="C3707" s="10">
        <v>71</v>
      </c>
      <c r="D3707" s="10">
        <v>296</v>
      </c>
      <c r="E3707" s="10" t="s">
        <v>34</v>
      </c>
      <c r="F3707" t="s">
        <v>198</v>
      </c>
    </row>
    <row r="3708" spans="1:6" x14ac:dyDescent="0.35">
      <c r="A3708" s="2">
        <v>42832</v>
      </c>
      <c r="B3708" s="70" t="s">
        <v>29</v>
      </c>
      <c r="C3708" s="10">
        <v>68</v>
      </c>
      <c r="D3708" s="10">
        <v>253</v>
      </c>
      <c r="E3708" s="10" t="s">
        <v>34</v>
      </c>
    </row>
    <row r="3709" spans="1:6" x14ac:dyDescent="0.35">
      <c r="A3709" s="2">
        <v>42832</v>
      </c>
      <c r="B3709" s="70" t="s">
        <v>29</v>
      </c>
      <c r="C3709" s="10">
        <v>68</v>
      </c>
      <c r="D3709" s="10">
        <v>299</v>
      </c>
      <c r="E3709" s="10" t="s">
        <v>34</v>
      </c>
    </row>
    <row r="3710" spans="1:6" x14ac:dyDescent="0.35">
      <c r="A3710" s="2">
        <v>42832</v>
      </c>
      <c r="B3710" s="70" t="s">
        <v>29</v>
      </c>
      <c r="C3710" s="10">
        <v>69</v>
      </c>
      <c r="D3710" s="10">
        <v>285</v>
      </c>
      <c r="E3710" s="10" t="s">
        <v>32</v>
      </c>
    </row>
    <row r="3711" spans="1:6" x14ac:dyDescent="0.35">
      <c r="A3711" s="2">
        <v>42832</v>
      </c>
      <c r="B3711" s="70" t="s">
        <v>29</v>
      </c>
      <c r="C3711" s="10">
        <v>65</v>
      </c>
      <c r="D3711" s="10">
        <v>255</v>
      </c>
      <c r="E3711" s="10" t="s">
        <v>34</v>
      </c>
    </row>
    <row r="3712" spans="1:6" x14ac:dyDescent="0.35">
      <c r="A3712" s="2">
        <v>42832</v>
      </c>
      <c r="B3712" s="70" t="s">
        <v>29</v>
      </c>
      <c r="C3712" s="10">
        <v>67</v>
      </c>
      <c r="D3712" s="10">
        <v>211</v>
      </c>
      <c r="E3712" s="10" t="s">
        <v>34</v>
      </c>
    </row>
    <row r="3713" spans="1:6" x14ac:dyDescent="0.35">
      <c r="A3713" s="2">
        <v>42832</v>
      </c>
      <c r="B3713" s="70" t="s">
        <v>29</v>
      </c>
      <c r="C3713" s="10">
        <v>68</v>
      </c>
      <c r="D3713" s="10">
        <v>278</v>
      </c>
      <c r="E3713" s="10" t="s">
        <v>34</v>
      </c>
    </row>
    <row r="3714" spans="1:6" x14ac:dyDescent="0.35">
      <c r="A3714" s="2">
        <v>42832</v>
      </c>
      <c r="B3714" s="70" t="s">
        <v>29</v>
      </c>
      <c r="C3714" s="10">
        <v>64</v>
      </c>
      <c r="D3714" s="10">
        <v>234</v>
      </c>
      <c r="E3714" s="10" t="s">
        <v>33</v>
      </c>
    </row>
    <row r="3715" spans="1:6" x14ac:dyDescent="0.35">
      <c r="A3715" s="2">
        <v>42832</v>
      </c>
      <c r="B3715" s="70" t="s">
        <v>29</v>
      </c>
      <c r="C3715" s="10">
        <v>71</v>
      </c>
      <c r="D3715" s="10">
        <v>337</v>
      </c>
      <c r="E3715" s="10" t="s">
        <v>34</v>
      </c>
    </row>
    <row r="3716" spans="1:6" x14ac:dyDescent="0.35">
      <c r="A3716" s="2">
        <v>42832</v>
      </c>
      <c r="B3716" s="70" t="s">
        <v>29</v>
      </c>
      <c r="C3716" s="10">
        <v>76</v>
      </c>
      <c r="D3716" s="10">
        <v>357</v>
      </c>
      <c r="E3716" s="10" t="s">
        <v>32</v>
      </c>
    </row>
    <row r="3717" spans="1:6" x14ac:dyDescent="0.35">
      <c r="A3717" s="2">
        <v>42832</v>
      </c>
      <c r="B3717" s="70" t="s">
        <v>29</v>
      </c>
      <c r="C3717" s="10">
        <v>71</v>
      </c>
      <c r="D3717" s="10">
        <v>322</v>
      </c>
      <c r="E3717" s="10" t="s">
        <v>33</v>
      </c>
    </row>
    <row r="3718" spans="1:6" x14ac:dyDescent="0.35">
      <c r="A3718" s="2">
        <v>42832</v>
      </c>
      <c r="B3718" s="70" t="s">
        <v>29</v>
      </c>
      <c r="C3718" s="10">
        <v>69</v>
      </c>
      <c r="D3718" s="10">
        <v>315</v>
      </c>
      <c r="E3718" s="10" t="s">
        <v>40</v>
      </c>
    </row>
    <row r="3719" spans="1:6" x14ac:dyDescent="0.35">
      <c r="A3719" s="2">
        <v>42832</v>
      </c>
      <c r="B3719" s="70" t="s">
        <v>29</v>
      </c>
      <c r="C3719" s="10">
        <v>74</v>
      </c>
      <c r="D3719" s="10">
        <v>382</v>
      </c>
      <c r="E3719" s="10" t="s">
        <v>34</v>
      </c>
      <c r="F3719" t="s">
        <v>198</v>
      </c>
    </row>
    <row r="3720" spans="1:6" x14ac:dyDescent="0.35">
      <c r="A3720" s="2">
        <v>42832</v>
      </c>
      <c r="B3720" s="70" t="s">
        <v>29</v>
      </c>
      <c r="C3720" s="10">
        <v>75</v>
      </c>
      <c r="D3720" s="10">
        <v>380</v>
      </c>
      <c r="E3720" s="10" t="s">
        <v>34</v>
      </c>
      <c r="F3720" t="s">
        <v>198</v>
      </c>
    </row>
    <row r="3721" spans="1:6" x14ac:dyDescent="0.35">
      <c r="A3721" s="2">
        <v>42832</v>
      </c>
      <c r="B3721" s="70" t="s">
        <v>29</v>
      </c>
      <c r="C3721" s="10">
        <v>74</v>
      </c>
      <c r="D3721" s="10">
        <v>335</v>
      </c>
      <c r="E3721" s="10" t="s">
        <v>33</v>
      </c>
    </row>
    <row r="3722" spans="1:6" x14ac:dyDescent="0.35">
      <c r="A3722" s="2">
        <v>42832</v>
      </c>
      <c r="B3722" s="70" t="s">
        <v>29</v>
      </c>
      <c r="C3722" s="10">
        <v>66</v>
      </c>
      <c r="D3722" s="10">
        <v>231</v>
      </c>
      <c r="E3722" s="10" t="s">
        <v>32</v>
      </c>
    </row>
    <row r="3723" spans="1:6" x14ac:dyDescent="0.35">
      <c r="A3723" s="2">
        <v>42832</v>
      </c>
      <c r="B3723" s="70" t="s">
        <v>29</v>
      </c>
      <c r="C3723" s="10">
        <v>69</v>
      </c>
      <c r="D3723" s="10">
        <v>334</v>
      </c>
      <c r="E3723" s="10" t="s">
        <v>34</v>
      </c>
    </row>
    <row r="3724" spans="1:6" x14ac:dyDescent="0.35">
      <c r="A3724" s="2">
        <v>42832</v>
      </c>
      <c r="B3724" s="70" t="s">
        <v>29</v>
      </c>
      <c r="C3724" s="10">
        <v>64</v>
      </c>
      <c r="D3724" s="10">
        <v>226</v>
      </c>
      <c r="E3724" s="10" t="s">
        <v>34</v>
      </c>
    </row>
    <row r="3725" spans="1:6" x14ac:dyDescent="0.35">
      <c r="A3725" s="2">
        <v>42832</v>
      </c>
      <c r="B3725" s="70" t="s">
        <v>29</v>
      </c>
      <c r="C3725" s="10">
        <v>69</v>
      </c>
      <c r="D3725" s="10">
        <v>263</v>
      </c>
      <c r="E3725" s="10" t="s">
        <v>32</v>
      </c>
    </row>
    <row r="3726" spans="1:6" x14ac:dyDescent="0.35">
      <c r="A3726" s="2">
        <v>42832</v>
      </c>
      <c r="B3726" s="70" t="s">
        <v>29</v>
      </c>
      <c r="C3726" s="10">
        <v>69</v>
      </c>
      <c r="D3726" s="10">
        <v>272</v>
      </c>
      <c r="E3726" s="10" t="s">
        <v>32</v>
      </c>
      <c r="F3726" t="s">
        <v>198</v>
      </c>
    </row>
    <row r="3727" spans="1:6" x14ac:dyDescent="0.35">
      <c r="A3727" s="2">
        <v>42832</v>
      </c>
      <c r="B3727" s="70" t="s">
        <v>29</v>
      </c>
      <c r="C3727" s="10">
        <v>72</v>
      </c>
      <c r="D3727" s="10">
        <v>307</v>
      </c>
      <c r="E3727" s="10" t="s">
        <v>32</v>
      </c>
    </row>
    <row r="3728" spans="1:6" x14ac:dyDescent="0.35">
      <c r="A3728" s="2">
        <v>42832</v>
      </c>
      <c r="B3728" s="70" t="s">
        <v>29</v>
      </c>
      <c r="C3728" s="10">
        <v>71</v>
      </c>
      <c r="D3728" s="10">
        <v>337</v>
      </c>
      <c r="E3728" s="10" t="s">
        <v>34</v>
      </c>
    </row>
    <row r="3729" spans="1:21" x14ac:dyDescent="0.35">
      <c r="A3729" s="2">
        <v>42832</v>
      </c>
      <c r="B3729" s="70" t="s">
        <v>29</v>
      </c>
      <c r="C3729" s="10">
        <v>65</v>
      </c>
      <c r="D3729" s="10">
        <v>192</v>
      </c>
      <c r="E3729" s="10" t="s">
        <v>32</v>
      </c>
      <c r="F3729" t="s">
        <v>198</v>
      </c>
      <c r="G3729" t="s">
        <v>336</v>
      </c>
      <c r="O3729">
        <f>AVERAGE(C3680:C3691,C3626:C3628,C3570:C3574,C3517:C3519)</f>
        <v>114.26086956521739</v>
      </c>
      <c r="P3729">
        <f>AVERAGE(D3680:D3691,D3626:D3628,D3570:D3574,D3517:D3519)</f>
        <v>1958.0434782608695</v>
      </c>
      <c r="R3729" t="e">
        <f>AVERAGE(#REF!,#REF!,#REF!,#REF!)</f>
        <v>#REF!</v>
      </c>
    </row>
    <row r="3730" spans="1:21" x14ac:dyDescent="0.35">
      <c r="A3730" s="2">
        <v>42832</v>
      </c>
      <c r="B3730" s="70" t="s">
        <v>29</v>
      </c>
      <c r="C3730" s="10">
        <v>67</v>
      </c>
      <c r="D3730" s="10">
        <v>238</v>
      </c>
      <c r="E3730" s="10" t="s">
        <v>34</v>
      </c>
    </row>
    <row r="3731" spans="1:21" x14ac:dyDescent="0.35">
      <c r="A3731" s="2">
        <v>42832</v>
      </c>
      <c r="B3731" s="70" t="s">
        <v>29</v>
      </c>
      <c r="C3731" s="10">
        <v>70</v>
      </c>
      <c r="D3731" s="10">
        <v>223</v>
      </c>
      <c r="E3731" s="10" t="s">
        <v>32</v>
      </c>
    </row>
    <row r="3732" spans="1:21" x14ac:dyDescent="0.35">
      <c r="A3732" s="2">
        <v>42832</v>
      </c>
      <c r="B3732" s="70" t="s">
        <v>29</v>
      </c>
      <c r="C3732" s="10">
        <v>71</v>
      </c>
      <c r="D3732" s="10">
        <v>324</v>
      </c>
      <c r="E3732" s="10" t="s">
        <v>34</v>
      </c>
    </row>
    <row r="3733" spans="1:21" x14ac:dyDescent="0.35">
      <c r="A3733" s="2">
        <v>42832</v>
      </c>
      <c r="B3733" s="70" t="s">
        <v>29</v>
      </c>
      <c r="C3733" s="10">
        <v>68</v>
      </c>
      <c r="D3733" s="10">
        <v>252</v>
      </c>
      <c r="E3733" s="10" t="s">
        <v>34</v>
      </c>
      <c r="F3733" t="s">
        <v>198</v>
      </c>
    </row>
    <row r="3734" spans="1:21" x14ac:dyDescent="0.35">
      <c r="A3734" s="2">
        <v>42832</v>
      </c>
      <c r="B3734" s="70" t="s">
        <v>29</v>
      </c>
      <c r="C3734" s="10">
        <v>68</v>
      </c>
      <c r="D3734" s="10">
        <v>268</v>
      </c>
      <c r="E3734" s="10" t="s">
        <v>32</v>
      </c>
    </row>
    <row r="3735" spans="1:21" x14ac:dyDescent="0.35">
      <c r="A3735" s="2">
        <v>42832</v>
      </c>
      <c r="B3735" s="70" t="s">
        <v>29</v>
      </c>
      <c r="C3735" s="10">
        <v>75</v>
      </c>
      <c r="D3735" s="10">
        <v>367</v>
      </c>
      <c r="E3735" s="10" t="s">
        <v>34</v>
      </c>
      <c r="I3735" t="s">
        <v>42</v>
      </c>
      <c r="J3735" t="s">
        <v>39</v>
      </c>
      <c r="K3735" t="s">
        <v>40</v>
      </c>
      <c r="L3735" t="s">
        <v>36</v>
      </c>
      <c r="M3735" t="s">
        <v>33</v>
      </c>
      <c r="N3735" t="s">
        <v>34</v>
      </c>
      <c r="O3735" t="s">
        <v>32</v>
      </c>
      <c r="P3735" t="s">
        <v>37</v>
      </c>
      <c r="R3735" t="s">
        <v>43</v>
      </c>
      <c r="S3735" t="s">
        <v>44</v>
      </c>
    </row>
    <row r="3736" spans="1:21" x14ac:dyDescent="0.35">
      <c r="A3736" s="2">
        <v>42832</v>
      </c>
      <c r="B3736" s="70" t="s">
        <v>29</v>
      </c>
      <c r="C3736" s="10">
        <v>71</v>
      </c>
      <c r="D3736" s="10">
        <v>281</v>
      </c>
      <c r="E3736" s="10" t="s">
        <v>34</v>
      </c>
      <c r="I3736" s="5">
        <f>COUNTIF(E3688:E3737,"VA")</f>
        <v>0</v>
      </c>
      <c r="J3736" s="5">
        <f>COUNTIF(E3687:E3737,"VB")</f>
        <v>0</v>
      </c>
      <c r="K3736" s="5">
        <f>COUNTIF(E3628:E3741,"VIA0")</f>
        <v>1</v>
      </c>
      <c r="L3736" s="5">
        <f>COUNTIF(E3627:E3741,"VIA1")</f>
        <v>0</v>
      </c>
      <c r="M3736" s="5">
        <f>COUNTIF(E3628:E3741,"VIA2")</f>
        <v>11</v>
      </c>
      <c r="N3736" s="5">
        <f>COUNTIF(E3628:E3741,"VIA3")</f>
        <v>52</v>
      </c>
      <c r="O3736" s="5">
        <f>COUNTIF(E3628:E3741,"VIA4")</f>
        <v>37</v>
      </c>
      <c r="P3736" s="5">
        <f>COUNTIF(E3632:E3737,"VIB")</f>
        <v>0</v>
      </c>
      <c r="R3736" s="7">
        <f>AVERAGE(C3692:C3741,C3629:C3679)</f>
        <v>69.207920792079207</v>
      </c>
      <c r="S3736" s="7">
        <f>AVERAGE(D3692:D3741,D3629:D3679)</f>
        <v>286.54455445544556</v>
      </c>
    </row>
    <row r="3737" spans="1:21" x14ac:dyDescent="0.35">
      <c r="A3737" s="2">
        <v>42832</v>
      </c>
      <c r="B3737" s="70" t="s">
        <v>29</v>
      </c>
      <c r="C3737" s="10">
        <v>66</v>
      </c>
      <c r="D3737" s="10">
        <v>291</v>
      </c>
      <c r="E3737" s="10" t="s">
        <v>33</v>
      </c>
      <c r="F3737" t="s">
        <v>198</v>
      </c>
      <c r="I3737" s="6">
        <f>I3736/101*100</f>
        <v>0</v>
      </c>
      <c r="J3737" s="6">
        <f t="shared" ref="J3737:P3737" si="115">J3736/101*100</f>
        <v>0</v>
      </c>
      <c r="K3737" s="6">
        <f t="shared" si="115"/>
        <v>0.99009900990099009</v>
      </c>
      <c r="L3737" s="6">
        <f t="shared" si="115"/>
        <v>0</v>
      </c>
      <c r="M3737" s="6">
        <f t="shared" si="115"/>
        <v>10.891089108910892</v>
      </c>
      <c r="N3737" s="6">
        <f t="shared" si="115"/>
        <v>51.485148514851488</v>
      </c>
      <c r="O3737" s="6">
        <f t="shared" si="115"/>
        <v>36.633663366336634</v>
      </c>
      <c r="P3737" s="6">
        <f t="shared" si="115"/>
        <v>0</v>
      </c>
      <c r="Q3737" s="4"/>
      <c r="R3737" s="4"/>
      <c r="S3737" s="4"/>
    </row>
    <row r="3738" spans="1:21" x14ac:dyDescent="0.35">
      <c r="A3738" s="2">
        <v>42832</v>
      </c>
      <c r="B3738" s="70" t="s">
        <v>29</v>
      </c>
      <c r="C3738" s="10">
        <v>71</v>
      </c>
      <c r="D3738" s="10">
        <v>303</v>
      </c>
      <c r="E3738" s="10" t="s">
        <v>34</v>
      </c>
    </row>
    <row r="3739" spans="1:21" x14ac:dyDescent="0.35">
      <c r="A3739" s="2">
        <v>42832</v>
      </c>
      <c r="B3739" s="70" t="s">
        <v>29</v>
      </c>
      <c r="C3739" s="10">
        <v>71</v>
      </c>
      <c r="D3739" s="10">
        <v>301</v>
      </c>
      <c r="E3739" s="10" t="s">
        <v>34</v>
      </c>
      <c r="I3739" t="s">
        <v>42</v>
      </c>
      <c r="J3739" t="s">
        <v>39</v>
      </c>
      <c r="K3739" t="s">
        <v>40</v>
      </c>
      <c r="L3739" t="s">
        <v>36</v>
      </c>
      <c r="M3739" t="s">
        <v>33</v>
      </c>
      <c r="N3739" t="s">
        <v>34</v>
      </c>
      <c r="O3739" t="s">
        <v>32</v>
      </c>
      <c r="P3739" t="s">
        <v>37</v>
      </c>
      <c r="R3739" t="s">
        <v>43</v>
      </c>
      <c r="S3739" t="s">
        <v>44</v>
      </c>
    </row>
    <row r="3740" spans="1:21" x14ac:dyDescent="0.35">
      <c r="A3740" s="2">
        <v>42832</v>
      </c>
      <c r="B3740" s="70" t="s">
        <v>29</v>
      </c>
      <c r="C3740" s="10">
        <v>70</v>
      </c>
      <c r="D3740" s="10">
        <v>293</v>
      </c>
      <c r="E3740" s="10" t="s">
        <v>34</v>
      </c>
      <c r="F3740" t="s">
        <v>198</v>
      </c>
      <c r="I3740" s="5">
        <f>COUNTIF(E3692:E3741,"VA")</f>
        <v>0</v>
      </c>
      <c r="J3740" s="5">
        <f>COUNTIF(E3691:E3741,"VB")</f>
        <v>0</v>
      </c>
      <c r="K3740" s="5">
        <f>COUNTIF(E3691:E3741,"VIA0")</f>
        <v>1</v>
      </c>
      <c r="L3740" s="5">
        <f>COUNTIF(E3691:E3741,"VIA1")</f>
        <v>0</v>
      </c>
      <c r="M3740" s="5">
        <f>COUNTIF(E3691:E3741,"VIA2")</f>
        <v>6</v>
      </c>
      <c r="N3740" s="5">
        <f>COUNTIF(E3691:E3741,"VIA3")</f>
        <v>31</v>
      </c>
      <c r="O3740" s="5">
        <f>COUNTIF(E3691:E3741,"VIA4")</f>
        <v>12</v>
      </c>
      <c r="P3740" s="5">
        <f>COUNTIF(E3636:E3741,"VIB")</f>
        <v>0</v>
      </c>
      <c r="R3740" s="7">
        <f>AVERAGE(C3692:C3741)</f>
        <v>69.66</v>
      </c>
      <c r="S3740" s="7">
        <f>AVERAGE(D3692:D3741)</f>
        <v>291.36</v>
      </c>
      <c r="T3740" s="7"/>
      <c r="U3740" s="7" t="e">
        <f>AVERAGE(#REF!)</f>
        <v>#REF!</v>
      </c>
    </row>
    <row r="3741" spans="1:21" s="4" customFormat="1" x14ac:dyDescent="0.35">
      <c r="A3741" s="3">
        <v>42832</v>
      </c>
      <c r="B3741" s="44" t="s">
        <v>29</v>
      </c>
      <c r="C3741" s="11">
        <v>61</v>
      </c>
      <c r="D3741" s="11">
        <v>150</v>
      </c>
      <c r="E3741" s="11" t="s">
        <v>34</v>
      </c>
      <c r="I3741" s="6">
        <f>I3740/50*100</f>
        <v>0</v>
      </c>
      <c r="J3741" s="6">
        <f t="shared" ref="J3741:P3741" si="116">J3740/50*100</f>
        <v>0</v>
      </c>
      <c r="K3741" s="6">
        <f t="shared" si="116"/>
        <v>2</v>
      </c>
      <c r="L3741" s="6">
        <f t="shared" si="116"/>
        <v>0</v>
      </c>
      <c r="M3741" s="6">
        <f t="shared" si="116"/>
        <v>12</v>
      </c>
      <c r="N3741" s="6">
        <f t="shared" si="116"/>
        <v>62</v>
      </c>
      <c r="O3741" s="6">
        <f t="shared" si="116"/>
        <v>24</v>
      </c>
      <c r="P3741" s="6">
        <f t="shared" si="116"/>
        <v>0</v>
      </c>
    </row>
    <row r="3742" spans="1:21" s="5" customFormat="1" x14ac:dyDescent="0.35">
      <c r="A3742" s="2">
        <v>42832</v>
      </c>
      <c r="B3742" s="40" t="s">
        <v>343</v>
      </c>
      <c r="C3742" s="10">
        <v>65</v>
      </c>
      <c r="D3742" s="10">
        <v>268</v>
      </c>
      <c r="E3742" s="10" t="s">
        <v>34</v>
      </c>
      <c r="F3742" s="5" t="s">
        <v>198</v>
      </c>
      <c r="H3742" s="5" t="s">
        <v>345</v>
      </c>
    </row>
    <row r="3743" spans="1:21" s="5" customFormat="1" x14ac:dyDescent="0.35">
      <c r="A3743" s="2">
        <v>42832</v>
      </c>
      <c r="B3743" s="40" t="s">
        <v>343</v>
      </c>
      <c r="C3743" s="10">
        <v>69</v>
      </c>
      <c r="D3743" s="10">
        <v>254</v>
      </c>
      <c r="E3743" s="10" t="s">
        <v>33</v>
      </c>
      <c r="F3743" s="5" t="s">
        <v>198</v>
      </c>
      <c r="H3743" s="5" t="s">
        <v>346</v>
      </c>
    </row>
    <row r="3744" spans="1:21" s="5" customFormat="1" x14ac:dyDescent="0.35">
      <c r="A3744" s="2">
        <v>42832</v>
      </c>
      <c r="B3744" s="40" t="s">
        <v>343</v>
      </c>
      <c r="C3744" s="10">
        <v>69</v>
      </c>
      <c r="D3744" s="10">
        <v>307</v>
      </c>
      <c r="E3744" s="10" t="s">
        <v>36</v>
      </c>
      <c r="H3744" s="5" t="s">
        <v>347</v>
      </c>
    </row>
    <row r="3745" spans="1:9" s="5" customFormat="1" x14ac:dyDescent="0.35">
      <c r="A3745" s="2">
        <v>42832</v>
      </c>
      <c r="B3745" s="40" t="s">
        <v>343</v>
      </c>
      <c r="C3745" s="10">
        <v>66</v>
      </c>
      <c r="D3745" s="10">
        <v>244</v>
      </c>
      <c r="E3745" s="10" t="s">
        <v>34</v>
      </c>
      <c r="F3745" s="10" t="s">
        <v>198</v>
      </c>
      <c r="G3745" s="10" t="s">
        <v>344</v>
      </c>
      <c r="H3745" s="5" t="s">
        <v>348</v>
      </c>
    </row>
    <row r="3746" spans="1:9" s="44" customFormat="1" x14ac:dyDescent="0.35">
      <c r="A3746" s="16">
        <v>42832</v>
      </c>
      <c r="B3746" s="44" t="s">
        <v>343</v>
      </c>
      <c r="C3746" s="26">
        <v>164</v>
      </c>
      <c r="D3746" s="26">
        <v>5758</v>
      </c>
      <c r="E3746" s="26" t="s">
        <v>98</v>
      </c>
    </row>
    <row r="3747" spans="1:9" s="40" customFormat="1" x14ac:dyDescent="0.35">
      <c r="A3747" s="2">
        <v>42832</v>
      </c>
      <c r="B3747" s="40" t="s">
        <v>342</v>
      </c>
      <c r="C3747" s="36">
        <v>67</v>
      </c>
      <c r="D3747" s="36">
        <v>271</v>
      </c>
      <c r="E3747" s="36" t="s">
        <v>33</v>
      </c>
      <c r="F3747" s="36" t="s">
        <v>293</v>
      </c>
    </row>
    <row r="3748" spans="1:9" s="40" customFormat="1" x14ac:dyDescent="0.35">
      <c r="A3748" s="2">
        <v>42832</v>
      </c>
      <c r="B3748" s="40" t="s">
        <v>342</v>
      </c>
      <c r="C3748" s="36">
        <v>69</v>
      </c>
      <c r="D3748" s="36">
        <v>314</v>
      </c>
      <c r="E3748" s="36" t="s">
        <v>32</v>
      </c>
    </row>
    <row r="3749" spans="1:9" s="40" customFormat="1" x14ac:dyDescent="0.35">
      <c r="A3749" s="2">
        <v>42832</v>
      </c>
      <c r="B3749" s="40" t="s">
        <v>342</v>
      </c>
      <c r="C3749" s="36">
        <v>95</v>
      </c>
      <c r="D3749" s="36">
        <v>1073</v>
      </c>
      <c r="E3749" s="36" t="s">
        <v>98</v>
      </c>
    </row>
    <row r="3750" spans="1:9" s="44" customFormat="1" x14ac:dyDescent="0.35">
      <c r="A3750" s="3">
        <v>42832</v>
      </c>
      <c r="B3750" s="44" t="s">
        <v>342</v>
      </c>
      <c r="C3750" s="26">
        <v>110</v>
      </c>
      <c r="D3750" s="26">
        <v>1522</v>
      </c>
      <c r="E3750" s="26" t="s">
        <v>98</v>
      </c>
    </row>
    <row r="3751" spans="1:9" x14ac:dyDescent="0.35">
      <c r="A3751" s="2">
        <v>42832</v>
      </c>
      <c r="B3751" s="70" t="s">
        <v>63</v>
      </c>
      <c r="C3751" s="10">
        <v>115</v>
      </c>
      <c r="D3751" s="10">
        <v>2393</v>
      </c>
      <c r="E3751" s="10" t="s">
        <v>98</v>
      </c>
    </row>
    <row r="3752" spans="1:9" x14ac:dyDescent="0.35">
      <c r="A3752" s="2">
        <v>42832</v>
      </c>
      <c r="B3752" s="70" t="s">
        <v>63</v>
      </c>
      <c r="C3752" s="10">
        <v>106</v>
      </c>
      <c r="D3752" s="10">
        <v>1433</v>
      </c>
      <c r="E3752" s="10" t="s">
        <v>98</v>
      </c>
    </row>
    <row r="3753" spans="1:9" x14ac:dyDescent="0.35">
      <c r="A3753" s="2">
        <v>42832</v>
      </c>
      <c r="B3753" s="70" t="s">
        <v>63</v>
      </c>
      <c r="C3753" s="10">
        <v>71</v>
      </c>
      <c r="D3753" s="10">
        <v>319</v>
      </c>
      <c r="E3753" s="10" t="s">
        <v>33</v>
      </c>
      <c r="F3753" t="s">
        <v>198</v>
      </c>
      <c r="G3753" t="s">
        <v>349</v>
      </c>
    </row>
    <row r="3754" spans="1:9" x14ac:dyDescent="0.35">
      <c r="A3754" s="2">
        <v>42832</v>
      </c>
      <c r="B3754" s="70" t="s">
        <v>63</v>
      </c>
      <c r="C3754" s="10">
        <v>64</v>
      </c>
      <c r="D3754" s="10">
        <v>244</v>
      </c>
      <c r="E3754" s="10" t="s">
        <v>32</v>
      </c>
      <c r="F3754" t="s">
        <v>293</v>
      </c>
      <c r="G3754" t="s">
        <v>350</v>
      </c>
      <c r="I3754" t="s">
        <v>361</v>
      </c>
    </row>
    <row r="3755" spans="1:9" x14ac:dyDescent="0.35">
      <c r="A3755" s="2">
        <v>42832</v>
      </c>
      <c r="B3755" s="70" t="s">
        <v>63</v>
      </c>
      <c r="C3755" s="10">
        <v>70</v>
      </c>
      <c r="D3755" s="10">
        <v>283</v>
      </c>
      <c r="E3755" s="10" t="s">
        <v>34</v>
      </c>
      <c r="F3755" t="s">
        <v>198</v>
      </c>
      <c r="G3755" t="s">
        <v>351</v>
      </c>
    </row>
    <row r="3756" spans="1:9" x14ac:dyDescent="0.35">
      <c r="A3756" s="2">
        <v>42832</v>
      </c>
      <c r="B3756" s="70" t="s">
        <v>63</v>
      </c>
      <c r="C3756" s="10">
        <v>70</v>
      </c>
      <c r="D3756" s="10">
        <v>266</v>
      </c>
      <c r="E3756" s="10" t="s">
        <v>32</v>
      </c>
      <c r="F3756" t="s">
        <v>198</v>
      </c>
      <c r="G3756" t="s">
        <v>352</v>
      </c>
    </row>
    <row r="3757" spans="1:9" x14ac:dyDescent="0.35">
      <c r="A3757" s="2">
        <v>42832</v>
      </c>
      <c r="B3757" s="70" t="s">
        <v>63</v>
      </c>
      <c r="C3757" s="10">
        <v>66</v>
      </c>
      <c r="D3757" s="10">
        <v>216</v>
      </c>
      <c r="E3757" s="10" t="s">
        <v>32</v>
      </c>
      <c r="G3757" t="s">
        <v>353</v>
      </c>
    </row>
    <row r="3758" spans="1:9" x14ac:dyDescent="0.35">
      <c r="A3758" s="2">
        <v>42832</v>
      </c>
      <c r="B3758" s="70" t="s">
        <v>63</v>
      </c>
      <c r="C3758" s="10">
        <v>73</v>
      </c>
      <c r="D3758" s="10">
        <v>306</v>
      </c>
      <c r="E3758" s="10" t="s">
        <v>34</v>
      </c>
      <c r="F3758" t="s">
        <v>293</v>
      </c>
    </row>
    <row r="3759" spans="1:9" x14ac:dyDescent="0.35">
      <c r="A3759" s="2">
        <v>42832</v>
      </c>
      <c r="B3759" s="70" t="s">
        <v>63</v>
      </c>
      <c r="C3759" s="10">
        <v>71</v>
      </c>
      <c r="D3759" s="10">
        <v>317</v>
      </c>
      <c r="E3759" s="10" t="s">
        <v>32</v>
      </c>
      <c r="F3759" t="s">
        <v>198</v>
      </c>
      <c r="G3759" t="s">
        <v>336</v>
      </c>
    </row>
    <row r="3760" spans="1:9" x14ac:dyDescent="0.35">
      <c r="A3760" s="2">
        <v>42832</v>
      </c>
      <c r="B3760" s="70" t="s">
        <v>63</v>
      </c>
      <c r="C3760" s="10">
        <v>66</v>
      </c>
      <c r="D3760" s="10">
        <v>262</v>
      </c>
      <c r="E3760" s="10" t="s">
        <v>33</v>
      </c>
      <c r="F3760" t="s">
        <v>198</v>
      </c>
    </row>
    <row r="3761" spans="1:14" x14ac:dyDescent="0.35">
      <c r="A3761" s="2">
        <v>42832</v>
      </c>
      <c r="B3761" s="70" t="s">
        <v>63</v>
      </c>
      <c r="C3761" s="10">
        <v>64</v>
      </c>
      <c r="D3761" s="10">
        <v>211</v>
      </c>
      <c r="E3761" s="10" t="s">
        <v>34</v>
      </c>
    </row>
    <row r="3762" spans="1:14" x14ac:dyDescent="0.35">
      <c r="A3762" s="2">
        <v>42832</v>
      </c>
      <c r="B3762" s="70" t="s">
        <v>63</v>
      </c>
      <c r="C3762" s="10">
        <v>67</v>
      </c>
      <c r="D3762" s="10">
        <v>248</v>
      </c>
      <c r="E3762" s="10" t="s">
        <v>32</v>
      </c>
      <c r="F3762" t="s">
        <v>198</v>
      </c>
    </row>
    <row r="3763" spans="1:14" x14ac:dyDescent="0.35">
      <c r="A3763" s="2">
        <v>42832</v>
      </c>
      <c r="B3763" s="70" t="s">
        <v>63</v>
      </c>
      <c r="C3763" s="10">
        <v>69</v>
      </c>
      <c r="D3763" s="10">
        <v>281</v>
      </c>
      <c r="E3763" s="10" t="s">
        <v>33</v>
      </c>
      <c r="F3763" t="s">
        <v>198</v>
      </c>
    </row>
    <row r="3764" spans="1:14" x14ac:dyDescent="0.35">
      <c r="A3764" s="2">
        <v>42832</v>
      </c>
      <c r="B3764" s="70" t="s">
        <v>63</v>
      </c>
      <c r="C3764" s="10">
        <v>67</v>
      </c>
      <c r="D3764" s="10">
        <v>267</v>
      </c>
      <c r="E3764" s="10" t="s">
        <v>32</v>
      </c>
      <c r="F3764" t="s">
        <v>198</v>
      </c>
    </row>
    <row r="3765" spans="1:14" x14ac:dyDescent="0.35">
      <c r="A3765" s="2">
        <v>42832</v>
      </c>
      <c r="B3765" s="70" t="s">
        <v>63</v>
      </c>
      <c r="C3765" s="10">
        <v>65</v>
      </c>
      <c r="D3765" s="10">
        <v>227</v>
      </c>
      <c r="E3765" s="10" t="s">
        <v>34</v>
      </c>
      <c r="F3765" t="s">
        <v>198</v>
      </c>
    </row>
    <row r="3766" spans="1:14" x14ac:dyDescent="0.35">
      <c r="A3766" s="2">
        <v>42832</v>
      </c>
      <c r="B3766" s="70" t="s">
        <v>63</v>
      </c>
      <c r="C3766" s="10">
        <v>70</v>
      </c>
      <c r="D3766" s="10">
        <v>253</v>
      </c>
      <c r="E3766" s="10" t="s">
        <v>34</v>
      </c>
      <c r="F3766" t="s">
        <v>198</v>
      </c>
    </row>
    <row r="3767" spans="1:14" x14ac:dyDescent="0.35">
      <c r="A3767" s="2">
        <v>42832</v>
      </c>
      <c r="B3767" s="70" t="s">
        <v>63</v>
      </c>
      <c r="C3767" s="10">
        <v>64</v>
      </c>
      <c r="D3767" s="10">
        <v>229</v>
      </c>
      <c r="E3767" s="10" t="s">
        <v>40</v>
      </c>
    </row>
    <row r="3768" spans="1:14" s="4" customFormat="1" x14ac:dyDescent="0.35">
      <c r="A3768" s="3">
        <v>42832</v>
      </c>
      <c r="B3768" s="44" t="s">
        <v>63</v>
      </c>
      <c r="C3768" s="11">
        <v>61</v>
      </c>
      <c r="D3768" s="11">
        <v>234</v>
      </c>
      <c r="E3768" s="11" t="s">
        <v>34</v>
      </c>
      <c r="F3768" s="4" t="s">
        <v>198</v>
      </c>
    </row>
    <row r="3769" spans="1:14" x14ac:dyDescent="0.35">
      <c r="A3769" s="2">
        <v>42832</v>
      </c>
      <c r="B3769" s="70" t="s">
        <v>66</v>
      </c>
      <c r="C3769" s="10">
        <v>114</v>
      </c>
      <c r="D3769" s="10">
        <v>1822</v>
      </c>
      <c r="E3769" s="10" t="s">
        <v>98</v>
      </c>
    </row>
    <row r="3770" spans="1:14" x14ac:dyDescent="0.35">
      <c r="A3770" s="2">
        <v>42832</v>
      </c>
      <c r="B3770" s="70" t="s">
        <v>66</v>
      </c>
      <c r="C3770" s="10">
        <v>117</v>
      </c>
      <c r="D3770" s="10">
        <v>2335</v>
      </c>
      <c r="E3770" s="10" t="s">
        <v>98</v>
      </c>
    </row>
    <row r="3771" spans="1:14" x14ac:dyDescent="0.35">
      <c r="A3771" s="2">
        <v>42832</v>
      </c>
      <c r="B3771" s="70" t="s">
        <v>66</v>
      </c>
      <c r="C3771" s="10">
        <v>107</v>
      </c>
      <c r="D3771" s="10">
        <v>1546</v>
      </c>
      <c r="E3771" s="10" t="s">
        <v>98</v>
      </c>
    </row>
    <row r="3772" spans="1:14" x14ac:dyDescent="0.35">
      <c r="A3772" s="2">
        <v>42832</v>
      </c>
      <c r="B3772" s="70" t="s">
        <v>66</v>
      </c>
      <c r="C3772" s="10">
        <v>101</v>
      </c>
      <c r="D3772" s="10">
        <v>1154</v>
      </c>
      <c r="E3772" s="10" t="s">
        <v>98</v>
      </c>
    </row>
    <row r="3773" spans="1:14" x14ac:dyDescent="0.35">
      <c r="A3773" s="2">
        <v>42832</v>
      </c>
      <c r="B3773" s="70" t="s">
        <v>66</v>
      </c>
      <c r="C3773" s="10">
        <v>98</v>
      </c>
      <c r="D3773" s="10">
        <v>1084</v>
      </c>
      <c r="E3773" s="10" t="s">
        <v>98</v>
      </c>
    </row>
    <row r="3774" spans="1:14" x14ac:dyDescent="0.35">
      <c r="A3774" s="2">
        <v>42832</v>
      </c>
      <c r="B3774" s="70" t="s">
        <v>66</v>
      </c>
      <c r="C3774" s="10">
        <v>108</v>
      </c>
      <c r="D3774" s="10">
        <v>1586</v>
      </c>
      <c r="E3774" s="10" t="s">
        <v>98</v>
      </c>
    </row>
    <row r="3775" spans="1:14" x14ac:dyDescent="0.35">
      <c r="A3775" s="2">
        <v>42832</v>
      </c>
      <c r="B3775" s="70" t="s">
        <v>66</v>
      </c>
      <c r="C3775" s="55">
        <v>81</v>
      </c>
      <c r="D3775" s="55">
        <v>696</v>
      </c>
      <c r="E3775" s="55" t="s">
        <v>159</v>
      </c>
    </row>
    <row r="3776" spans="1:14" x14ac:dyDescent="0.35">
      <c r="A3776" s="2">
        <v>42832</v>
      </c>
      <c r="B3776" s="70" t="s">
        <v>66</v>
      </c>
      <c r="C3776" s="10">
        <v>70</v>
      </c>
      <c r="D3776" s="10">
        <v>295</v>
      </c>
      <c r="E3776" s="10" t="s">
        <v>32</v>
      </c>
      <c r="F3776" t="s">
        <v>198</v>
      </c>
      <c r="G3776" t="s">
        <v>354</v>
      </c>
      <c r="M3776">
        <f>AVERAGE(C3769:C3775,C3751:C3752)</f>
        <v>105.22222222222223</v>
      </c>
      <c r="N3776">
        <f>AVERAGE(D3769:D3775,D3751:D3752)</f>
        <v>1561</v>
      </c>
    </row>
    <row r="3777" spans="1:23" x14ac:dyDescent="0.35">
      <c r="A3777" s="2">
        <v>42832</v>
      </c>
      <c r="B3777" s="70" t="s">
        <v>66</v>
      </c>
      <c r="C3777" s="10">
        <v>69</v>
      </c>
      <c r="D3777" s="10">
        <v>314</v>
      </c>
      <c r="E3777" s="10" t="s">
        <v>34</v>
      </c>
      <c r="F3777" t="s">
        <v>198</v>
      </c>
      <c r="G3777" t="s">
        <v>355</v>
      </c>
    </row>
    <row r="3778" spans="1:23" x14ac:dyDescent="0.35">
      <c r="A3778" s="2">
        <v>42832</v>
      </c>
      <c r="B3778" s="70" t="s">
        <v>66</v>
      </c>
      <c r="C3778" s="10">
        <v>68</v>
      </c>
      <c r="D3778" s="10">
        <v>241</v>
      </c>
      <c r="E3778" s="10" t="s">
        <v>32</v>
      </c>
      <c r="F3778" t="s">
        <v>198</v>
      </c>
      <c r="G3778" t="s">
        <v>356</v>
      </c>
    </row>
    <row r="3779" spans="1:23" x14ac:dyDescent="0.35">
      <c r="A3779" s="2">
        <v>42832</v>
      </c>
      <c r="B3779" s="70" t="s">
        <v>66</v>
      </c>
      <c r="C3779" s="10">
        <v>67</v>
      </c>
      <c r="D3779" s="10">
        <v>338</v>
      </c>
      <c r="E3779" s="10" t="s">
        <v>33</v>
      </c>
      <c r="F3779" t="s">
        <v>198</v>
      </c>
      <c r="G3779" t="s">
        <v>357</v>
      </c>
      <c r="I3779" t="s">
        <v>359</v>
      </c>
    </row>
    <row r="3780" spans="1:23" x14ac:dyDescent="0.35">
      <c r="A3780" s="2">
        <v>42832</v>
      </c>
      <c r="B3780" s="70" t="s">
        <v>66</v>
      </c>
      <c r="C3780" s="10">
        <v>72</v>
      </c>
      <c r="D3780" s="10">
        <v>332</v>
      </c>
      <c r="E3780" s="10" t="s">
        <v>32</v>
      </c>
      <c r="F3780" t="s">
        <v>198</v>
      </c>
      <c r="G3780" t="s">
        <v>358</v>
      </c>
    </row>
    <row r="3781" spans="1:23" x14ac:dyDescent="0.35">
      <c r="A3781" s="2">
        <v>42832</v>
      </c>
      <c r="B3781" s="70" t="s">
        <v>66</v>
      </c>
      <c r="C3781" s="10">
        <v>61</v>
      </c>
      <c r="D3781" s="10">
        <v>206</v>
      </c>
      <c r="E3781" s="10" t="s">
        <v>34</v>
      </c>
      <c r="F3781" t="s">
        <v>198</v>
      </c>
    </row>
    <row r="3782" spans="1:23" x14ac:dyDescent="0.35">
      <c r="A3782" s="2">
        <v>42832</v>
      </c>
      <c r="B3782" s="70" t="s">
        <v>66</v>
      </c>
      <c r="C3782" s="10">
        <v>61</v>
      </c>
      <c r="D3782" s="10">
        <v>176</v>
      </c>
      <c r="E3782" s="10" t="s">
        <v>34</v>
      </c>
      <c r="F3782" t="s">
        <v>198</v>
      </c>
    </row>
    <row r="3783" spans="1:23" x14ac:dyDescent="0.35">
      <c r="A3783" s="2">
        <v>42832</v>
      </c>
      <c r="B3783" s="70" t="s">
        <v>66</v>
      </c>
      <c r="C3783" s="10">
        <v>69</v>
      </c>
      <c r="D3783" s="10">
        <v>317</v>
      </c>
      <c r="E3783" s="10" t="s">
        <v>33</v>
      </c>
      <c r="F3783" t="s">
        <v>198</v>
      </c>
    </row>
    <row r="3784" spans="1:23" x14ac:dyDescent="0.35">
      <c r="A3784" s="2">
        <v>42832</v>
      </c>
      <c r="B3784" s="70" t="s">
        <v>66</v>
      </c>
      <c r="C3784" s="10">
        <v>68</v>
      </c>
      <c r="D3784" s="10">
        <v>217</v>
      </c>
      <c r="E3784" s="10" t="s">
        <v>32</v>
      </c>
      <c r="F3784" t="s">
        <v>198</v>
      </c>
    </row>
    <row r="3785" spans="1:23" x14ac:dyDescent="0.35">
      <c r="A3785" s="2">
        <v>42832</v>
      </c>
      <c r="B3785" s="70" t="s">
        <v>66</v>
      </c>
      <c r="C3785" s="10">
        <v>70</v>
      </c>
      <c r="D3785" s="10">
        <v>290</v>
      </c>
      <c r="E3785" s="10" t="s">
        <v>34</v>
      </c>
      <c r="F3785" t="s">
        <v>198</v>
      </c>
    </row>
    <row r="3786" spans="1:23" x14ac:dyDescent="0.35">
      <c r="A3786" s="2">
        <v>42832</v>
      </c>
      <c r="B3786" s="70" t="s">
        <v>66</v>
      </c>
      <c r="C3786" s="10">
        <v>65</v>
      </c>
      <c r="D3786" s="10">
        <v>244</v>
      </c>
      <c r="E3786" s="10" t="s">
        <v>32</v>
      </c>
      <c r="F3786" t="s">
        <v>198</v>
      </c>
    </row>
    <row r="3787" spans="1:23" s="4" customFormat="1" x14ac:dyDescent="0.35">
      <c r="A3787" s="3">
        <v>42832</v>
      </c>
      <c r="B3787" s="44" t="s">
        <v>66</v>
      </c>
      <c r="C3787" s="11">
        <v>74</v>
      </c>
      <c r="D3787" s="11">
        <v>300</v>
      </c>
      <c r="E3787" s="11" t="s">
        <v>32</v>
      </c>
      <c r="F3787" s="4" t="s">
        <v>198</v>
      </c>
      <c r="I3787" s="4" t="s">
        <v>163</v>
      </c>
    </row>
    <row r="3788" spans="1:23" x14ac:dyDescent="0.35">
      <c r="A3788" s="2">
        <v>42832</v>
      </c>
      <c r="B3788" s="70" t="s">
        <v>104</v>
      </c>
      <c r="C3788" s="10">
        <v>67</v>
      </c>
      <c r="D3788" s="10">
        <v>249</v>
      </c>
      <c r="E3788" s="10" t="s">
        <v>37</v>
      </c>
      <c r="F3788" s="10" t="s">
        <v>360</v>
      </c>
    </row>
    <row r="3789" spans="1:23" s="4" customFormat="1" x14ac:dyDescent="0.35">
      <c r="A3789" s="3">
        <v>42832</v>
      </c>
      <c r="B3789" s="44" t="s">
        <v>104</v>
      </c>
      <c r="C3789" s="11">
        <v>66</v>
      </c>
      <c r="D3789" s="11">
        <v>245</v>
      </c>
      <c r="E3789" s="11" t="s">
        <v>34</v>
      </c>
    </row>
    <row r="3790" spans="1:23" x14ac:dyDescent="0.35">
      <c r="A3790" s="2">
        <v>42832</v>
      </c>
      <c r="B3790" s="70" t="s">
        <v>113</v>
      </c>
      <c r="C3790" s="10">
        <v>75</v>
      </c>
      <c r="D3790" s="10">
        <v>354</v>
      </c>
      <c r="E3790" s="10" t="s">
        <v>32</v>
      </c>
      <c r="F3790" s="10" t="s">
        <v>198</v>
      </c>
      <c r="I3790" t="s">
        <v>42</v>
      </c>
      <c r="J3790" t="s">
        <v>39</v>
      </c>
      <c r="K3790" t="s">
        <v>40</v>
      </c>
      <c r="L3790" t="s">
        <v>36</v>
      </c>
      <c r="M3790" t="s">
        <v>33</v>
      </c>
      <c r="N3790" t="s">
        <v>34</v>
      </c>
      <c r="O3790" t="s">
        <v>32</v>
      </c>
      <c r="P3790" t="s">
        <v>37</v>
      </c>
      <c r="R3790" t="s">
        <v>43</v>
      </c>
      <c r="S3790" t="s">
        <v>44</v>
      </c>
    </row>
    <row r="3791" spans="1:23" x14ac:dyDescent="0.35">
      <c r="A3791" s="2">
        <v>42832</v>
      </c>
      <c r="B3791" s="70" t="s">
        <v>113</v>
      </c>
      <c r="C3791" s="10">
        <v>64</v>
      </c>
      <c r="D3791" s="10">
        <v>215</v>
      </c>
      <c r="E3791" s="10" t="s">
        <v>32</v>
      </c>
      <c r="F3791" s="10" t="s">
        <v>198</v>
      </c>
      <c r="I3791" s="5">
        <f>COUNTIF(E3751:E3792,"VA")</f>
        <v>0</v>
      </c>
      <c r="J3791" s="5">
        <f>COUNTIF(E3751:E3792,"VB")</f>
        <v>0</v>
      </c>
      <c r="K3791" s="5">
        <f>COUNTIF(E3751:E3792,"VIA0")</f>
        <v>1</v>
      </c>
      <c r="L3791" s="5">
        <f>COUNTIF(E3751:E3792,"VIA1")</f>
        <v>0</v>
      </c>
      <c r="M3791" s="5">
        <f>COUNTIF(E3751:E3792,"VIA2")</f>
        <v>6</v>
      </c>
      <c r="N3791" s="5">
        <f>COUNTIF(E3751:E3792,"VIA3")</f>
        <v>11</v>
      </c>
      <c r="O3791" s="5">
        <f>COUNTIF(E3751:E3792,"VIA4")</f>
        <v>14</v>
      </c>
      <c r="P3791" s="5">
        <f>COUNTIF(E3751:E3792,"VIB")</f>
        <v>1</v>
      </c>
      <c r="R3791" s="7">
        <f>AVERAGE(C3776:C3792,C3753:C3768)</f>
        <v>67.757575757575751</v>
      </c>
      <c r="S3791" s="7">
        <f>AVERAGE(D3776:D3792,D3753:D3768)</f>
        <v>267.39393939393938</v>
      </c>
      <c r="T3791" s="7"/>
      <c r="U3791" s="7" t="e">
        <f>AVERAGE(#REF!,#REF!)</f>
        <v>#REF!</v>
      </c>
      <c r="W3791" s="42" t="e">
        <f>AVERAGE(#REF!,#REF!)</f>
        <v>#REF!</v>
      </c>
    </row>
    <row r="3792" spans="1:23" s="4" customFormat="1" x14ac:dyDescent="0.35">
      <c r="A3792" s="3">
        <v>42832</v>
      </c>
      <c r="B3792" s="44" t="s">
        <v>113</v>
      </c>
      <c r="C3792" s="11">
        <v>72</v>
      </c>
      <c r="D3792" s="11">
        <v>328</v>
      </c>
      <c r="E3792" s="11" t="s">
        <v>33</v>
      </c>
      <c r="I3792" s="6">
        <f>I3791/33*100</f>
        <v>0</v>
      </c>
      <c r="J3792" s="6">
        <f t="shared" ref="J3792:P3792" si="117">J3791/33*100</f>
        <v>0</v>
      </c>
      <c r="K3792" s="6">
        <f t="shared" si="117"/>
        <v>3.0303030303030303</v>
      </c>
      <c r="L3792" s="6">
        <f t="shared" si="117"/>
        <v>0</v>
      </c>
      <c r="M3792" s="6">
        <f t="shared" si="117"/>
        <v>18.181818181818183</v>
      </c>
      <c r="N3792" s="6">
        <f t="shared" si="117"/>
        <v>33.333333333333329</v>
      </c>
      <c r="O3792" s="6">
        <f t="shared" si="117"/>
        <v>42.424242424242422</v>
      </c>
      <c r="P3792" s="6">
        <f t="shared" si="117"/>
        <v>3.0303030303030303</v>
      </c>
    </row>
    <row r="3793" spans="1:7" x14ac:dyDescent="0.35">
      <c r="A3793" s="2">
        <v>42832</v>
      </c>
      <c r="B3793" s="70" t="s">
        <v>41</v>
      </c>
      <c r="C3793" s="10">
        <v>76</v>
      </c>
      <c r="D3793" s="10">
        <v>341</v>
      </c>
      <c r="E3793" s="10" t="s">
        <v>32</v>
      </c>
      <c r="F3793" s="10" t="s">
        <v>198</v>
      </c>
      <c r="G3793" s="10" t="s">
        <v>363</v>
      </c>
    </row>
    <row r="3794" spans="1:7" x14ac:dyDescent="0.35">
      <c r="A3794" s="2">
        <v>42832</v>
      </c>
      <c r="B3794" s="70" t="s">
        <v>41</v>
      </c>
      <c r="C3794" s="10">
        <v>77</v>
      </c>
      <c r="D3794" s="10">
        <v>340</v>
      </c>
      <c r="E3794" s="10" t="s">
        <v>33</v>
      </c>
      <c r="F3794" s="10" t="s">
        <v>198</v>
      </c>
      <c r="G3794" s="10" t="s">
        <v>364</v>
      </c>
    </row>
    <row r="3795" spans="1:7" x14ac:dyDescent="0.35">
      <c r="A3795" s="2">
        <v>42832</v>
      </c>
      <c r="B3795" s="70" t="s">
        <v>41</v>
      </c>
      <c r="C3795" s="10">
        <v>74</v>
      </c>
      <c r="D3795" s="10">
        <v>337</v>
      </c>
      <c r="E3795" s="10" t="s">
        <v>33</v>
      </c>
      <c r="G3795" s="10" t="s">
        <v>365</v>
      </c>
    </row>
    <row r="3796" spans="1:7" x14ac:dyDescent="0.35">
      <c r="A3796" s="2">
        <v>42832</v>
      </c>
      <c r="B3796" s="70" t="s">
        <v>41</v>
      </c>
      <c r="C3796" s="10">
        <v>68</v>
      </c>
      <c r="D3796" s="10">
        <v>279</v>
      </c>
      <c r="E3796" s="10" t="s">
        <v>34</v>
      </c>
      <c r="F3796" t="s">
        <v>198</v>
      </c>
      <c r="G3796" s="10" t="s">
        <v>366</v>
      </c>
    </row>
    <row r="3797" spans="1:7" x14ac:dyDescent="0.35">
      <c r="A3797" s="2">
        <v>42832</v>
      </c>
      <c r="B3797" s="70" t="s">
        <v>41</v>
      </c>
      <c r="C3797" s="10">
        <v>72</v>
      </c>
      <c r="D3797" s="10">
        <v>276</v>
      </c>
      <c r="E3797" s="10" t="s">
        <v>34</v>
      </c>
      <c r="F3797" t="s">
        <v>198</v>
      </c>
      <c r="G3797" s="10" t="s">
        <v>367</v>
      </c>
    </row>
    <row r="3798" spans="1:7" x14ac:dyDescent="0.35">
      <c r="A3798" s="2">
        <v>42832</v>
      </c>
      <c r="B3798" s="70" t="s">
        <v>41</v>
      </c>
      <c r="C3798" s="10">
        <v>72</v>
      </c>
      <c r="D3798" s="10">
        <v>349</v>
      </c>
      <c r="E3798" s="10" t="s">
        <v>33</v>
      </c>
      <c r="F3798" t="s">
        <v>198</v>
      </c>
    </row>
    <row r="3799" spans="1:7" x14ac:dyDescent="0.35">
      <c r="A3799" s="2">
        <v>42832</v>
      </c>
      <c r="B3799" s="70" t="s">
        <v>41</v>
      </c>
      <c r="C3799" s="10">
        <v>68</v>
      </c>
      <c r="D3799" s="10">
        <v>252</v>
      </c>
      <c r="E3799" s="10" t="s">
        <v>34</v>
      </c>
      <c r="F3799" t="s">
        <v>198</v>
      </c>
    </row>
    <row r="3800" spans="1:7" x14ac:dyDescent="0.35">
      <c r="A3800" s="2">
        <v>42832</v>
      </c>
      <c r="B3800" s="70" t="s">
        <v>41</v>
      </c>
      <c r="C3800" s="10">
        <v>70</v>
      </c>
      <c r="D3800" s="10">
        <v>282</v>
      </c>
      <c r="E3800" s="10" t="s">
        <v>34</v>
      </c>
      <c r="F3800" t="s">
        <v>198</v>
      </c>
    </row>
    <row r="3801" spans="1:7" x14ac:dyDescent="0.35">
      <c r="A3801" s="2">
        <v>42832</v>
      </c>
      <c r="B3801" s="70" t="s">
        <v>41</v>
      </c>
      <c r="C3801" s="10">
        <v>71</v>
      </c>
      <c r="D3801" s="10">
        <v>315</v>
      </c>
      <c r="E3801" s="10" t="s">
        <v>36</v>
      </c>
      <c r="F3801" t="s">
        <v>198</v>
      </c>
    </row>
    <row r="3802" spans="1:7" x14ac:dyDescent="0.35">
      <c r="A3802" s="2">
        <v>42832</v>
      </c>
      <c r="B3802" s="70" t="s">
        <v>41</v>
      </c>
      <c r="C3802" s="10">
        <v>70</v>
      </c>
      <c r="D3802" s="10">
        <v>286</v>
      </c>
      <c r="E3802" s="10" t="s">
        <v>33</v>
      </c>
      <c r="F3802" t="s">
        <v>198</v>
      </c>
    </row>
    <row r="3803" spans="1:7" x14ac:dyDescent="0.35">
      <c r="A3803" s="2">
        <v>42832</v>
      </c>
      <c r="B3803" s="70" t="s">
        <v>41</v>
      </c>
      <c r="C3803" s="10">
        <v>70</v>
      </c>
      <c r="D3803" s="10">
        <v>300</v>
      </c>
      <c r="E3803" s="10" t="s">
        <v>36</v>
      </c>
      <c r="F3803" t="s">
        <v>293</v>
      </c>
    </row>
    <row r="3804" spans="1:7" x14ac:dyDescent="0.35">
      <c r="A3804" s="2">
        <v>42832</v>
      </c>
      <c r="B3804" s="70" t="s">
        <v>41</v>
      </c>
      <c r="C3804" s="10">
        <v>66</v>
      </c>
      <c r="D3804" s="10">
        <v>208</v>
      </c>
      <c r="E3804" s="10" t="s">
        <v>34</v>
      </c>
      <c r="F3804" t="s">
        <v>293</v>
      </c>
    </row>
    <row r="3805" spans="1:7" x14ac:dyDescent="0.35">
      <c r="A3805" s="2">
        <v>42832</v>
      </c>
      <c r="B3805" s="70" t="s">
        <v>41</v>
      </c>
      <c r="C3805" s="10">
        <v>67</v>
      </c>
      <c r="D3805" s="10">
        <v>228</v>
      </c>
      <c r="E3805" s="10" t="s">
        <v>34</v>
      </c>
      <c r="F3805" t="s">
        <v>293</v>
      </c>
    </row>
    <row r="3806" spans="1:7" x14ac:dyDescent="0.35">
      <c r="A3806" s="2">
        <v>42832</v>
      </c>
      <c r="B3806" s="70" t="s">
        <v>41</v>
      </c>
      <c r="C3806" s="10">
        <v>73</v>
      </c>
      <c r="D3806" s="10">
        <v>332</v>
      </c>
      <c r="E3806" s="10" t="s">
        <v>34</v>
      </c>
      <c r="F3806" t="s">
        <v>293</v>
      </c>
    </row>
    <row r="3807" spans="1:7" x14ac:dyDescent="0.35">
      <c r="A3807" s="2">
        <v>42832</v>
      </c>
      <c r="B3807" s="70" t="s">
        <v>41</v>
      </c>
      <c r="C3807" s="10">
        <v>65</v>
      </c>
      <c r="D3807" s="10">
        <v>232</v>
      </c>
      <c r="E3807" s="10" t="s">
        <v>33</v>
      </c>
      <c r="F3807" t="s">
        <v>198</v>
      </c>
    </row>
    <row r="3808" spans="1:7" x14ac:dyDescent="0.35">
      <c r="A3808" s="2">
        <v>42832</v>
      </c>
      <c r="B3808" s="70" t="s">
        <v>41</v>
      </c>
      <c r="C3808" s="10">
        <v>67</v>
      </c>
      <c r="D3808" s="10">
        <v>271</v>
      </c>
      <c r="E3808" s="10" t="s">
        <v>33</v>
      </c>
    </row>
    <row r="3809" spans="1:21" x14ac:dyDescent="0.35">
      <c r="A3809" s="2">
        <v>42832</v>
      </c>
      <c r="B3809" s="70" t="s">
        <v>41</v>
      </c>
      <c r="C3809" s="10">
        <v>71</v>
      </c>
      <c r="D3809" s="10">
        <v>295</v>
      </c>
      <c r="E3809" s="10" t="s">
        <v>34</v>
      </c>
      <c r="F3809" t="s">
        <v>198</v>
      </c>
    </row>
    <row r="3810" spans="1:21" x14ac:dyDescent="0.35">
      <c r="A3810" s="2">
        <v>42832</v>
      </c>
      <c r="B3810" s="70" t="s">
        <v>41</v>
      </c>
      <c r="C3810" s="10">
        <v>68</v>
      </c>
      <c r="D3810" s="10">
        <v>249</v>
      </c>
      <c r="E3810" s="10" t="s">
        <v>39</v>
      </c>
      <c r="I3810" t="s">
        <v>42</v>
      </c>
      <c r="J3810" t="s">
        <v>39</v>
      </c>
      <c r="K3810" t="s">
        <v>40</v>
      </c>
      <c r="L3810" t="s">
        <v>36</v>
      </c>
      <c r="M3810" t="s">
        <v>33</v>
      </c>
      <c r="N3810" t="s">
        <v>34</v>
      </c>
      <c r="O3810" t="s">
        <v>32</v>
      </c>
      <c r="P3810" t="s">
        <v>37</v>
      </c>
      <c r="R3810" t="s">
        <v>43</v>
      </c>
      <c r="S3810" t="s">
        <v>44</v>
      </c>
    </row>
    <row r="3811" spans="1:21" x14ac:dyDescent="0.35">
      <c r="A3811" s="2">
        <v>42832</v>
      </c>
      <c r="B3811" s="70" t="s">
        <v>41</v>
      </c>
      <c r="C3811" s="10">
        <v>75</v>
      </c>
      <c r="D3811" s="10">
        <v>338</v>
      </c>
      <c r="E3811" s="10" t="s">
        <v>34</v>
      </c>
      <c r="F3811" t="s">
        <v>198</v>
      </c>
      <c r="I3811" s="5">
        <f>COUNTIF(E3793:E3812,"VA")</f>
        <v>0</v>
      </c>
      <c r="J3811" s="5">
        <f>COUNTIF(E3793:E3812,"VB")</f>
        <v>1</v>
      </c>
      <c r="K3811" s="5">
        <f>COUNTIF(E3793:E3812,"VIA0")</f>
        <v>0</v>
      </c>
      <c r="L3811" s="5">
        <f>COUNTIF(E3793:E3812,"VIA1")</f>
        <v>2</v>
      </c>
      <c r="M3811" s="5">
        <f>COUNTIF(E3793:E3812,"VIA2")</f>
        <v>7</v>
      </c>
      <c r="N3811" s="5">
        <f>COUNTIF(E3793:E3812,"VIA3")</f>
        <v>9</v>
      </c>
      <c r="O3811" s="5">
        <f>COUNTIF(E3793:E3812,"VIA4")</f>
        <v>1</v>
      </c>
      <c r="P3811" s="5">
        <f>COUNTIF(E3793:E3812,"VIB")</f>
        <v>0</v>
      </c>
      <c r="R3811" s="7">
        <f>AVERAGE(C3793:C3812)</f>
        <v>70.400000000000006</v>
      </c>
      <c r="S3811" s="7">
        <f>AVERAGE(D3793:D3812)</f>
        <v>288.3</v>
      </c>
      <c r="T3811" s="7"/>
      <c r="U3811" s="7" t="e">
        <f>AVERAGE(#REF!)</f>
        <v>#REF!</v>
      </c>
    </row>
    <row r="3812" spans="1:21" s="4" customFormat="1" x14ac:dyDescent="0.35">
      <c r="A3812" s="3">
        <v>42832</v>
      </c>
      <c r="B3812" s="44" t="s">
        <v>41</v>
      </c>
      <c r="C3812" s="11">
        <v>68</v>
      </c>
      <c r="D3812" s="11">
        <v>256</v>
      </c>
      <c r="E3812" s="4" t="s">
        <v>33</v>
      </c>
      <c r="F3812" s="4" t="s">
        <v>293</v>
      </c>
      <c r="I3812" s="6">
        <f>I3811/20*100</f>
        <v>0</v>
      </c>
      <c r="J3812" s="6">
        <f t="shared" ref="J3812:P3812" si="118">J3811/20*100</f>
        <v>5</v>
      </c>
      <c r="K3812" s="6">
        <f t="shared" si="118"/>
        <v>0</v>
      </c>
      <c r="L3812" s="6">
        <f t="shared" si="118"/>
        <v>10</v>
      </c>
      <c r="M3812" s="6">
        <f t="shared" si="118"/>
        <v>35</v>
      </c>
      <c r="N3812" s="6">
        <f t="shared" si="118"/>
        <v>45</v>
      </c>
      <c r="O3812" s="6">
        <f t="shared" si="118"/>
        <v>5</v>
      </c>
      <c r="P3812" s="6">
        <f t="shared" si="118"/>
        <v>0</v>
      </c>
    </row>
    <row r="3813" spans="1:21" s="5" customFormat="1" x14ac:dyDescent="0.35">
      <c r="A3813" s="2">
        <v>42839</v>
      </c>
      <c r="B3813" s="70" t="s">
        <v>29</v>
      </c>
      <c r="C3813" s="10">
        <v>105</v>
      </c>
      <c r="D3813" s="10">
        <v>1368</v>
      </c>
      <c r="E3813" s="10" t="s">
        <v>98</v>
      </c>
      <c r="I3813" s="34"/>
      <c r="J3813" s="34"/>
      <c r="K3813" s="34"/>
      <c r="L3813" s="34"/>
      <c r="M3813" s="34"/>
      <c r="N3813" s="34"/>
      <c r="O3813" s="34"/>
      <c r="P3813" s="34"/>
    </row>
    <row r="3814" spans="1:21" s="5" customFormat="1" x14ac:dyDescent="0.35">
      <c r="A3814" s="2">
        <v>42839</v>
      </c>
      <c r="B3814" s="70" t="s">
        <v>29</v>
      </c>
      <c r="C3814" s="10">
        <v>128</v>
      </c>
      <c r="D3814" s="10">
        <v>1920</v>
      </c>
      <c r="E3814" s="10" t="s">
        <v>98</v>
      </c>
      <c r="I3814" s="34"/>
      <c r="J3814" s="34"/>
      <c r="K3814" s="34"/>
      <c r="L3814" s="34"/>
      <c r="M3814" s="34"/>
      <c r="N3814" s="34"/>
      <c r="O3814" s="34"/>
      <c r="P3814" s="34"/>
    </row>
    <row r="3815" spans="1:21" s="5" customFormat="1" x14ac:dyDescent="0.35">
      <c r="A3815" s="2">
        <v>42839</v>
      </c>
      <c r="B3815" s="70" t="s">
        <v>29</v>
      </c>
      <c r="C3815" s="10">
        <v>111</v>
      </c>
      <c r="D3815" s="10">
        <v>1687</v>
      </c>
      <c r="E3815" s="10" t="s">
        <v>98</v>
      </c>
      <c r="I3815" s="34"/>
      <c r="J3815" s="34"/>
      <c r="K3815" s="34"/>
      <c r="L3815" s="34"/>
      <c r="M3815" s="34"/>
      <c r="N3815" s="34"/>
      <c r="O3815" s="34"/>
      <c r="P3815" s="34"/>
    </row>
    <row r="3816" spans="1:21" s="5" customFormat="1" x14ac:dyDescent="0.35">
      <c r="A3816" s="2">
        <v>42839</v>
      </c>
      <c r="B3816" s="70" t="s">
        <v>29</v>
      </c>
      <c r="C3816" s="10">
        <v>118</v>
      </c>
      <c r="D3816" s="10">
        <v>1636</v>
      </c>
      <c r="E3816" s="10" t="s">
        <v>98</v>
      </c>
      <c r="I3816" s="34"/>
      <c r="J3816" s="34"/>
      <c r="K3816" s="34"/>
      <c r="L3816" s="34"/>
      <c r="M3816" s="34"/>
      <c r="N3816" s="34"/>
      <c r="O3816" s="34"/>
      <c r="P3816" s="34"/>
    </row>
    <row r="3817" spans="1:21" s="5" customFormat="1" x14ac:dyDescent="0.35">
      <c r="A3817" s="2">
        <v>42839</v>
      </c>
      <c r="B3817" s="70" t="s">
        <v>29</v>
      </c>
      <c r="C3817" s="10">
        <v>106</v>
      </c>
      <c r="D3817" s="10">
        <v>1415</v>
      </c>
      <c r="E3817" s="10" t="s">
        <v>98</v>
      </c>
      <c r="I3817" s="34"/>
      <c r="J3817" s="34"/>
      <c r="K3817" s="34"/>
      <c r="L3817" s="34"/>
      <c r="M3817" s="34"/>
      <c r="N3817" s="34"/>
      <c r="O3817" s="34"/>
      <c r="P3817" s="34"/>
    </row>
    <row r="3818" spans="1:21" s="5" customFormat="1" x14ac:dyDescent="0.35">
      <c r="A3818" s="2">
        <v>42839</v>
      </c>
      <c r="B3818" s="70" t="s">
        <v>29</v>
      </c>
      <c r="C3818" s="10">
        <v>93</v>
      </c>
      <c r="D3818" s="10">
        <v>798</v>
      </c>
      <c r="E3818" s="10" t="s">
        <v>98</v>
      </c>
      <c r="I3818" s="34"/>
      <c r="J3818" s="34"/>
      <c r="K3818" s="34"/>
      <c r="L3818" s="34"/>
      <c r="M3818" s="34"/>
      <c r="N3818" s="34"/>
      <c r="O3818" s="34"/>
      <c r="P3818" s="34"/>
    </row>
    <row r="3819" spans="1:21" s="5" customFormat="1" x14ac:dyDescent="0.35">
      <c r="A3819" s="2">
        <v>42839</v>
      </c>
      <c r="B3819" s="70" t="s">
        <v>29</v>
      </c>
      <c r="C3819" s="10">
        <v>131</v>
      </c>
      <c r="D3819" s="10">
        <v>3025</v>
      </c>
      <c r="E3819" s="10" t="s">
        <v>98</v>
      </c>
      <c r="I3819" s="34"/>
      <c r="J3819" s="34" t="e">
        <f>AVERAGE(#REF!)</f>
        <v>#REF!</v>
      </c>
      <c r="K3819" s="34"/>
      <c r="L3819" s="34"/>
      <c r="M3819" s="34"/>
      <c r="N3819" s="34"/>
      <c r="O3819" s="34"/>
      <c r="P3819" s="34"/>
    </row>
    <row r="3820" spans="1:21" x14ac:dyDescent="0.35">
      <c r="A3820" s="2">
        <v>42839</v>
      </c>
      <c r="B3820" s="70" t="s">
        <v>29</v>
      </c>
      <c r="C3820" s="10">
        <v>63</v>
      </c>
      <c r="D3820" s="10">
        <v>201</v>
      </c>
      <c r="E3820" s="10" t="s">
        <v>34</v>
      </c>
      <c r="F3820" s="10" t="s">
        <v>198</v>
      </c>
      <c r="G3820" s="10" t="s">
        <v>374</v>
      </c>
    </row>
    <row r="3821" spans="1:21" x14ac:dyDescent="0.35">
      <c r="A3821" s="2">
        <v>42839</v>
      </c>
      <c r="B3821" s="70" t="s">
        <v>29</v>
      </c>
      <c r="C3821" s="10">
        <v>73</v>
      </c>
      <c r="D3821" s="10">
        <v>295</v>
      </c>
      <c r="E3821" s="10" t="s">
        <v>32</v>
      </c>
      <c r="F3821" s="10" t="s">
        <v>198</v>
      </c>
      <c r="G3821" s="10" t="s">
        <v>375</v>
      </c>
    </row>
    <row r="3822" spans="1:21" x14ac:dyDescent="0.35">
      <c r="A3822" s="2">
        <v>42839</v>
      </c>
      <c r="B3822" s="70" t="s">
        <v>29</v>
      </c>
      <c r="C3822" s="10">
        <v>66</v>
      </c>
      <c r="D3822" s="10">
        <v>239</v>
      </c>
      <c r="E3822" s="10" t="s">
        <v>32</v>
      </c>
      <c r="F3822" s="10" t="s">
        <v>198</v>
      </c>
      <c r="G3822" s="10" t="s">
        <v>376</v>
      </c>
    </row>
    <row r="3823" spans="1:21" x14ac:dyDescent="0.35">
      <c r="A3823" s="2">
        <v>42839</v>
      </c>
      <c r="B3823" s="70" t="s">
        <v>29</v>
      </c>
      <c r="C3823" s="10">
        <v>72</v>
      </c>
      <c r="D3823" s="10">
        <v>238</v>
      </c>
      <c r="E3823" s="10" t="s">
        <v>32</v>
      </c>
      <c r="F3823" s="10" t="s">
        <v>198</v>
      </c>
      <c r="G3823" s="10" t="s">
        <v>377</v>
      </c>
    </row>
    <row r="3824" spans="1:21" x14ac:dyDescent="0.35">
      <c r="A3824" s="2">
        <v>42839</v>
      </c>
      <c r="B3824" s="70" t="s">
        <v>29</v>
      </c>
      <c r="C3824" s="10">
        <v>72</v>
      </c>
      <c r="D3824" s="10">
        <v>290</v>
      </c>
      <c r="E3824" s="10" t="s">
        <v>32</v>
      </c>
      <c r="F3824" s="10" t="s">
        <v>198</v>
      </c>
      <c r="G3824" s="10" t="s">
        <v>378</v>
      </c>
    </row>
    <row r="3825" spans="1:6" x14ac:dyDescent="0.35">
      <c r="A3825" s="2">
        <v>42839</v>
      </c>
      <c r="B3825" s="70" t="s">
        <v>29</v>
      </c>
      <c r="C3825" s="10">
        <v>70</v>
      </c>
      <c r="D3825" s="10">
        <v>284</v>
      </c>
      <c r="E3825" s="10" t="s">
        <v>32</v>
      </c>
      <c r="F3825" s="10" t="s">
        <v>198</v>
      </c>
    </row>
    <row r="3826" spans="1:6" x14ac:dyDescent="0.35">
      <c r="A3826" s="2">
        <v>42839</v>
      </c>
      <c r="B3826" s="70" t="s">
        <v>29</v>
      </c>
      <c r="C3826" s="10">
        <v>67</v>
      </c>
      <c r="D3826" s="10">
        <v>231</v>
      </c>
      <c r="E3826" s="10" t="s">
        <v>32</v>
      </c>
      <c r="F3826" s="10" t="s">
        <v>198</v>
      </c>
    </row>
    <row r="3827" spans="1:6" x14ac:dyDescent="0.35">
      <c r="A3827" s="2">
        <v>42839</v>
      </c>
      <c r="B3827" s="70" t="s">
        <v>29</v>
      </c>
      <c r="C3827" s="10">
        <v>69</v>
      </c>
      <c r="D3827" s="10">
        <v>261</v>
      </c>
      <c r="E3827" s="10" t="s">
        <v>32</v>
      </c>
      <c r="F3827" s="10" t="s">
        <v>198</v>
      </c>
    </row>
    <row r="3828" spans="1:6" x14ac:dyDescent="0.35">
      <c r="A3828" s="2">
        <v>42839</v>
      </c>
      <c r="B3828" s="70" t="s">
        <v>29</v>
      </c>
      <c r="C3828" s="10">
        <v>67</v>
      </c>
      <c r="D3828" s="10">
        <v>278</v>
      </c>
      <c r="E3828" s="10" t="s">
        <v>37</v>
      </c>
      <c r="F3828" s="10" t="s">
        <v>198</v>
      </c>
    </row>
    <row r="3829" spans="1:6" x14ac:dyDescent="0.35">
      <c r="A3829" s="2">
        <v>42839</v>
      </c>
      <c r="B3829" s="70" t="s">
        <v>29</v>
      </c>
      <c r="C3829" s="10">
        <v>78</v>
      </c>
      <c r="D3829" s="10">
        <v>402</v>
      </c>
      <c r="E3829" s="10" t="s">
        <v>34</v>
      </c>
      <c r="F3829" s="10" t="s">
        <v>198</v>
      </c>
    </row>
    <row r="3830" spans="1:6" x14ac:dyDescent="0.35">
      <c r="A3830" s="2">
        <v>42839</v>
      </c>
      <c r="B3830" s="70" t="s">
        <v>29</v>
      </c>
      <c r="C3830" s="10">
        <v>68</v>
      </c>
      <c r="D3830" s="10">
        <v>274</v>
      </c>
      <c r="E3830" s="10" t="s">
        <v>32</v>
      </c>
      <c r="F3830" s="10"/>
    </row>
    <row r="3831" spans="1:6" x14ac:dyDescent="0.35">
      <c r="A3831" s="2">
        <v>42839</v>
      </c>
      <c r="B3831" s="70" t="s">
        <v>29</v>
      </c>
      <c r="C3831" s="10">
        <v>64</v>
      </c>
      <c r="D3831" s="10">
        <v>182</v>
      </c>
      <c r="E3831" s="10" t="s">
        <v>32</v>
      </c>
      <c r="F3831" s="10" t="s">
        <v>198</v>
      </c>
    </row>
    <row r="3832" spans="1:6" x14ac:dyDescent="0.35">
      <c r="A3832" s="2">
        <v>42839</v>
      </c>
      <c r="B3832" s="70" t="s">
        <v>29</v>
      </c>
      <c r="C3832" s="10">
        <v>70</v>
      </c>
      <c r="D3832" s="10">
        <v>326</v>
      </c>
      <c r="E3832" s="10" t="s">
        <v>32</v>
      </c>
      <c r="F3832" s="10" t="s">
        <v>198</v>
      </c>
    </row>
    <row r="3833" spans="1:6" x14ac:dyDescent="0.35">
      <c r="A3833" s="2">
        <v>42839</v>
      </c>
      <c r="B3833" s="70" t="s">
        <v>29</v>
      </c>
      <c r="C3833" s="10">
        <v>63</v>
      </c>
      <c r="D3833" s="10">
        <v>186</v>
      </c>
      <c r="E3833" s="10" t="s">
        <v>34</v>
      </c>
      <c r="F3833" s="10" t="s">
        <v>198</v>
      </c>
    </row>
    <row r="3834" spans="1:6" x14ac:dyDescent="0.35">
      <c r="A3834" s="2">
        <v>42839</v>
      </c>
      <c r="B3834" s="70" t="s">
        <v>29</v>
      </c>
      <c r="C3834" s="10">
        <v>63</v>
      </c>
      <c r="D3834" s="10">
        <v>219</v>
      </c>
      <c r="E3834" s="10" t="s">
        <v>32</v>
      </c>
      <c r="F3834" s="10" t="s">
        <v>198</v>
      </c>
    </row>
    <row r="3835" spans="1:6" x14ac:dyDescent="0.35">
      <c r="A3835" s="2">
        <v>42839</v>
      </c>
      <c r="B3835" s="70" t="s">
        <v>29</v>
      </c>
      <c r="C3835" s="10">
        <v>68</v>
      </c>
      <c r="D3835" s="10">
        <v>273</v>
      </c>
      <c r="E3835" s="10" t="s">
        <v>32</v>
      </c>
      <c r="F3835" s="10" t="s">
        <v>198</v>
      </c>
    </row>
    <row r="3836" spans="1:6" x14ac:dyDescent="0.35">
      <c r="A3836" s="2">
        <v>42839</v>
      </c>
      <c r="B3836" s="70" t="s">
        <v>29</v>
      </c>
      <c r="C3836" s="10">
        <v>68</v>
      </c>
      <c r="D3836" s="10">
        <v>256</v>
      </c>
      <c r="E3836" s="10" t="s">
        <v>32</v>
      </c>
      <c r="F3836" s="10" t="s">
        <v>198</v>
      </c>
    </row>
    <row r="3837" spans="1:6" x14ac:dyDescent="0.35">
      <c r="A3837" s="2">
        <v>42839</v>
      </c>
      <c r="B3837" s="70" t="s">
        <v>29</v>
      </c>
      <c r="C3837" s="10">
        <v>72</v>
      </c>
      <c r="D3837" s="10">
        <v>345</v>
      </c>
      <c r="E3837" s="10" t="s">
        <v>32</v>
      </c>
      <c r="F3837" s="10"/>
    </row>
    <row r="3838" spans="1:6" x14ac:dyDescent="0.35">
      <c r="A3838" s="2">
        <v>42839</v>
      </c>
      <c r="B3838" s="70" t="s">
        <v>29</v>
      </c>
      <c r="C3838" s="10">
        <v>68</v>
      </c>
      <c r="D3838" s="10">
        <v>275</v>
      </c>
      <c r="E3838" s="10" t="s">
        <v>34</v>
      </c>
      <c r="F3838" s="10" t="s">
        <v>198</v>
      </c>
    </row>
    <row r="3839" spans="1:6" x14ac:dyDescent="0.35">
      <c r="A3839" s="2">
        <v>42839</v>
      </c>
      <c r="B3839" s="70" t="s">
        <v>29</v>
      </c>
      <c r="C3839" s="10">
        <v>65</v>
      </c>
      <c r="D3839" s="10">
        <v>245</v>
      </c>
      <c r="E3839" s="10" t="s">
        <v>32</v>
      </c>
      <c r="F3839" s="10"/>
    </row>
    <row r="3840" spans="1:6" x14ac:dyDescent="0.35">
      <c r="A3840" s="2">
        <v>42839</v>
      </c>
      <c r="B3840" s="70" t="s">
        <v>29</v>
      </c>
      <c r="C3840" s="10">
        <v>68</v>
      </c>
      <c r="D3840" s="10">
        <v>285</v>
      </c>
      <c r="E3840" s="10" t="s">
        <v>34</v>
      </c>
      <c r="F3840" s="10"/>
    </row>
    <row r="3841" spans="1:6" x14ac:dyDescent="0.35">
      <c r="A3841" s="2">
        <v>42839</v>
      </c>
      <c r="B3841" s="70" t="s">
        <v>29</v>
      </c>
      <c r="C3841" s="10">
        <v>68</v>
      </c>
      <c r="D3841" s="10">
        <v>290</v>
      </c>
      <c r="E3841" s="10" t="s">
        <v>34</v>
      </c>
      <c r="F3841" s="10" t="s">
        <v>293</v>
      </c>
    </row>
    <row r="3842" spans="1:6" x14ac:dyDescent="0.35">
      <c r="A3842" s="2">
        <v>42839</v>
      </c>
      <c r="B3842" s="70" t="s">
        <v>29</v>
      </c>
      <c r="C3842" s="10">
        <v>74</v>
      </c>
      <c r="D3842" s="10">
        <v>381</v>
      </c>
      <c r="E3842" s="10" t="s">
        <v>32</v>
      </c>
      <c r="F3842" s="10" t="s">
        <v>198</v>
      </c>
    </row>
    <row r="3843" spans="1:6" x14ac:dyDescent="0.35">
      <c r="A3843" s="2">
        <v>42839</v>
      </c>
      <c r="B3843" s="70" t="s">
        <v>29</v>
      </c>
      <c r="C3843" s="10">
        <v>64</v>
      </c>
      <c r="D3843" s="10">
        <v>207</v>
      </c>
      <c r="E3843" s="10" t="s">
        <v>34</v>
      </c>
      <c r="F3843" s="10"/>
    </row>
    <row r="3844" spans="1:6" x14ac:dyDescent="0.35">
      <c r="A3844" s="2">
        <v>42839</v>
      </c>
      <c r="B3844" s="70" t="s">
        <v>29</v>
      </c>
      <c r="C3844" s="10">
        <v>68</v>
      </c>
      <c r="D3844" s="10">
        <v>278</v>
      </c>
      <c r="E3844" s="10" t="s">
        <v>32</v>
      </c>
      <c r="F3844" s="10" t="s">
        <v>198</v>
      </c>
    </row>
    <row r="3845" spans="1:6" x14ac:dyDescent="0.35">
      <c r="A3845" s="2">
        <v>42839</v>
      </c>
      <c r="B3845" s="70" t="s">
        <v>29</v>
      </c>
      <c r="C3845" s="10">
        <v>74</v>
      </c>
      <c r="D3845" s="10">
        <v>424</v>
      </c>
      <c r="E3845" s="10" t="s">
        <v>32</v>
      </c>
      <c r="F3845" s="10" t="s">
        <v>198</v>
      </c>
    </row>
    <row r="3846" spans="1:6" x14ac:dyDescent="0.35">
      <c r="A3846" s="2">
        <v>42839</v>
      </c>
      <c r="B3846" s="70" t="s">
        <v>29</v>
      </c>
      <c r="C3846" s="10">
        <v>72</v>
      </c>
      <c r="D3846" s="10">
        <v>341</v>
      </c>
      <c r="E3846" s="10" t="s">
        <v>32</v>
      </c>
      <c r="F3846" s="10" t="s">
        <v>198</v>
      </c>
    </row>
    <row r="3847" spans="1:6" x14ac:dyDescent="0.35">
      <c r="A3847" s="2">
        <v>42839</v>
      </c>
      <c r="B3847" s="70" t="s">
        <v>29</v>
      </c>
      <c r="C3847" s="10">
        <v>66</v>
      </c>
      <c r="D3847" s="10">
        <v>248</v>
      </c>
      <c r="E3847" s="10" t="s">
        <v>32</v>
      </c>
      <c r="F3847" s="10" t="s">
        <v>198</v>
      </c>
    </row>
    <row r="3848" spans="1:6" x14ac:dyDescent="0.35">
      <c r="A3848" s="2">
        <v>42839</v>
      </c>
      <c r="B3848" s="70" t="s">
        <v>29</v>
      </c>
      <c r="C3848" s="10">
        <v>69</v>
      </c>
      <c r="D3848" s="10">
        <v>266</v>
      </c>
      <c r="E3848" s="10" t="s">
        <v>32</v>
      </c>
      <c r="F3848" s="10" t="s">
        <v>198</v>
      </c>
    </row>
    <row r="3849" spans="1:6" x14ac:dyDescent="0.35">
      <c r="A3849" s="2">
        <v>42839</v>
      </c>
      <c r="B3849" s="70" t="s">
        <v>29</v>
      </c>
      <c r="C3849" s="10">
        <v>71</v>
      </c>
      <c r="D3849" s="10">
        <v>274</v>
      </c>
      <c r="E3849" s="10" t="s">
        <v>34</v>
      </c>
      <c r="F3849" s="10" t="s">
        <v>198</v>
      </c>
    </row>
    <row r="3850" spans="1:6" x14ac:dyDescent="0.35">
      <c r="A3850" s="2">
        <v>42839</v>
      </c>
      <c r="B3850" s="70" t="s">
        <v>29</v>
      </c>
      <c r="C3850" s="10">
        <v>72</v>
      </c>
      <c r="D3850" s="10">
        <v>355</v>
      </c>
      <c r="E3850" s="10" t="s">
        <v>34</v>
      </c>
      <c r="F3850" s="10" t="s">
        <v>198</v>
      </c>
    </row>
    <row r="3851" spans="1:6" x14ac:dyDescent="0.35">
      <c r="A3851" s="2">
        <v>42839</v>
      </c>
      <c r="B3851" s="70" t="s">
        <v>29</v>
      </c>
      <c r="C3851" s="10">
        <v>69</v>
      </c>
      <c r="D3851" s="10">
        <v>248</v>
      </c>
      <c r="E3851" s="10" t="s">
        <v>32</v>
      </c>
      <c r="F3851" s="10" t="s">
        <v>198</v>
      </c>
    </row>
    <row r="3852" spans="1:6" x14ac:dyDescent="0.35">
      <c r="A3852" s="2">
        <v>42839</v>
      </c>
      <c r="B3852" s="70" t="s">
        <v>29</v>
      </c>
      <c r="C3852" s="10">
        <v>68</v>
      </c>
      <c r="D3852" s="10">
        <v>302</v>
      </c>
      <c r="E3852" s="10" t="s">
        <v>32</v>
      </c>
      <c r="F3852" s="10" t="s">
        <v>198</v>
      </c>
    </row>
    <row r="3853" spans="1:6" x14ac:dyDescent="0.35">
      <c r="A3853" s="2">
        <v>42839</v>
      </c>
      <c r="B3853" s="70" t="s">
        <v>29</v>
      </c>
      <c r="C3853" s="10">
        <v>68</v>
      </c>
      <c r="D3853" s="10">
        <v>285</v>
      </c>
      <c r="E3853" s="10" t="s">
        <v>32</v>
      </c>
      <c r="F3853" s="10" t="s">
        <v>198</v>
      </c>
    </row>
    <row r="3854" spans="1:6" x14ac:dyDescent="0.35">
      <c r="A3854" s="2">
        <v>42839</v>
      </c>
      <c r="B3854" s="70" t="s">
        <v>29</v>
      </c>
      <c r="C3854" s="10">
        <v>71</v>
      </c>
      <c r="D3854" s="10">
        <v>307</v>
      </c>
      <c r="E3854" s="10" t="s">
        <v>32</v>
      </c>
      <c r="F3854" s="10" t="s">
        <v>198</v>
      </c>
    </row>
    <row r="3855" spans="1:6" x14ac:dyDescent="0.35">
      <c r="A3855" s="2">
        <v>42839</v>
      </c>
      <c r="B3855" s="70" t="s">
        <v>29</v>
      </c>
      <c r="C3855" s="10">
        <v>72</v>
      </c>
      <c r="D3855" s="10">
        <v>340</v>
      </c>
      <c r="E3855" s="10" t="s">
        <v>32</v>
      </c>
      <c r="F3855" s="10"/>
    </row>
    <row r="3856" spans="1:6" x14ac:dyDescent="0.35">
      <c r="A3856" s="2">
        <v>42839</v>
      </c>
      <c r="B3856" s="70" t="s">
        <v>29</v>
      </c>
      <c r="C3856" s="10">
        <v>70</v>
      </c>
      <c r="D3856" s="10">
        <v>325</v>
      </c>
      <c r="E3856" s="10" t="s">
        <v>32</v>
      </c>
      <c r="F3856" s="10" t="s">
        <v>198</v>
      </c>
    </row>
    <row r="3857" spans="1:21" x14ac:dyDescent="0.35">
      <c r="A3857" s="2">
        <v>42839</v>
      </c>
      <c r="B3857" s="70" t="s">
        <v>29</v>
      </c>
      <c r="C3857" s="10">
        <v>72</v>
      </c>
      <c r="D3857" s="10">
        <v>264</v>
      </c>
      <c r="E3857" s="10" t="s">
        <v>32</v>
      </c>
      <c r="F3857" s="10" t="s">
        <v>198</v>
      </c>
    </row>
    <row r="3858" spans="1:21" x14ac:dyDescent="0.35">
      <c r="A3858" s="2">
        <v>42839</v>
      </c>
      <c r="B3858" s="70" t="s">
        <v>29</v>
      </c>
      <c r="C3858" s="10">
        <v>72</v>
      </c>
      <c r="D3858" s="10">
        <v>312</v>
      </c>
      <c r="E3858" s="10" t="s">
        <v>32</v>
      </c>
      <c r="F3858" s="10" t="s">
        <v>198</v>
      </c>
    </row>
    <row r="3859" spans="1:21" x14ac:dyDescent="0.35">
      <c r="A3859" s="2">
        <v>42839</v>
      </c>
      <c r="B3859" s="70" t="s">
        <v>29</v>
      </c>
      <c r="C3859" s="10">
        <v>66</v>
      </c>
      <c r="D3859" s="10">
        <v>256</v>
      </c>
      <c r="E3859" s="10" t="s">
        <v>34</v>
      </c>
      <c r="F3859" s="10" t="s">
        <v>198</v>
      </c>
    </row>
    <row r="3860" spans="1:21" x14ac:dyDescent="0.35">
      <c r="A3860" s="2">
        <v>42839</v>
      </c>
      <c r="B3860" s="70" t="s">
        <v>29</v>
      </c>
      <c r="C3860" s="10">
        <v>73</v>
      </c>
      <c r="D3860" s="10">
        <v>323</v>
      </c>
      <c r="E3860" s="10" t="s">
        <v>32</v>
      </c>
      <c r="F3860" s="10" t="s">
        <v>198</v>
      </c>
    </row>
    <row r="3861" spans="1:21" x14ac:dyDescent="0.35">
      <c r="A3861" s="2">
        <v>42839</v>
      </c>
      <c r="B3861" s="70" t="s">
        <v>29</v>
      </c>
      <c r="C3861" s="10">
        <v>65</v>
      </c>
      <c r="D3861" s="10">
        <v>221</v>
      </c>
      <c r="E3861" s="10" t="s">
        <v>34</v>
      </c>
      <c r="F3861" s="10" t="s">
        <v>198</v>
      </c>
    </row>
    <row r="3862" spans="1:21" x14ac:dyDescent="0.35">
      <c r="A3862" s="2">
        <v>42839</v>
      </c>
      <c r="B3862" s="70" t="s">
        <v>29</v>
      </c>
      <c r="C3862" s="10">
        <v>73</v>
      </c>
      <c r="D3862" s="10">
        <v>333</v>
      </c>
      <c r="E3862" s="10" t="s">
        <v>32</v>
      </c>
      <c r="F3862" s="10" t="s">
        <v>198</v>
      </c>
    </row>
    <row r="3863" spans="1:21" x14ac:dyDescent="0.35">
      <c r="A3863" s="2">
        <v>42839</v>
      </c>
      <c r="B3863" s="70" t="s">
        <v>29</v>
      </c>
      <c r="C3863" s="10">
        <v>68</v>
      </c>
      <c r="D3863" s="10">
        <v>315</v>
      </c>
      <c r="E3863" s="10" t="s">
        <v>32</v>
      </c>
      <c r="F3863" s="10" t="s">
        <v>198</v>
      </c>
    </row>
    <row r="3864" spans="1:21" x14ac:dyDescent="0.35">
      <c r="A3864" s="2">
        <v>42839</v>
      </c>
      <c r="B3864" s="70" t="s">
        <v>29</v>
      </c>
      <c r="C3864" s="10">
        <v>68</v>
      </c>
      <c r="D3864" s="10">
        <v>255</v>
      </c>
      <c r="E3864" s="10" t="s">
        <v>32</v>
      </c>
      <c r="F3864" s="10" t="s">
        <v>198</v>
      </c>
    </row>
    <row r="3865" spans="1:21" x14ac:dyDescent="0.35">
      <c r="A3865" s="2">
        <v>42839</v>
      </c>
      <c r="B3865" s="70" t="s">
        <v>29</v>
      </c>
      <c r="C3865" s="10">
        <v>69</v>
      </c>
      <c r="D3865" s="10">
        <v>330</v>
      </c>
      <c r="E3865" s="10" t="s">
        <v>34</v>
      </c>
      <c r="F3865" s="10" t="s">
        <v>198</v>
      </c>
    </row>
    <row r="3866" spans="1:21" x14ac:dyDescent="0.35">
      <c r="A3866" s="2">
        <v>42839</v>
      </c>
      <c r="B3866" s="70" t="s">
        <v>29</v>
      </c>
      <c r="C3866" s="10">
        <v>67</v>
      </c>
      <c r="D3866" s="10">
        <v>280</v>
      </c>
      <c r="E3866" s="10" t="s">
        <v>34</v>
      </c>
      <c r="F3866" s="10" t="s">
        <v>198</v>
      </c>
    </row>
    <row r="3867" spans="1:21" x14ac:dyDescent="0.35">
      <c r="A3867" s="2">
        <v>42839</v>
      </c>
      <c r="B3867" s="70" t="s">
        <v>29</v>
      </c>
      <c r="C3867" s="10">
        <v>69</v>
      </c>
      <c r="D3867" s="10">
        <v>285</v>
      </c>
      <c r="E3867" s="10" t="s">
        <v>32</v>
      </c>
      <c r="F3867" s="10"/>
      <c r="I3867" t="s">
        <v>42</v>
      </c>
      <c r="J3867" t="s">
        <v>39</v>
      </c>
      <c r="K3867" t="s">
        <v>40</v>
      </c>
      <c r="L3867" t="s">
        <v>36</v>
      </c>
      <c r="M3867" t="s">
        <v>33</v>
      </c>
      <c r="N3867" t="s">
        <v>34</v>
      </c>
      <c r="O3867" t="s">
        <v>32</v>
      </c>
      <c r="P3867" t="s">
        <v>37</v>
      </c>
    </row>
    <row r="3868" spans="1:21" x14ac:dyDescent="0.35">
      <c r="A3868" s="2">
        <v>42839</v>
      </c>
      <c r="B3868" s="70" t="s">
        <v>29</v>
      </c>
      <c r="C3868" s="10">
        <v>68</v>
      </c>
      <c r="D3868" s="10">
        <v>248</v>
      </c>
      <c r="E3868" s="10" t="s">
        <v>37</v>
      </c>
      <c r="F3868" s="10" t="s">
        <v>198</v>
      </c>
      <c r="I3868" s="5">
        <f>COUNTIF(E3828:E3869,"VA")</f>
        <v>0</v>
      </c>
      <c r="J3868" s="5">
        <f>COUNTIF(E3828:E3869,"VB")</f>
        <v>0</v>
      </c>
      <c r="K3868" s="5">
        <f>COUNTIF(E3820:E3869,"VIA0")</f>
        <v>0</v>
      </c>
      <c r="L3868" s="5">
        <f>COUNTIF(E3820:E3869,"VIA1")</f>
        <v>0</v>
      </c>
      <c r="M3868" s="5">
        <f>COUNTIF(E3820:E3869,"VIA2")</f>
        <v>0</v>
      </c>
      <c r="N3868" s="5">
        <f>COUNTIF(E3820:E3869,"VIA3")</f>
        <v>13</v>
      </c>
      <c r="O3868" s="5">
        <f>COUNTIF(E3820:E3869,"VIA4")</f>
        <v>35</v>
      </c>
      <c r="P3868" s="5">
        <f>COUNTIF(E3820:E3869,"VIB")</f>
        <v>2</v>
      </c>
      <c r="R3868">
        <f>AVERAGE(C3820:C3869)</f>
        <v>69.06</v>
      </c>
      <c r="S3868">
        <f>AVERAGE(D3820:D3869)</f>
        <v>285.16000000000003</v>
      </c>
      <c r="U3868" t="e">
        <f>AVERAGE(#REF!)</f>
        <v>#REF!</v>
      </c>
    </row>
    <row r="3869" spans="1:21" s="4" customFormat="1" x14ac:dyDescent="0.35">
      <c r="A3869" s="3">
        <v>42839</v>
      </c>
      <c r="B3869" s="44" t="s">
        <v>29</v>
      </c>
      <c r="C3869" s="11">
        <v>73</v>
      </c>
      <c r="D3869" s="11">
        <v>380</v>
      </c>
      <c r="E3869" s="11" t="s">
        <v>32</v>
      </c>
      <c r="F3869" s="11"/>
      <c r="I3869" s="6">
        <f>I3868/50*100</f>
        <v>0</v>
      </c>
      <c r="J3869" s="6">
        <f t="shared" ref="J3869:P3869" si="119">J3868/50*100</f>
        <v>0</v>
      </c>
      <c r="K3869" s="6">
        <f t="shared" si="119"/>
        <v>0</v>
      </c>
      <c r="L3869" s="6">
        <f t="shared" si="119"/>
        <v>0</v>
      </c>
      <c r="M3869" s="6">
        <f t="shared" si="119"/>
        <v>0</v>
      </c>
      <c r="N3869" s="6">
        <f t="shared" si="119"/>
        <v>26</v>
      </c>
      <c r="O3869" s="6">
        <f t="shared" si="119"/>
        <v>70</v>
      </c>
      <c r="P3869" s="6">
        <f t="shared" si="119"/>
        <v>4</v>
      </c>
    </row>
    <row r="3870" spans="1:21" x14ac:dyDescent="0.35">
      <c r="A3870" s="2">
        <v>42839</v>
      </c>
      <c r="B3870" s="70" t="s">
        <v>38</v>
      </c>
      <c r="C3870" s="10">
        <v>110</v>
      </c>
      <c r="D3870" s="10">
        <v>1704</v>
      </c>
      <c r="E3870" s="10" t="s">
        <v>98</v>
      </c>
    </row>
    <row r="3871" spans="1:21" x14ac:dyDescent="0.35">
      <c r="A3871" s="2">
        <v>42839</v>
      </c>
      <c r="B3871" s="70" t="s">
        <v>38</v>
      </c>
      <c r="C3871" s="10">
        <v>112</v>
      </c>
      <c r="D3871" s="10">
        <v>1772</v>
      </c>
      <c r="E3871" s="10" t="s">
        <v>98</v>
      </c>
    </row>
    <row r="3872" spans="1:21" x14ac:dyDescent="0.35">
      <c r="A3872" s="2">
        <v>42839</v>
      </c>
      <c r="B3872" s="70" t="s">
        <v>38</v>
      </c>
      <c r="C3872" s="10">
        <v>123</v>
      </c>
      <c r="D3872" s="10">
        <v>2047</v>
      </c>
      <c r="E3872" s="10" t="s">
        <v>98</v>
      </c>
    </row>
    <row r="3873" spans="1:7" x14ac:dyDescent="0.35">
      <c r="A3873" s="2">
        <v>42839</v>
      </c>
      <c r="B3873" s="70" t="s">
        <v>38</v>
      </c>
      <c r="C3873" s="10">
        <v>102</v>
      </c>
      <c r="D3873" s="10">
        <v>1808</v>
      </c>
      <c r="E3873" s="10" t="s">
        <v>98</v>
      </c>
    </row>
    <row r="3874" spans="1:7" x14ac:dyDescent="0.35">
      <c r="A3874" s="2">
        <v>42839</v>
      </c>
      <c r="B3874" s="70" t="s">
        <v>38</v>
      </c>
      <c r="C3874" s="10">
        <v>75</v>
      </c>
      <c r="D3874" s="10">
        <v>325</v>
      </c>
      <c r="E3874" s="10" t="s">
        <v>32</v>
      </c>
      <c r="F3874" t="s">
        <v>198</v>
      </c>
      <c r="G3874" t="s">
        <v>379</v>
      </c>
    </row>
    <row r="3875" spans="1:7" x14ac:dyDescent="0.35">
      <c r="A3875" s="2">
        <v>42839</v>
      </c>
      <c r="B3875" s="70" t="s">
        <v>38</v>
      </c>
      <c r="C3875" s="10">
        <v>71</v>
      </c>
      <c r="D3875" s="10">
        <v>301</v>
      </c>
      <c r="E3875" s="10" t="s">
        <v>34</v>
      </c>
      <c r="F3875" t="s">
        <v>198</v>
      </c>
      <c r="G3875" t="s">
        <v>380</v>
      </c>
    </row>
    <row r="3876" spans="1:7" x14ac:dyDescent="0.35">
      <c r="A3876" s="2">
        <v>42839</v>
      </c>
      <c r="B3876" s="70" t="s">
        <v>38</v>
      </c>
      <c r="C3876" s="10">
        <v>68</v>
      </c>
      <c r="D3876" s="10">
        <v>268</v>
      </c>
      <c r="E3876" s="10" t="s">
        <v>34</v>
      </c>
      <c r="F3876" t="s">
        <v>198</v>
      </c>
      <c r="G3876" t="s">
        <v>381</v>
      </c>
    </row>
    <row r="3877" spans="1:7" x14ac:dyDescent="0.35">
      <c r="A3877" s="2">
        <v>42839</v>
      </c>
      <c r="B3877" s="70" t="s">
        <v>38</v>
      </c>
      <c r="C3877" s="10">
        <v>69</v>
      </c>
      <c r="D3877" s="10">
        <v>302</v>
      </c>
      <c r="E3877" s="10" t="s">
        <v>32</v>
      </c>
      <c r="F3877" t="s">
        <v>198</v>
      </c>
      <c r="G3877" t="s">
        <v>382</v>
      </c>
    </row>
    <row r="3878" spans="1:7" x14ac:dyDescent="0.35">
      <c r="A3878" s="2">
        <v>42839</v>
      </c>
      <c r="B3878" s="70" t="s">
        <v>38</v>
      </c>
      <c r="C3878" s="10">
        <v>76</v>
      </c>
      <c r="D3878" s="10">
        <v>388</v>
      </c>
      <c r="E3878" s="10" t="s">
        <v>32</v>
      </c>
      <c r="F3878" t="s">
        <v>198</v>
      </c>
      <c r="G3878" t="s">
        <v>383</v>
      </c>
    </row>
    <row r="3879" spans="1:7" x14ac:dyDescent="0.35">
      <c r="A3879" s="2">
        <v>42839</v>
      </c>
      <c r="B3879" s="70" t="s">
        <v>38</v>
      </c>
      <c r="C3879" s="10">
        <v>63</v>
      </c>
      <c r="D3879" s="10">
        <v>229</v>
      </c>
      <c r="E3879" s="10" t="s">
        <v>32</v>
      </c>
      <c r="F3879" t="s">
        <v>198</v>
      </c>
    </row>
    <row r="3880" spans="1:7" x14ac:dyDescent="0.35">
      <c r="A3880" s="2">
        <v>42839</v>
      </c>
      <c r="B3880" s="70" t="s">
        <v>38</v>
      </c>
      <c r="C3880" s="10">
        <v>72</v>
      </c>
      <c r="D3880" s="10">
        <v>336</v>
      </c>
      <c r="E3880" s="10" t="s">
        <v>32</v>
      </c>
      <c r="F3880" t="s">
        <v>198</v>
      </c>
    </row>
    <row r="3881" spans="1:7" x14ac:dyDescent="0.35">
      <c r="A3881" s="2">
        <v>42839</v>
      </c>
      <c r="B3881" s="70" t="s">
        <v>38</v>
      </c>
      <c r="C3881" s="10">
        <v>65</v>
      </c>
      <c r="D3881" s="10">
        <v>217</v>
      </c>
      <c r="E3881" s="10" t="s">
        <v>32</v>
      </c>
      <c r="F3881" t="s">
        <v>198</v>
      </c>
    </row>
    <row r="3882" spans="1:7" x14ac:dyDescent="0.35">
      <c r="A3882" s="2">
        <v>42839</v>
      </c>
      <c r="B3882" s="70" t="s">
        <v>38</v>
      </c>
      <c r="C3882" s="10">
        <v>66</v>
      </c>
      <c r="D3882" s="10">
        <v>303</v>
      </c>
      <c r="E3882" s="10" t="s">
        <v>34</v>
      </c>
      <c r="F3882" t="s">
        <v>293</v>
      </c>
    </row>
    <row r="3883" spans="1:7" x14ac:dyDescent="0.35">
      <c r="A3883" s="2">
        <v>42839</v>
      </c>
      <c r="B3883" s="70" t="s">
        <v>38</v>
      </c>
      <c r="C3883" s="10">
        <v>65</v>
      </c>
      <c r="D3883" s="10">
        <v>250</v>
      </c>
      <c r="E3883" s="10" t="s">
        <v>32</v>
      </c>
      <c r="F3883" t="s">
        <v>198</v>
      </c>
    </row>
    <row r="3884" spans="1:7" x14ac:dyDescent="0.35">
      <c r="A3884" s="2">
        <v>42839</v>
      </c>
      <c r="B3884" s="70" t="s">
        <v>38</v>
      </c>
      <c r="C3884" s="10">
        <v>72</v>
      </c>
      <c r="D3884" s="10">
        <v>315</v>
      </c>
      <c r="E3884" s="10" t="s">
        <v>32</v>
      </c>
      <c r="F3884" t="s">
        <v>198</v>
      </c>
    </row>
    <row r="3885" spans="1:7" x14ac:dyDescent="0.35">
      <c r="A3885" s="2">
        <v>42839</v>
      </c>
      <c r="B3885" s="70" t="s">
        <v>38</v>
      </c>
      <c r="C3885" s="10">
        <v>70</v>
      </c>
      <c r="D3885" s="10">
        <v>315</v>
      </c>
      <c r="E3885" s="10" t="s">
        <v>32</v>
      </c>
    </row>
    <row r="3886" spans="1:7" x14ac:dyDescent="0.35">
      <c r="A3886" s="2">
        <v>42839</v>
      </c>
      <c r="B3886" s="70" t="s">
        <v>38</v>
      </c>
      <c r="C3886" s="10">
        <v>68</v>
      </c>
      <c r="D3886" s="10">
        <v>227</v>
      </c>
      <c r="E3886" s="10" t="s">
        <v>32</v>
      </c>
      <c r="F3886" t="s">
        <v>198</v>
      </c>
    </row>
    <row r="3887" spans="1:7" x14ac:dyDescent="0.35">
      <c r="A3887" s="2">
        <v>42839</v>
      </c>
      <c r="B3887" s="70" t="s">
        <v>38</v>
      </c>
      <c r="C3887" s="10">
        <v>74</v>
      </c>
      <c r="D3887" s="10">
        <v>317</v>
      </c>
      <c r="E3887" s="10" t="s">
        <v>32</v>
      </c>
      <c r="F3887" t="s">
        <v>198</v>
      </c>
    </row>
    <row r="3888" spans="1:7" x14ac:dyDescent="0.35">
      <c r="A3888" s="2">
        <v>42839</v>
      </c>
      <c r="B3888" s="70" t="s">
        <v>38</v>
      </c>
      <c r="C3888" s="10">
        <v>68</v>
      </c>
      <c r="D3888" s="10">
        <v>220</v>
      </c>
      <c r="E3888" s="10" t="s">
        <v>32</v>
      </c>
      <c r="F3888" t="s">
        <v>198</v>
      </c>
    </row>
    <row r="3889" spans="1:6" x14ac:dyDescent="0.35">
      <c r="A3889" s="2">
        <v>42839</v>
      </c>
      <c r="B3889" s="70" t="s">
        <v>38</v>
      </c>
      <c r="C3889" s="10">
        <v>68</v>
      </c>
      <c r="D3889" s="10">
        <v>292</v>
      </c>
      <c r="E3889" s="10" t="s">
        <v>32</v>
      </c>
      <c r="F3889" t="s">
        <v>198</v>
      </c>
    </row>
    <row r="3890" spans="1:6" x14ac:dyDescent="0.35">
      <c r="A3890" s="2">
        <v>42839</v>
      </c>
      <c r="B3890" s="70" t="s">
        <v>38</v>
      </c>
      <c r="C3890" s="10">
        <v>70</v>
      </c>
      <c r="D3890" s="10">
        <v>290</v>
      </c>
      <c r="E3890" s="10" t="s">
        <v>32</v>
      </c>
      <c r="F3890" t="s">
        <v>198</v>
      </c>
    </row>
    <row r="3891" spans="1:6" x14ac:dyDescent="0.35">
      <c r="A3891" s="2">
        <v>42839</v>
      </c>
      <c r="B3891" s="70" t="s">
        <v>38</v>
      </c>
      <c r="C3891" s="10">
        <v>71</v>
      </c>
      <c r="D3891" s="10">
        <v>325</v>
      </c>
      <c r="E3891" s="10" t="s">
        <v>33</v>
      </c>
    </row>
    <row r="3892" spans="1:6" x14ac:dyDescent="0.35">
      <c r="A3892" s="2">
        <v>42839</v>
      </c>
      <c r="B3892" s="70" t="s">
        <v>38</v>
      </c>
      <c r="C3892" s="10">
        <v>72</v>
      </c>
      <c r="D3892" s="10">
        <v>297</v>
      </c>
      <c r="E3892" s="10" t="s">
        <v>32</v>
      </c>
      <c r="F3892" t="s">
        <v>198</v>
      </c>
    </row>
    <row r="3893" spans="1:6" x14ac:dyDescent="0.35">
      <c r="A3893" s="2">
        <v>42839</v>
      </c>
      <c r="B3893" s="70" t="s">
        <v>38</v>
      </c>
      <c r="C3893" s="10">
        <v>73</v>
      </c>
      <c r="D3893" s="10">
        <v>424</v>
      </c>
      <c r="E3893" s="10" t="s">
        <v>34</v>
      </c>
      <c r="F3893" t="s">
        <v>198</v>
      </c>
    </row>
    <row r="3894" spans="1:6" x14ac:dyDescent="0.35">
      <c r="A3894" s="2">
        <v>42839</v>
      </c>
      <c r="B3894" s="70" t="s">
        <v>38</v>
      </c>
      <c r="C3894" s="10">
        <v>72</v>
      </c>
      <c r="D3894" s="10">
        <v>337</v>
      </c>
      <c r="E3894" s="10" t="s">
        <v>32</v>
      </c>
    </row>
    <row r="3895" spans="1:6" x14ac:dyDescent="0.35">
      <c r="A3895" s="2">
        <v>42839</v>
      </c>
      <c r="B3895" s="70" t="s">
        <v>38</v>
      </c>
      <c r="C3895" s="10">
        <v>68</v>
      </c>
      <c r="D3895" s="10">
        <v>297</v>
      </c>
      <c r="E3895" s="10" t="s">
        <v>32</v>
      </c>
    </row>
    <row r="3896" spans="1:6" x14ac:dyDescent="0.35">
      <c r="A3896" s="2">
        <v>42839</v>
      </c>
      <c r="B3896" s="70" t="s">
        <v>38</v>
      </c>
      <c r="C3896" s="10">
        <v>69</v>
      </c>
      <c r="D3896" s="10">
        <v>278</v>
      </c>
      <c r="E3896" s="10" t="s">
        <v>32</v>
      </c>
      <c r="F3896" t="s">
        <v>198</v>
      </c>
    </row>
    <row r="3897" spans="1:6" x14ac:dyDescent="0.35">
      <c r="A3897" s="2">
        <v>42839</v>
      </c>
      <c r="B3897" s="70" t="s">
        <v>38</v>
      </c>
      <c r="C3897" s="10">
        <v>68</v>
      </c>
      <c r="D3897" s="10">
        <v>249</v>
      </c>
      <c r="E3897" s="10" t="s">
        <v>32</v>
      </c>
      <c r="F3897" t="s">
        <v>198</v>
      </c>
    </row>
    <row r="3898" spans="1:6" x14ac:dyDescent="0.35">
      <c r="A3898" s="2">
        <v>42839</v>
      </c>
      <c r="B3898" s="70" t="s">
        <v>38</v>
      </c>
      <c r="C3898" s="10">
        <v>68</v>
      </c>
      <c r="D3898" s="10">
        <v>292</v>
      </c>
      <c r="E3898" s="10" t="s">
        <v>32</v>
      </c>
    </row>
    <row r="3899" spans="1:6" x14ac:dyDescent="0.35">
      <c r="A3899" s="2">
        <v>42839</v>
      </c>
      <c r="B3899" s="70" t="s">
        <v>38</v>
      </c>
      <c r="C3899" s="10">
        <v>65</v>
      </c>
      <c r="D3899" s="10">
        <v>229</v>
      </c>
      <c r="E3899" s="10" t="s">
        <v>34</v>
      </c>
    </row>
    <row r="3900" spans="1:6" x14ac:dyDescent="0.35">
      <c r="A3900" s="2">
        <v>42839</v>
      </c>
      <c r="B3900" s="70" t="s">
        <v>38</v>
      </c>
      <c r="C3900" s="10">
        <v>70</v>
      </c>
      <c r="D3900" s="10">
        <v>301</v>
      </c>
      <c r="E3900" s="10" t="s">
        <v>32</v>
      </c>
      <c r="F3900" t="s">
        <v>198</v>
      </c>
    </row>
    <row r="3901" spans="1:6" x14ac:dyDescent="0.35">
      <c r="A3901" s="2">
        <v>42839</v>
      </c>
      <c r="B3901" s="70" t="s">
        <v>38</v>
      </c>
      <c r="C3901" s="10">
        <v>63</v>
      </c>
      <c r="D3901" s="10">
        <v>189</v>
      </c>
      <c r="E3901" s="10" t="s">
        <v>34</v>
      </c>
      <c r="F3901" t="s">
        <v>198</v>
      </c>
    </row>
    <row r="3902" spans="1:6" x14ac:dyDescent="0.35">
      <c r="A3902" s="2">
        <v>42839</v>
      </c>
      <c r="B3902" s="70" t="s">
        <v>38</v>
      </c>
      <c r="C3902" s="10">
        <v>69</v>
      </c>
      <c r="D3902" s="10">
        <v>327</v>
      </c>
      <c r="E3902" s="10" t="s">
        <v>32</v>
      </c>
      <c r="F3902" t="s">
        <v>293</v>
      </c>
    </row>
    <row r="3903" spans="1:6" x14ac:dyDescent="0.35">
      <c r="A3903" s="2">
        <v>42839</v>
      </c>
      <c r="B3903" s="70" t="s">
        <v>38</v>
      </c>
      <c r="C3903" s="10">
        <v>69</v>
      </c>
      <c r="D3903" s="10">
        <v>260</v>
      </c>
      <c r="E3903" s="10" t="s">
        <v>34</v>
      </c>
      <c r="F3903" t="s">
        <v>198</v>
      </c>
    </row>
    <row r="3904" spans="1:6" x14ac:dyDescent="0.35">
      <c r="A3904" s="2">
        <v>42839</v>
      </c>
      <c r="B3904" s="70" t="s">
        <v>38</v>
      </c>
      <c r="C3904" s="10">
        <v>72</v>
      </c>
      <c r="D3904" s="10">
        <v>326</v>
      </c>
      <c r="E3904" s="10" t="s">
        <v>32</v>
      </c>
      <c r="F3904" t="s">
        <v>198</v>
      </c>
    </row>
    <row r="3905" spans="1:19" x14ac:dyDescent="0.35">
      <c r="A3905" s="2">
        <v>42839</v>
      </c>
      <c r="B3905" s="70" t="s">
        <v>38</v>
      </c>
      <c r="C3905" s="10">
        <v>70</v>
      </c>
      <c r="D3905" s="10">
        <v>289</v>
      </c>
      <c r="E3905" s="10" t="s">
        <v>32</v>
      </c>
      <c r="F3905" t="s">
        <v>198</v>
      </c>
    </row>
    <row r="3906" spans="1:19" x14ac:dyDescent="0.35">
      <c r="A3906" s="2">
        <v>42839</v>
      </c>
      <c r="B3906" s="70" t="s">
        <v>38</v>
      </c>
      <c r="C3906" s="10">
        <v>75</v>
      </c>
      <c r="D3906" s="10">
        <v>363</v>
      </c>
      <c r="E3906" s="10" t="s">
        <v>32</v>
      </c>
      <c r="F3906" t="s">
        <v>198</v>
      </c>
    </row>
    <row r="3907" spans="1:19" x14ac:dyDescent="0.35">
      <c r="A3907" s="2">
        <v>42839</v>
      </c>
      <c r="B3907" s="70" t="s">
        <v>38</v>
      </c>
      <c r="C3907" s="10">
        <v>68</v>
      </c>
      <c r="D3907" s="10">
        <v>282</v>
      </c>
      <c r="E3907" s="10" t="s">
        <v>32</v>
      </c>
      <c r="F3907" t="s">
        <v>198</v>
      </c>
    </row>
    <row r="3908" spans="1:19" x14ac:dyDescent="0.35">
      <c r="A3908" s="2">
        <v>42839</v>
      </c>
      <c r="B3908" s="70" t="s">
        <v>38</v>
      </c>
      <c r="C3908" s="10">
        <v>72</v>
      </c>
      <c r="D3908" s="10">
        <v>293</v>
      </c>
      <c r="E3908" s="10" t="s">
        <v>32</v>
      </c>
      <c r="F3908" t="s">
        <v>198</v>
      </c>
    </row>
    <row r="3909" spans="1:19" x14ac:dyDescent="0.35">
      <c r="A3909" s="2">
        <v>42839</v>
      </c>
      <c r="B3909" s="70" t="s">
        <v>38</v>
      </c>
      <c r="C3909" s="10">
        <v>73</v>
      </c>
      <c r="D3909" s="10">
        <v>311</v>
      </c>
      <c r="E3909" s="10" t="s">
        <v>32</v>
      </c>
      <c r="F3909" t="s">
        <v>198</v>
      </c>
    </row>
    <row r="3910" spans="1:19" x14ac:dyDescent="0.35">
      <c r="A3910" s="2">
        <v>42839</v>
      </c>
      <c r="B3910" s="70" t="s">
        <v>38</v>
      </c>
      <c r="C3910" s="10">
        <v>67</v>
      </c>
      <c r="D3910" s="10">
        <v>283</v>
      </c>
      <c r="E3910" s="10" t="s">
        <v>34</v>
      </c>
      <c r="F3910" t="s">
        <v>198</v>
      </c>
    </row>
    <row r="3911" spans="1:19" x14ac:dyDescent="0.35">
      <c r="A3911" s="2">
        <v>42839</v>
      </c>
      <c r="B3911" s="70" t="s">
        <v>38</v>
      </c>
      <c r="C3911" s="10">
        <v>68</v>
      </c>
      <c r="D3911" s="10">
        <v>255</v>
      </c>
      <c r="E3911" s="10" t="s">
        <v>32</v>
      </c>
      <c r="F3911" t="s">
        <v>198</v>
      </c>
    </row>
    <row r="3912" spans="1:19" x14ac:dyDescent="0.35">
      <c r="A3912" s="2">
        <v>42839</v>
      </c>
      <c r="B3912" s="70" t="s">
        <v>38</v>
      </c>
      <c r="C3912" s="10">
        <v>67</v>
      </c>
      <c r="D3912" s="10">
        <v>277</v>
      </c>
      <c r="E3912" s="10" t="s">
        <v>32</v>
      </c>
      <c r="F3912" t="s">
        <v>293</v>
      </c>
    </row>
    <row r="3913" spans="1:19" x14ac:dyDescent="0.35">
      <c r="A3913" s="2">
        <v>42839</v>
      </c>
      <c r="B3913" s="70" t="s">
        <v>38</v>
      </c>
      <c r="C3913" s="10">
        <v>72</v>
      </c>
      <c r="D3913" s="10">
        <v>316</v>
      </c>
      <c r="E3913" s="10" t="s">
        <v>32</v>
      </c>
      <c r="F3913" t="s">
        <v>293</v>
      </c>
    </row>
    <row r="3914" spans="1:19" x14ac:dyDescent="0.35">
      <c r="A3914" s="2">
        <v>42839</v>
      </c>
      <c r="B3914" s="70" t="s">
        <v>38</v>
      </c>
      <c r="C3914" s="10">
        <v>67</v>
      </c>
      <c r="D3914" s="10">
        <v>268</v>
      </c>
      <c r="E3914" s="10" t="s">
        <v>34</v>
      </c>
      <c r="F3914" t="s">
        <v>198</v>
      </c>
    </row>
    <row r="3915" spans="1:19" x14ac:dyDescent="0.35">
      <c r="A3915" s="2">
        <v>42839</v>
      </c>
      <c r="B3915" s="70" t="s">
        <v>38</v>
      </c>
      <c r="C3915" s="10">
        <v>71</v>
      </c>
      <c r="D3915" s="10">
        <v>307</v>
      </c>
      <c r="E3915" s="10" t="s">
        <v>32</v>
      </c>
      <c r="F3915" t="s">
        <v>198</v>
      </c>
    </row>
    <row r="3916" spans="1:19" x14ac:dyDescent="0.35">
      <c r="A3916" s="2">
        <v>42839</v>
      </c>
      <c r="B3916" s="70" t="s">
        <v>38</v>
      </c>
      <c r="C3916" s="10">
        <v>68</v>
      </c>
      <c r="D3916" s="10">
        <v>242</v>
      </c>
      <c r="E3916" s="10" t="s">
        <v>37</v>
      </c>
      <c r="F3916" t="s">
        <v>198</v>
      </c>
      <c r="I3916" t="s">
        <v>42</v>
      </c>
      <c r="J3916" t="s">
        <v>39</v>
      </c>
      <c r="K3916" t="s">
        <v>40</v>
      </c>
      <c r="L3916" t="s">
        <v>36</v>
      </c>
      <c r="M3916" t="s">
        <v>33</v>
      </c>
      <c r="N3916" t="s">
        <v>34</v>
      </c>
      <c r="O3916" t="s">
        <v>32</v>
      </c>
      <c r="P3916" t="s">
        <v>37</v>
      </c>
    </row>
    <row r="3917" spans="1:19" x14ac:dyDescent="0.35">
      <c r="A3917" s="2">
        <v>42839</v>
      </c>
      <c r="B3917" s="70" t="s">
        <v>38</v>
      </c>
      <c r="C3917" s="10">
        <v>73</v>
      </c>
      <c r="D3917" s="10">
        <v>371</v>
      </c>
      <c r="E3917" s="10" t="s">
        <v>32</v>
      </c>
      <c r="F3917" t="s">
        <v>198</v>
      </c>
      <c r="I3917" s="5">
        <f>COUNTIF(E3877:E3918,"VA")</f>
        <v>0</v>
      </c>
      <c r="J3917" s="5">
        <f>COUNTIF(E3877:E3918,"VB")</f>
        <v>0</v>
      </c>
      <c r="K3917" s="5">
        <f>COUNTIF(E3869:E3918,"VIA0")</f>
        <v>0</v>
      </c>
      <c r="L3917" s="5">
        <f>COUNTIF(E3869:E3918,"VIA1")</f>
        <v>0</v>
      </c>
      <c r="M3917" s="5">
        <f>COUNTIF(E3814:E3923,"VIA2")</f>
        <v>1</v>
      </c>
      <c r="N3917" s="5">
        <f>COUNTIF(E3814:E3923,"VIA3")</f>
        <v>22</v>
      </c>
      <c r="O3917" s="5">
        <f>COUNTIF(E3814:E3923,"VIA4")</f>
        <v>74</v>
      </c>
      <c r="P3917" s="5">
        <f>COUNTIF(E3814:E3923,"VIB")</f>
        <v>3</v>
      </c>
      <c r="S3917" s="42" t="e">
        <f>AVERAGE(#REF!)</f>
        <v>#REF!</v>
      </c>
    </row>
    <row r="3918" spans="1:19" x14ac:dyDescent="0.35">
      <c r="A3918" s="2">
        <v>42839</v>
      </c>
      <c r="B3918" s="70" t="s">
        <v>38</v>
      </c>
      <c r="C3918" s="10">
        <v>72</v>
      </c>
      <c r="D3918" s="10">
        <v>284</v>
      </c>
      <c r="E3918" s="10" t="s">
        <v>32</v>
      </c>
      <c r="F3918" t="s">
        <v>198</v>
      </c>
      <c r="I3918" s="6"/>
      <c r="J3918" s="6"/>
      <c r="K3918" s="6"/>
      <c r="L3918" s="6"/>
      <c r="M3918" s="6"/>
      <c r="N3918" s="6"/>
      <c r="O3918" s="6"/>
      <c r="P3918" s="6"/>
    </row>
    <row r="3919" spans="1:19" x14ac:dyDescent="0.35">
      <c r="A3919" s="2">
        <v>42839</v>
      </c>
      <c r="B3919" s="70" t="s">
        <v>38</v>
      </c>
      <c r="C3919" s="10">
        <v>70</v>
      </c>
      <c r="D3919" s="10">
        <v>320</v>
      </c>
      <c r="E3919" s="10" t="s">
        <v>32</v>
      </c>
    </row>
    <row r="3920" spans="1:19" x14ac:dyDescent="0.35">
      <c r="A3920" s="2">
        <v>42839</v>
      </c>
      <c r="B3920" s="70" t="s">
        <v>38</v>
      </c>
      <c r="C3920" s="10">
        <v>65</v>
      </c>
      <c r="D3920" s="10">
        <v>207</v>
      </c>
      <c r="E3920" s="10" t="s">
        <v>32</v>
      </c>
      <c r="F3920" t="s">
        <v>198</v>
      </c>
    </row>
    <row r="3921" spans="1:22" x14ac:dyDescent="0.35">
      <c r="A3921" s="2">
        <v>42839</v>
      </c>
      <c r="B3921" s="70" t="s">
        <v>38</v>
      </c>
      <c r="C3921" s="10">
        <v>65</v>
      </c>
      <c r="D3921" s="10">
        <v>247</v>
      </c>
      <c r="E3921" s="10" t="s">
        <v>32</v>
      </c>
      <c r="I3921" t="s">
        <v>42</v>
      </c>
      <c r="J3921" t="s">
        <v>39</v>
      </c>
      <c r="K3921" t="s">
        <v>40</v>
      </c>
      <c r="L3921" t="s">
        <v>36</v>
      </c>
      <c r="M3921" t="s">
        <v>33</v>
      </c>
      <c r="N3921" t="s">
        <v>34</v>
      </c>
      <c r="O3921" t="s">
        <v>32</v>
      </c>
      <c r="P3921" t="s">
        <v>37</v>
      </c>
      <c r="S3921">
        <f>AVERAGE(C3874:C3923,C3820:C3869)</f>
        <v>69.209999999999994</v>
      </c>
      <c r="T3921">
        <f>AVERAGE(D3874:D3923,D3820:D3869)</f>
        <v>287.52999999999997</v>
      </c>
    </row>
    <row r="3922" spans="1:22" x14ac:dyDescent="0.35">
      <c r="A3922" s="2">
        <v>42839</v>
      </c>
      <c r="B3922" s="70" t="s">
        <v>38</v>
      </c>
      <c r="C3922" s="10">
        <v>68</v>
      </c>
      <c r="D3922" s="10">
        <v>297</v>
      </c>
      <c r="E3922" s="10" t="s">
        <v>32</v>
      </c>
      <c r="I3922" s="5">
        <f>COUNTIF(E3882:E3923,"VA")</f>
        <v>0</v>
      </c>
      <c r="J3922" s="5">
        <f>COUNTIF(E3882:E3923,"VB")</f>
        <v>0</v>
      </c>
      <c r="K3922" s="5">
        <f>COUNTIF(E3874:E3923,"VIA0")</f>
        <v>0</v>
      </c>
      <c r="L3922" s="5">
        <f>COUNTIF(E3874:E3923,"VIA1")</f>
        <v>0</v>
      </c>
      <c r="M3922" s="5">
        <f>COUNTIF(E3874:E3923,"VIA2")</f>
        <v>1</v>
      </c>
      <c r="N3922" s="5">
        <f>COUNTIF(E3874:E3923,"VIA3")</f>
        <v>9</v>
      </c>
      <c r="O3922" s="5">
        <f>COUNTIF(E3874:E3923,"VIA4")</f>
        <v>39</v>
      </c>
      <c r="P3922" s="5">
        <f>COUNTIF(E3874:E3923,"VIB")</f>
        <v>1</v>
      </c>
      <c r="S3922">
        <f>AVERAGE(C3870:C3873,C3813:C3819)</f>
        <v>112.63636363636364</v>
      </c>
      <c r="T3922">
        <f>AVERAGE(D3870:D3873,D3813:D3819)</f>
        <v>1743.6363636363637</v>
      </c>
      <c r="V3922" t="e">
        <f>AVERAGE(#REF!,#REF!)</f>
        <v>#REF!</v>
      </c>
    </row>
    <row r="3923" spans="1:22" s="4" customFormat="1" x14ac:dyDescent="0.35">
      <c r="A3923" s="3">
        <v>42839</v>
      </c>
      <c r="B3923" s="44" t="s">
        <v>38</v>
      </c>
      <c r="C3923" s="11">
        <v>68</v>
      </c>
      <c r="D3923" s="11">
        <v>257</v>
      </c>
      <c r="E3923" s="11" t="s">
        <v>32</v>
      </c>
      <c r="F3923" s="4" t="s">
        <v>198</v>
      </c>
      <c r="I3923" s="6">
        <f>I3922/50*100</f>
        <v>0</v>
      </c>
      <c r="J3923" s="6">
        <f t="shared" ref="J3923" si="120">J3922/50*100</f>
        <v>0</v>
      </c>
      <c r="K3923" s="6">
        <f t="shared" ref="K3923" si="121">K3922/50*100</f>
        <v>0</v>
      </c>
      <c r="L3923" s="6">
        <f t="shared" ref="L3923" si="122">L3922/50*100</f>
        <v>0</v>
      </c>
      <c r="M3923" s="6">
        <f t="shared" ref="M3923" si="123">M3922/50*100</f>
        <v>2</v>
      </c>
      <c r="N3923" s="6">
        <f t="shared" ref="N3923" si="124">N3922/50*100</f>
        <v>18</v>
      </c>
      <c r="O3923" s="6">
        <f t="shared" ref="O3923" si="125">O3922/50*100</f>
        <v>78</v>
      </c>
      <c r="P3923" s="6">
        <f t="shared" ref="P3923" si="126">P3922/50*100</f>
        <v>2</v>
      </c>
    </row>
    <row r="3924" spans="1:22" x14ac:dyDescent="0.35">
      <c r="A3924" s="2">
        <v>42839</v>
      </c>
      <c r="B3924" s="36" t="s">
        <v>343</v>
      </c>
      <c r="C3924" s="10">
        <v>69</v>
      </c>
      <c r="D3924" s="10">
        <v>263</v>
      </c>
      <c r="E3924" s="10" t="s">
        <v>33</v>
      </c>
      <c r="F3924" t="s">
        <v>198</v>
      </c>
      <c r="G3924" t="s">
        <v>65</v>
      </c>
      <c r="H3924" t="s">
        <v>384</v>
      </c>
    </row>
    <row r="3925" spans="1:22" x14ac:dyDescent="0.35">
      <c r="A3925" s="2">
        <v>42839</v>
      </c>
      <c r="B3925" s="36" t="s">
        <v>343</v>
      </c>
      <c r="C3925" s="10">
        <v>70</v>
      </c>
      <c r="D3925" s="10">
        <v>272</v>
      </c>
      <c r="E3925" s="10" t="s">
        <v>40</v>
      </c>
      <c r="F3925" t="s">
        <v>293</v>
      </c>
      <c r="H3925" t="s">
        <v>385</v>
      </c>
    </row>
    <row r="3926" spans="1:22" x14ac:dyDescent="0.35">
      <c r="A3926" s="2">
        <v>42839</v>
      </c>
      <c r="B3926" s="36" t="s">
        <v>343</v>
      </c>
      <c r="C3926" s="10">
        <v>70</v>
      </c>
      <c r="D3926" s="10">
        <v>318</v>
      </c>
      <c r="E3926" s="10" t="s">
        <v>34</v>
      </c>
      <c r="F3926" t="s">
        <v>198</v>
      </c>
      <c r="H3926" t="s">
        <v>386</v>
      </c>
    </row>
    <row r="3927" spans="1:22" x14ac:dyDescent="0.35">
      <c r="A3927" s="2">
        <v>42839</v>
      </c>
      <c r="B3927" s="36" t="s">
        <v>343</v>
      </c>
      <c r="C3927" s="10">
        <v>64</v>
      </c>
      <c r="D3927" s="10">
        <v>243</v>
      </c>
      <c r="E3927" s="10" t="s">
        <v>34</v>
      </c>
      <c r="F3927" t="s">
        <v>198</v>
      </c>
      <c r="H3927" t="s">
        <v>387</v>
      </c>
    </row>
    <row r="3928" spans="1:22" x14ac:dyDescent="0.35">
      <c r="A3928" s="2">
        <v>42839</v>
      </c>
      <c r="B3928" s="36" t="s">
        <v>343</v>
      </c>
      <c r="C3928" s="10">
        <v>63</v>
      </c>
      <c r="D3928" s="10">
        <v>246</v>
      </c>
      <c r="E3928" s="10" t="s">
        <v>34</v>
      </c>
      <c r="F3928" t="s">
        <v>198</v>
      </c>
      <c r="H3928" t="s">
        <v>388</v>
      </c>
    </row>
    <row r="3929" spans="1:22" x14ac:dyDescent="0.35">
      <c r="A3929" s="2">
        <v>42839</v>
      </c>
      <c r="B3929" s="36" t="s">
        <v>343</v>
      </c>
      <c r="C3929" s="10">
        <v>64</v>
      </c>
      <c r="D3929" s="10">
        <v>251</v>
      </c>
      <c r="E3929" s="10" t="s">
        <v>34</v>
      </c>
      <c r="F3929" t="s">
        <v>198</v>
      </c>
    </row>
    <row r="3930" spans="1:22" s="4" customFormat="1" x14ac:dyDescent="0.35">
      <c r="A3930" s="3">
        <v>42839</v>
      </c>
      <c r="B3930" s="26" t="s">
        <v>343</v>
      </c>
      <c r="C3930" s="11">
        <v>60</v>
      </c>
      <c r="D3930" s="11">
        <v>205</v>
      </c>
      <c r="E3930" s="11" t="s">
        <v>34</v>
      </c>
      <c r="F3930" s="4" t="s">
        <v>198</v>
      </c>
    </row>
    <row r="3931" spans="1:22" x14ac:dyDescent="0.35">
      <c r="A3931" s="2">
        <v>42839</v>
      </c>
      <c r="B3931" s="70" t="s">
        <v>104</v>
      </c>
      <c r="C3931" s="10">
        <v>68</v>
      </c>
      <c r="D3931" s="10">
        <v>280</v>
      </c>
      <c r="E3931" s="10" t="s">
        <v>32</v>
      </c>
      <c r="F3931" s="10" t="s">
        <v>198</v>
      </c>
      <c r="G3931" s="10" t="s">
        <v>65</v>
      </c>
      <c r="H3931" s="53" t="s">
        <v>389</v>
      </c>
    </row>
    <row r="3932" spans="1:22" x14ac:dyDescent="0.35">
      <c r="A3932" s="2">
        <v>42839</v>
      </c>
      <c r="B3932" s="70" t="s">
        <v>104</v>
      </c>
      <c r="C3932" s="10">
        <v>70</v>
      </c>
      <c r="D3932" s="10">
        <v>401</v>
      </c>
      <c r="E3932" s="10" t="s">
        <v>32</v>
      </c>
      <c r="F3932" s="10" t="s">
        <v>198</v>
      </c>
    </row>
    <row r="3933" spans="1:22" x14ac:dyDescent="0.35">
      <c r="A3933" s="2">
        <v>42839</v>
      </c>
      <c r="B3933" s="70" t="s">
        <v>104</v>
      </c>
      <c r="C3933" s="10">
        <v>67</v>
      </c>
      <c r="D3933" s="10">
        <v>273</v>
      </c>
      <c r="E3933" s="10" t="s">
        <v>32</v>
      </c>
      <c r="F3933" s="10"/>
    </row>
    <row r="3934" spans="1:22" x14ac:dyDescent="0.35">
      <c r="A3934" s="2">
        <v>42839</v>
      </c>
      <c r="B3934" s="70" t="s">
        <v>104</v>
      </c>
      <c r="C3934" s="10">
        <v>75</v>
      </c>
      <c r="D3934" s="10">
        <v>392</v>
      </c>
      <c r="E3934" s="10" t="s">
        <v>34</v>
      </c>
      <c r="F3934" s="10" t="s">
        <v>198</v>
      </c>
    </row>
    <row r="3935" spans="1:22" x14ac:dyDescent="0.35">
      <c r="A3935" s="2">
        <v>42839</v>
      </c>
      <c r="B3935" s="70" t="s">
        <v>104</v>
      </c>
      <c r="C3935" s="10">
        <v>70</v>
      </c>
      <c r="D3935" s="10">
        <v>297</v>
      </c>
      <c r="E3935" s="10" t="s">
        <v>34</v>
      </c>
      <c r="F3935" s="10" t="s">
        <v>293</v>
      </c>
    </row>
    <row r="3936" spans="1:22" x14ac:dyDescent="0.35">
      <c r="A3936" s="2">
        <v>42839</v>
      </c>
      <c r="B3936" s="70" t="s">
        <v>104</v>
      </c>
      <c r="C3936" s="10">
        <v>73</v>
      </c>
      <c r="D3936" s="10">
        <v>300</v>
      </c>
      <c r="E3936" s="10" t="s">
        <v>33</v>
      </c>
      <c r="F3936" s="10" t="s">
        <v>293</v>
      </c>
    </row>
    <row r="3937" spans="1:5" s="4" customFormat="1" x14ac:dyDescent="0.35">
      <c r="A3937" s="3">
        <v>42839</v>
      </c>
      <c r="B3937" s="44" t="s">
        <v>104</v>
      </c>
      <c r="C3937" s="11">
        <v>113</v>
      </c>
      <c r="D3937" s="11">
        <v>2040</v>
      </c>
      <c r="E3937" s="4" t="s">
        <v>98</v>
      </c>
    </row>
    <row r="3938" spans="1:5" x14ac:dyDescent="0.35">
      <c r="A3938" s="2">
        <v>42839</v>
      </c>
      <c r="B3938" s="70" t="s">
        <v>66</v>
      </c>
      <c r="C3938" s="10">
        <v>98</v>
      </c>
      <c r="D3938" s="10">
        <v>1344</v>
      </c>
      <c r="E3938" s="10" t="s">
        <v>98</v>
      </c>
    </row>
    <row r="3939" spans="1:5" x14ac:dyDescent="0.35">
      <c r="A3939" s="2">
        <v>42839</v>
      </c>
      <c r="B3939" s="70" t="s">
        <v>66</v>
      </c>
      <c r="C3939" s="10">
        <v>113</v>
      </c>
      <c r="D3939" s="10">
        <v>2337</v>
      </c>
      <c r="E3939" s="10" t="s">
        <v>98</v>
      </c>
    </row>
    <row r="3940" spans="1:5" x14ac:dyDescent="0.35">
      <c r="A3940" s="2">
        <v>42839</v>
      </c>
      <c r="B3940" s="70" t="s">
        <v>66</v>
      </c>
      <c r="C3940" s="10">
        <v>100</v>
      </c>
      <c r="D3940" s="10">
        <v>1425</v>
      </c>
      <c r="E3940" s="10" t="s">
        <v>98</v>
      </c>
    </row>
    <row r="3941" spans="1:5" x14ac:dyDescent="0.35">
      <c r="A3941" s="2">
        <v>42839</v>
      </c>
      <c r="B3941" s="70" t="s">
        <v>66</v>
      </c>
      <c r="C3941" s="10">
        <v>123</v>
      </c>
      <c r="D3941" s="10">
        <v>2384</v>
      </c>
      <c r="E3941" s="10" t="s">
        <v>98</v>
      </c>
    </row>
    <row r="3942" spans="1:5" x14ac:dyDescent="0.35">
      <c r="A3942" s="2">
        <v>42839</v>
      </c>
      <c r="B3942" s="70" t="s">
        <v>66</v>
      </c>
      <c r="C3942" s="10">
        <v>166</v>
      </c>
      <c r="D3942" s="10">
        <v>7342</v>
      </c>
      <c r="E3942" s="10" t="s">
        <v>98</v>
      </c>
    </row>
    <row r="3943" spans="1:5" x14ac:dyDescent="0.35">
      <c r="A3943" s="2">
        <v>42839</v>
      </c>
      <c r="B3943" s="70" t="s">
        <v>66</v>
      </c>
      <c r="C3943" s="10">
        <v>108</v>
      </c>
      <c r="D3943" s="10">
        <v>1768</v>
      </c>
      <c r="E3943" s="10" t="s">
        <v>98</v>
      </c>
    </row>
    <row r="3944" spans="1:5" x14ac:dyDescent="0.35">
      <c r="A3944" s="2">
        <v>42839</v>
      </c>
      <c r="B3944" s="70" t="s">
        <v>66</v>
      </c>
      <c r="C3944" s="10">
        <v>98</v>
      </c>
      <c r="D3944" s="10">
        <v>1420</v>
      </c>
      <c r="E3944" s="10" t="s">
        <v>98</v>
      </c>
    </row>
    <row r="3945" spans="1:5" x14ac:dyDescent="0.35">
      <c r="A3945" s="2">
        <v>42839</v>
      </c>
      <c r="B3945" s="70" t="s">
        <v>66</v>
      </c>
      <c r="C3945" s="10">
        <v>88</v>
      </c>
      <c r="D3945" s="10">
        <v>993</v>
      </c>
      <c r="E3945" s="10" t="s">
        <v>98</v>
      </c>
    </row>
    <row r="3946" spans="1:5" x14ac:dyDescent="0.35">
      <c r="A3946" s="2">
        <v>42839</v>
      </c>
      <c r="B3946" s="70" t="s">
        <v>66</v>
      </c>
      <c r="C3946" s="10">
        <v>135</v>
      </c>
      <c r="D3946" s="10">
        <v>3407</v>
      </c>
      <c r="E3946" s="10" t="s">
        <v>98</v>
      </c>
    </row>
    <row r="3947" spans="1:5" x14ac:dyDescent="0.35">
      <c r="A3947" s="2">
        <v>42839</v>
      </c>
      <c r="B3947" s="70" t="s">
        <v>66</v>
      </c>
      <c r="C3947" s="10">
        <v>104</v>
      </c>
      <c r="D3947" s="10">
        <v>1362</v>
      </c>
      <c r="E3947" s="10" t="s">
        <v>98</v>
      </c>
    </row>
    <row r="3948" spans="1:5" x14ac:dyDescent="0.35">
      <c r="A3948" s="2">
        <v>42839</v>
      </c>
      <c r="B3948" s="70" t="s">
        <v>66</v>
      </c>
      <c r="C3948" s="10">
        <v>112</v>
      </c>
      <c r="D3948" s="10">
        <v>1750</v>
      </c>
      <c r="E3948" s="10" t="s">
        <v>98</v>
      </c>
    </row>
    <row r="3949" spans="1:5" x14ac:dyDescent="0.35">
      <c r="A3949" s="2">
        <v>42839</v>
      </c>
      <c r="B3949" s="70" t="s">
        <v>66</v>
      </c>
      <c r="C3949" s="10">
        <v>95</v>
      </c>
      <c r="D3949" s="10">
        <v>1229</v>
      </c>
      <c r="E3949" s="10" t="s">
        <v>98</v>
      </c>
    </row>
    <row r="3950" spans="1:5" x14ac:dyDescent="0.35">
      <c r="A3950" s="2">
        <v>42839</v>
      </c>
      <c r="B3950" s="70" t="s">
        <v>66</v>
      </c>
      <c r="C3950" s="10">
        <v>160</v>
      </c>
      <c r="D3950" s="10">
        <v>5227</v>
      </c>
      <c r="E3950" s="10" t="s">
        <v>98</v>
      </c>
    </row>
    <row r="3951" spans="1:5" x14ac:dyDescent="0.35">
      <c r="A3951" s="2">
        <v>42839</v>
      </c>
      <c r="B3951" s="70" t="s">
        <v>66</v>
      </c>
      <c r="C3951" s="10">
        <v>92</v>
      </c>
      <c r="D3951" s="10">
        <v>1012</v>
      </c>
      <c r="E3951" s="10" t="s">
        <v>98</v>
      </c>
    </row>
    <row r="3952" spans="1:5" x14ac:dyDescent="0.35">
      <c r="A3952" s="2">
        <v>42839</v>
      </c>
      <c r="B3952" s="70" t="s">
        <v>66</v>
      </c>
      <c r="C3952" s="10">
        <v>162</v>
      </c>
      <c r="D3952" s="10">
        <v>5637</v>
      </c>
      <c r="E3952" s="10" t="s">
        <v>98</v>
      </c>
    </row>
    <row r="3953" spans="1:7" x14ac:dyDescent="0.35">
      <c r="A3953" s="2">
        <v>42839</v>
      </c>
      <c r="B3953" s="70" t="s">
        <v>66</v>
      </c>
      <c r="C3953" s="10">
        <v>88</v>
      </c>
      <c r="D3953" s="10">
        <v>745</v>
      </c>
      <c r="E3953" s="10" t="s">
        <v>98</v>
      </c>
    </row>
    <row r="3954" spans="1:7" x14ac:dyDescent="0.35">
      <c r="A3954" s="2">
        <v>42839</v>
      </c>
      <c r="B3954" s="70" t="s">
        <v>66</v>
      </c>
      <c r="C3954" s="10">
        <v>93</v>
      </c>
      <c r="D3954" s="10">
        <v>778</v>
      </c>
      <c r="E3954" s="10" t="s">
        <v>98</v>
      </c>
    </row>
    <row r="3955" spans="1:7" x14ac:dyDescent="0.35">
      <c r="A3955" s="2">
        <v>42839</v>
      </c>
      <c r="B3955" s="70" t="s">
        <v>66</v>
      </c>
      <c r="C3955" s="10">
        <v>95</v>
      </c>
      <c r="D3955" s="10">
        <v>1286</v>
      </c>
      <c r="E3955" s="10" t="s">
        <v>98</v>
      </c>
    </row>
    <row r="3956" spans="1:7" x14ac:dyDescent="0.35">
      <c r="A3956" s="2">
        <v>42839</v>
      </c>
      <c r="B3956" s="70" t="s">
        <v>66</v>
      </c>
      <c r="C3956" s="10">
        <v>71</v>
      </c>
      <c r="D3956" s="10">
        <v>263</v>
      </c>
      <c r="E3956" s="10" t="s">
        <v>32</v>
      </c>
      <c r="F3956" t="s">
        <v>198</v>
      </c>
      <c r="G3956" s="12" t="s">
        <v>391</v>
      </c>
    </row>
    <row r="3957" spans="1:7" x14ac:dyDescent="0.35">
      <c r="A3957" s="2">
        <v>42839</v>
      </c>
      <c r="B3957" s="70" t="s">
        <v>66</v>
      </c>
      <c r="C3957" s="10">
        <v>64</v>
      </c>
      <c r="D3957" s="10">
        <v>257</v>
      </c>
      <c r="E3957" s="10" t="s">
        <v>37</v>
      </c>
      <c r="F3957" t="s">
        <v>198</v>
      </c>
      <c r="G3957" s="12" t="s">
        <v>392</v>
      </c>
    </row>
    <row r="3958" spans="1:7" x14ac:dyDescent="0.35">
      <c r="A3958" s="2">
        <v>42839</v>
      </c>
      <c r="B3958" s="70" t="s">
        <v>66</v>
      </c>
      <c r="C3958" s="10">
        <v>75</v>
      </c>
      <c r="D3958" s="10">
        <v>429</v>
      </c>
      <c r="E3958" s="10" t="s">
        <v>32</v>
      </c>
      <c r="F3958" t="s">
        <v>198</v>
      </c>
      <c r="G3958" s="12" t="s">
        <v>393</v>
      </c>
    </row>
    <row r="3959" spans="1:7" x14ac:dyDescent="0.35">
      <c r="A3959" s="2">
        <v>42839</v>
      </c>
      <c r="B3959" s="70" t="s">
        <v>66</v>
      </c>
      <c r="C3959" s="10">
        <v>61</v>
      </c>
      <c r="D3959" s="10">
        <v>202</v>
      </c>
      <c r="E3959" s="10" t="s">
        <v>32</v>
      </c>
      <c r="F3959" t="s">
        <v>198</v>
      </c>
      <c r="G3959" s="12" t="s">
        <v>394</v>
      </c>
    </row>
    <row r="3960" spans="1:7" x14ac:dyDescent="0.35">
      <c r="A3960" s="2">
        <v>42839</v>
      </c>
      <c r="B3960" s="70" t="s">
        <v>66</v>
      </c>
      <c r="C3960" s="10">
        <v>62</v>
      </c>
      <c r="D3960" s="10">
        <v>238</v>
      </c>
      <c r="E3960" s="10" t="s">
        <v>32</v>
      </c>
      <c r="F3960" t="s">
        <v>198</v>
      </c>
    </row>
    <row r="3961" spans="1:7" x14ac:dyDescent="0.35">
      <c r="A3961" s="2">
        <v>42839</v>
      </c>
      <c r="B3961" s="70" t="s">
        <v>66</v>
      </c>
      <c r="C3961" s="10">
        <v>64</v>
      </c>
      <c r="D3961" s="10">
        <v>207</v>
      </c>
      <c r="E3961" s="10" t="s">
        <v>32</v>
      </c>
      <c r="F3961" t="s">
        <v>198</v>
      </c>
    </row>
    <row r="3962" spans="1:7" x14ac:dyDescent="0.35">
      <c r="A3962" s="2">
        <v>42839</v>
      </c>
      <c r="B3962" s="70" t="s">
        <v>66</v>
      </c>
      <c r="C3962" s="10">
        <v>68</v>
      </c>
      <c r="D3962" s="10">
        <v>443</v>
      </c>
      <c r="E3962" s="10" t="s">
        <v>32</v>
      </c>
      <c r="F3962" t="s">
        <v>198</v>
      </c>
    </row>
    <row r="3963" spans="1:7" x14ac:dyDescent="0.35">
      <c r="A3963" s="2">
        <v>42839</v>
      </c>
      <c r="B3963" s="70" t="s">
        <v>66</v>
      </c>
      <c r="C3963" s="10">
        <v>68</v>
      </c>
      <c r="D3963" s="10">
        <v>290</v>
      </c>
      <c r="E3963" s="10" t="s">
        <v>32</v>
      </c>
      <c r="F3963" t="s">
        <v>198</v>
      </c>
      <c r="G3963" t="s">
        <v>390</v>
      </c>
    </row>
    <row r="3964" spans="1:7" x14ac:dyDescent="0.35">
      <c r="A3964" s="2">
        <v>42839</v>
      </c>
      <c r="B3964" s="70" t="s">
        <v>66</v>
      </c>
      <c r="C3964" s="10">
        <v>68</v>
      </c>
      <c r="D3964" s="10">
        <v>224</v>
      </c>
      <c r="E3964" s="10" t="s">
        <v>32</v>
      </c>
      <c r="F3964" t="s">
        <v>198</v>
      </c>
    </row>
    <row r="3965" spans="1:7" x14ac:dyDescent="0.35">
      <c r="A3965" s="2">
        <v>42839</v>
      </c>
      <c r="B3965" s="70" t="s">
        <v>66</v>
      </c>
      <c r="C3965" s="10">
        <v>75</v>
      </c>
      <c r="D3965" s="10">
        <v>366</v>
      </c>
      <c r="E3965" s="10" t="s">
        <v>37</v>
      </c>
      <c r="F3965" t="s">
        <v>198</v>
      </c>
    </row>
    <row r="3966" spans="1:7" x14ac:dyDescent="0.35">
      <c r="A3966" s="2">
        <v>42839</v>
      </c>
      <c r="B3966" s="70" t="s">
        <v>66</v>
      </c>
      <c r="C3966" s="10">
        <v>67</v>
      </c>
      <c r="D3966" s="10">
        <v>208</v>
      </c>
      <c r="E3966" s="10" t="s">
        <v>32</v>
      </c>
      <c r="F3966" t="s">
        <v>198</v>
      </c>
    </row>
    <row r="3967" spans="1:7" x14ac:dyDescent="0.35">
      <c r="A3967" s="2">
        <v>42839</v>
      </c>
      <c r="B3967" s="70" t="s">
        <v>66</v>
      </c>
      <c r="C3967" s="10">
        <v>66</v>
      </c>
      <c r="D3967" s="10">
        <v>253</v>
      </c>
      <c r="E3967" s="10" t="s">
        <v>34</v>
      </c>
      <c r="F3967" t="s">
        <v>198</v>
      </c>
    </row>
    <row r="3968" spans="1:7" x14ac:dyDescent="0.35">
      <c r="A3968" s="2">
        <v>42839</v>
      </c>
      <c r="B3968" s="70" t="s">
        <v>66</v>
      </c>
      <c r="C3968" s="10">
        <v>68</v>
      </c>
      <c r="D3968" s="10">
        <v>256</v>
      </c>
      <c r="E3968" s="10" t="s">
        <v>34</v>
      </c>
      <c r="F3968" t="s">
        <v>293</v>
      </c>
    </row>
    <row r="3969" spans="1:6" x14ac:dyDescent="0.35">
      <c r="A3969" s="2">
        <v>42839</v>
      </c>
      <c r="B3969" s="70" t="s">
        <v>66</v>
      </c>
      <c r="C3969" s="10">
        <v>70</v>
      </c>
      <c r="D3969" s="10">
        <v>325</v>
      </c>
      <c r="E3969" s="10" t="s">
        <v>34</v>
      </c>
      <c r="F3969" t="s">
        <v>198</v>
      </c>
    </row>
    <row r="3970" spans="1:6" x14ac:dyDescent="0.35">
      <c r="A3970" s="2">
        <v>42839</v>
      </c>
      <c r="B3970" s="70" t="s">
        <v>66</v>
      </c>
      <c r="C3970" s="10">
        <v>65</v>
      </c>
      <c r="D3970" s="10">
        <v>258</v>
      </c>
      <c r="E3970" s="10" t="s">
        <v>34</v>
      </c>
      <c r="F3970" t="s">
        <v>198</v>
      </c>
    </row>
    <row r="3971" spans="1:6" x14ac:dyDescent="0.35">
      <c r="A3971" s="2">
        <v>42839</v>
      </c>
      <c r="B3971" s="70" t="s">
        <v>66</v>
      </c>
      <c r="C3971" s="10">
        <v>63</v>
      </c>
      <c r="D3971" s="10">
        <v>198</v>
      </c>
      <c r="E3971" s="10" t="s">
        <v>32</v>
      </c>
      <c r="F3971" t="s">
        <v>198</v>
      </c>
    </row>
    <row r="3972" spans="1:6" x14ac:dyDescent="0.35">
      <c r="A3972" s="2">
        <v>42839</v>
      </c>
      <c r="B3972" s="70" t="s">
        <v>66</v>
      </c>
      <c r="C3972" s="10">
        <v>68</v>
      </c>
      <c r="D3972" s="10">
        <v>285</v>
      </c>
      <c r="E3972" s="10" t="s">
        <v>32</v>
      </c>
      <c r="F3972" t="s">
        <v>198</v>
      </c>
    </row>
    <row r="3973" spans="1:6" x14ac:dyDescent="0.35">
      <c r="A3973" s="2">
        <v>42839</v>
      </c>
      <c r="B3973" s="70" t="s">
        <v>66</v>
      </c>
      <c r="C3973" s="10">
        <v>68</v>
      </c>
      <c r="D3973" s="10">
        <v>328</v>
      </c>
      <c r="E3973" s="10" t="s">
        <v>32</v>
      </c>
      <c r="F3973" t="s">
        <v>198</v>
      </c>
    </row>
    <row r="3974" spans="1:6" x14ac:dyDescent="0.35">
      <c r="A3974" s="2">
        <v>42839</v>
      </c>
      <c r="B3974" s="70" t="s">
        <v>66</v>
      </c>
      <c r="C3974" s="10">
        <v>61</v>
      </c>
      <c r="D3974" s="10">
        <v>204</v>
      </c>
      <c r="E3974" s="10" t="s">
        <v>32</v>
      </c>
      <c r="F3974" t="s">
        <v>198</v>
      </c>
    </row>
    <row r="3975" spans="1:6" x14ac:dyDescent="0.35">
      <c r="A3975" s="2">
        <v>42839</v>
      </c>
      <c r="B3975" s="70" t="s">
        <v>66</v>
      </c>
      <c r="C3975" s="10">
        <v>65</v>
      </c>
      <c r="D3975" s="10">
        <v>243</v>
      </c>
      <c r="E3975" s="10" t="s">
        <v>32</v>
      </c>
      <c r="F3975" t="s">
        <v>198</v>
      </c>
    </row>
    <row r="3976" spans="1:6" x14ac:dyDescent="0.35">
      <c r="A3976" s="2">
        <v>42839</v>
      </c>
      <c r="B3976" s="70" t="s">
        <v>66</v>
      </c>
      <c r="C3976" s="10">
        <v>68</v>
      </c>
      <c r="D3976" s="10">
        <v>301</v>
      </c>
      <c r="E3976" s="10" t="s">
        <v>32</v>
      </c>
      <c r="F3976" t="s">
        <v>198</v>
      </c>
    </row>
    <row r="3977" spans="1:6" x14ac:dyDescent="0.35">
      <c r="A3977" s="2">
        <v>42839</v>
      </c>
      <c r="B3977" s="70" t="s">
        <v>66</v>
      </c>
      <c r="C3977" s="10">
        <v>71</v>
      </c>
      <c r="D3977" s="10">
        <v>310</v>
      </c>
      <c r="E3977" s="10" t="s">
        <v>37</v>
      </c>
      <c r="F3977" t="s">
        <v>198</v>
      </c>
    </row>
    <row r="3978" spans="1:6" s="4" customFormat="1" x14ac:dyDescent="0.35">
      <c r="A3978" s="3">
        <v>42839</v>
      </c>
      <c r="B3978" s="44" t="s">
        <v>66</v>
      </c>
      <c r="C3978" s="11">
        <v>71</v>
      </c>
      <c r="D3978" s="11">
        <v>312</v>
      </c>
      <c r="E3978" s="11" t="s">
        <v>32</v>
      </c>
      <c r="F3978" s="4" t="s">
        <v>198</v>
      </c>
    </row>
    <row r="3979" spans="1:6" x14ac:dyDescent="0.35">
      <c r="A3979" s="2">
        <v>42839</v>
      </c>
      <c r="B3979" s="70" t="s">
        <v>103</v>
      </c>
      <c r="C3979" s="10">
        <v>63</v>
      </c>
      <c r="D3979" s="10">
        <v>181</v>
      </c>
      <c r="E3979" s="10" t="s">
        <v>32</v>
      </c>
      <c r="F3979" s="10" t="s">
        <v>198</v>
      </c>
    </row>
    <row r="3980" spans="1:6" x14ac:dyDescent="0.35">
      <c r="A3980" s="2">
        <v>42839</v>
      </c>
      <c r="B3980" s="70" t="s">
        <v>103</v>
      </c>
      <c r="C3980" s="10">
        <v>68</v>
      </c>
      <c r="D3980" s="10">
        <v>286</v>
      </c>
      <c r="E3980" s="10" t="s">
        <v>32</v>
      </c>
      <c r="F3980" s="10" t="s">
        <v>198</v>
      </c>
    </row>
    <row r="3981" spans="1:6" x14ac:dyDescent="0.35">
      <c r="A3981" s="2">
        <v>42839</v>
      </c>
      <c r="B3981" s="70" t="s">
        <v>103</v>
      </c>
      <c r="C3981" s="10">
        <v>67</v>
      </c>
      <c r="D3981" s="10">
        <v>295</v>
      </c>
      <c r="E3981" s="10" t="s">
        <v>32</v>
      </c>
      <c r="F3981" s="10" t="s">
        <v>198</v>
      </c>
    </row>
    <row r="3982" spans="1:6" x14ac:dyDescent="0.35">
      <c r="A3982" s="2">
        <v>42839</v>
      </c>
      <c r="B3982" s="70" t="s">
        <v>103</v>
      </c>
      <c r="C3982" s="10">
        <v>68</v>
      </c>
      <c r="D3982" s="10">
        <v>300</v>
      </c>
      <c r="E3982" s="10" t="s">
        <v>37</v>
      </c>
      <c r="F3982" s="10" t="s">
        <v>198</v>
      </c>
    </row>
    <row r="3983" spans="1:6" x14ac:dyDescent="0.35">
      <c r="A3983" s="2">
        <v>42839</v>
      </c>
      <c r="B3983" s="70" t="s">
        <v>103</v>
      </c>
      <c r="C3983" s="10">
        <v>68</v>
      </c>
      <c r="D3983" s="10">
        <v>332</v>
      </c>
      <c r="E3983" s="10" t="s">
        <v>34</v>
      </c>
      <c r="F3983" s="10"/>
    </row>
    <row r="3984" spans="1:6" x14ac:dyDescent="0.35">
      <c r="A3984" s="2">
        <v>42839</v>
      </c>
      <c r="B3984" s="70" t="s">
        <v>103</v>
      </c>
      <c r="C3984" s="10">
        <v>72</v>
      </c>
      <c r="D3984" s="10">
        <v>327</v>
      </c>
      <c r="E3984" s="10" t="s">
        <v>37</v>
      </c>
      <c r="F3984" s="10" t="s">
        <v>198</v>
      </c>
    </row>
    <row r="3985" spans="1:6" x14ac:dyDescent="0.35">
      <c r="A3985" s="2">
        <v>42839</v>
      </c>
      <c r="B3985" s="70" t="s">
        <v>103</v>
      </c>
      <c r="C3985" s="10">
        <v>68</v>
      </c>
      <c r="D3985" s="10">
        <v>295</v>
      </c>
      <c r="E3985" s="10" t="s">
        <v>32</v>
      </c>
      <c r="F3985" s="10" t="s">
        <v>198</v>
      </c>
    </row>
    <row r="3986" spans="1:6" s="4" customFormat="1" x14ac:dyDescent="0.35">
      <c r="A3986" s="3">
        <v>42839</v>
      </c>
      <c r="B3986" s="44" t="s">
        <v>103</v>
      </c>
      <c r="C3986" s="11">
        <v>66</v>
      </c>
      <c r="D3986" s="11">
        <v>287</v>
      </c>
      <c r="E3986" s="11" t="s">
        <v>32</v>
      </c>
      <c r="F3986" s="11" t="s">
        <v>198</v>
      </c>
    </row>
    <row r="3987" spans="1:6" x14ac:dyDescent="0.35">
      <c r="A3987" s="2">
        <v>42839</v>
      </c>
      <c r="B3987" s="70" t="s">
        <v>102</v>
      </c>
      <c r="C3987" s="10">
        <v>70</v>
      </c>
      <c r="D3987" s="10">
        <v>334</v>
      </c>
      <c r="E3987" s="10" t="s">
        <v>32</v>
      </c>
      <c r="F3987" s="10" t="s">
        <v>198</v>
      </c>
    </row>
    <row r="3988" spans="1:6" s="4" customFormat="1" x14ac:dyDescent="0.35">
      <c r="A3988" s="3">
        <v>42839</v>
      </c>
      <c r="B3988" s="44" t="s">
        <v>102</v>
      </c>
      <c r="C3988" s="4">
        <v>71</v>
      </c>
      <c r="D3988" s="4">
        <v>343</v>
      </c>
      <c r="E3988" s="4" t="s">
        <v>34</v>
      </c>
      <c r="F3988" s="4" t="s">
        <v>198</v>
      </c>
    </row>
    <row r="3989" spans="1:6" x14ac:dyDescent="0.35">
      <c r="A3989" s="2">
        <v>42839</v>
      </c>
      <c r="B3989" s="70" t="s">
        <v>113</v>
      </c>
      <c r="C3989" s="10">
        <v>64</v>
      </c>
      <c r="D3989" s="10">
        <v>245</v>
      </c>
      <c r="E3989" s="10" t="s">
        <v>34</v>
      </c>
      <c r="F3989" s="10" t="s">
        <v>198</v>
      </c>
    </row>
    <row r="3990" spans="1:6" x14ac:dyDescent="0.35">
      <c r="A3990" s="2">
        <v>42839</v>
      </c>
      <c r="B3990" s="70" t="s">
        <v>113</v>
      </c>
      <c r="C3990" s="10">
        <v>71</v>
      </c>
      <c r="D3990" s="10">
        <v>329</v>
      </c>
      <c r="E3990" s="10" t="s">
        <v>32</v>
      </c>
      <c r="F3990" s="10" t="s">
        <v>198</v>
      </c>
    </row>
    <row r="3991" spans="1:6" x14ac:dyDescent="0.35">
      <c r="A3991" s="2">
        <v>42839</v>
      </c>
      <c r="B3991" s="70" t="s">
        <v>113</v>
      </c>
      <c r="C3991" s="10">
        <v>73</v>
      </c>
      <c r="D3991" s="10">
        <v>265</v>
      </c>
      <c r="E3991" s="10" t="s">
        <v>32</v>
      </c>
      <c r="F3991" s="10" t="s">
        <v>198</v>
      </c>
    </row>
    <row r="3992" spans="1:6" x14ac:dyDescent="0.35">
      <c r="A3992" s="2">
        <v>42839</v>
      </c>
      <c r="B3992" s="70" t="s">
        <v>113</v>
      </c>
      <c r="C3992" s="10">
        <v>65</v>
      </c>
      <c r="D3992" s="10">
        <v>216</v>
      </c>
      <c r="E3992" s="10" t="s">
        <v>32</v>
      </c>
      <c r="F3992" s="10" t="s">
        <v>198</v>
      </c>
    </row>
    <row r="3993" spans="1:6" x14ac:dyDescent="0.35">
      <c r="A3993" s="2">
        <v>42839</v>
      </c>
      <c r="B3993" s="70" t="s">
        <v>113</v>
      </c>
      <c r="C3993" s="10">
        <v>68</v>
      </c>
      <c r="D3993" s="10">
        <v>272</v>
      </c>
      <c r="E3993" s="10" t="s">
        <v>32</v>
      </c>
      <c r="F3993" s="10" t="s">
        <v>198</v>
      </c>
    </row>
    <row r="3994" spans="1:6" x14ac:dyDescent="0.35">
      <c r="A3994" s="2">
        <v>42839</v>
      </c>
      <c r="B3994" s="70" t="s">
        <v>113</v>
      </c>
      <c r="C3994" s="10">
        <v>72</v>
      </c>
      <c r="D3994" s="10">
        <v>388</v>
      </c>
      <c r="E3994" s="10" t="s">
        <v>32</v>
      </c>
      <c r="F3994" s="10" t="s">
        <v>198</v>
      </c>
    </row>
    <row r="3995" spans="1:6" x14ac:dyDescent="0.35">
      <c r="A3995" s="2">
        <v>42839</v>
      </c>
      <c r="B3995" s="70" t="s">
        <v>113</v>
      </c>
      <c r="C3995" s="10">
        <v>74</v>
      </c>
      <c r="D3995" s="10">
        <v>384</v>
      </c>
      <c r="E3995" s="10" t="s">
        <v>37</v>
      </c>
      <c r="F3995" s="10" t="s">
        <v>198</v>
      </c>
    </row>
    <row r="3996" spans="1:6" x14ac:dyDescent="0.35">
      <c r="A3996" s="2">
        <v>42839</v>
      </c>
      <c r="B3996" s="70" t="s">
        <v>113</v>
      </c>
      <c r="C3996" s="10">
        <v>66</v>
      </c>
      <c r="D3996" s="10">
        <v>282</v>
      </c>
      <c r="E3996" s="10" t="s">
        <v>32</v>
      </c>
      <c r="F3996" s="10"/>
    </row>
    <row r="3997" spans="1:6" x14ac:dyDescent="0.35">
      <c r="A3997" s="2">
        <v>42839</v>
      </c>
      <c r="B3997" s="70" t="s">
        <v>113</v>
      </c>
      <c r="C3997" s="10">
        <v>70</v>
      </c>
      <c r="D3997" s="10">
        <v>346</v>
      </c>
      <c r="E3997" s="10" t="s">
        <v>32</v>
      </c>
      <c r="F3997" s="10" t="s">
        <v>198</v>
      </c>
    </row>
    <row r="3998" spans="1:6" x14ac:dyDescent="0.35">
      <c r="A3998" s="2">
        <v>42839</v>
      </c>
      <c r="B3998" s="70" t="s">
        <v>113</v>
      </c>
      <c r="C3998" s="10">
        <v>63</v>
      </c>
      <c r="D3998" s="10">
        <v>217</v>
      </c>
      <c r="E3998" s="10" t="s">
        <v>32</v>
      </c>
      <c r="F3998" s="10" t="s">
        <v>198</v>
      </c>
    </row>
    <row r="3999" spans="1:6" x14ac:dyDescent="0.35">
      <c r="A3999" s="2">
        <v>42839</v>
      </c>
      <c r="B3999" s="70" t="s">
        <v>113</v>
      </c>
      <c r="C3999" s="10">
        <v>65</v>
      </c>
      <c r="D3999" s="10">
        <v>234</v>
      </c>
      <c r="E3999" s="10" t="s">
        <v>34</v>
      </c>
      <c r="F3999" s="10" t="s">
        <v>198</v>
      </c>
    </row>
    <row r="4000" spans="1:6" x14ac:dyDescent="0.35">
      <c r="A4000" s="2">
        <v>42839</v>
      </c>
      <c r="B4000" s="70" t="s">
        <v>113</v>
      </c>
      <c r="C4000" s="10">
        <v>68</v>
      </c>
      <c r="D4000" s="10">
        <v>324</v>
      </c>
      <c r="E4000" s="10" t="s">
        <v>32</v>
      </c>
      <c r="F4000" s="10" t="s">
        <v>198</v>
      </c>
    </row>
    <row r="4001" spans="1:7" s="4" customFormat="1" x14ac:dyDescent="0.35">
      <c r="A4001" s="3">
        <v>42839</v>
      </c>
      <c r="B4001" s="44" t="s">
        <v>113</v>
      </c>
      <c r="C4001" s="11">
        <v>68</v>
      </c>
      <c r="D4001" s="11">
        <v>267</v>
      </c>
      <c r="E4001" s="11" t="s">
        <v>32</v>
      </c>
      <c r="F4001" s="11" t="s">
        <v>198</v>
      </c>
    </row>
    <row r="4002" spans="1:7" x14ac:dyDescent="0.35">
      <c r="A4002" s="2">
        <v>42839</v>
      </c>
      <c r="B4002" s="70" t="s">
        <v>63</v>
      </c>
      <c r="C4002" s="10">
        <v>100</v>
      </c>
      <c r="D4002" s="10">
        <v>1348</v>
      </c>
      <c r="E4002" s="10" t="s">
        <v>98</v>
      </c>
    </row>
    <row r="4003" spans="1:7" x14ac:dyDescent="0.35">
      <c r="A4003" s="2">
        <v>42839</v>
      </c>
      <c r="B4003" s="70" t="s">
        <v>63</v>
      </c>
      <c r="C4003" s="10">
        <v>93</v>
      </c>
      <c r="D4003" s="10">
        <v>1297</v>
      </c>
      <c r="E4003" s="10" t="s">
        <v>98</v>
      </c>
    </row>
    <row r="4004" spans="1:7" x14ac:dyDescent="0.35">
      <c r="A4004" s="2">
        <v>42839</v>
      </c>
      <c r="B4004" s="70" t="s">
        <v>63</v>
      </c>
      <c r="C4004" s="10">
        <v>108</v>
      </c>
      <c r="D4004" s="10">
        <v>1557</v>
      </c>
      <c r="E4004" s="10" t="s">
        <v>98</v>
      </c>
    </row>
    <row r="4005" spans="1:7" x14ac:dyDescent="0.35">
      <c r="A4005" s="2">
        <v>42839</v>
      </c>
      <c r="B4005" s="70" t="s">
        <v>63</v>
      </c>
      <c r="C4005" s="10">
        <v>111</v>
      </c>
      <c r="D4005" s="10">
        <v>1771</v>
      </c>
      <c r="E4005" s="10" t="s">
        <v>98</v>
      </c>
    </row>
    <row r="4006" spans="1:7" x14ac:dyDescent="0.35">
      <c r="A4006" s="2">
        <v>42839</v>
      </c>
      <c r="B4006" s="70" t="s">
        <v>63</v>
      </c>
      <c r="C4006" s="10">
        <v>128</v>
      </c>
      <c r="D4006" s="10">
        <v>3145</v>
      </c>
      <c r="E4006" s="10" t="s">
        <v>98</v>
      </c>
    </row>
    <row r="4007" spans="1:7" x14ac:dyDescent="0.35">
      <c r="A4007" s="2">
        <v>42839</v>
      </c>
      <c r="B4007" s="70" t="s">
        <v>63</v>
      </c>
      <c r="C4007" s="10">
        <v>98</v>
      </c>
      <c r="D4007" s="10">
        <v>1497</v>
      </c>
      <c r="E4007" s="10" t="s">
        <v>98</v>
      </c>
    </row>
    <row r="4008" spans="1:7" x14ac:dyDescent="0.35">
      <c r="A4008" s="2">
        <v>42839</v>
      </c>
      <c r="B4008" s="70" t="s">
        <v>63</v>
      </c>
      <c r="C4008" s="10">
        <v>88</v>
      </c>
      <c r="D4008" s="10">
        <v>952</v>
      </c>
      <c r="E4008" s="10" t="s">
        <v>98</v>
      </c>
    </row>
    <row r="4009" spans="1:7" x14ac:dyDescent="0.35">
      <c r="A4009" s="2">
        <v>42839</v>
      </c>
      <c r="B4009" s="70" t="s">
        <v>63</v>
      </c>
      <c r="C4009" s="10">
        <v>98</v>
      </c>
      <c r="D4009" s="10">
        <v>1048</v>
      </c>
      <c r="E4009" s="10" t="s">
        <v>98</v>
      </c>
    </row>
    <row r="4010" spans="1:7" x14ac:dyDescent="0.35">
      <c r="A4010" s="2">
        <v>42839</v>
      </c>
      <c r="B4010" s="70" t="s">
        <v>63</v>
      </c>
      <c r="C4010" s="10">
        <v>89</v>
      </c>
      <c r="D4010" s="10">
        <v>1013</v>
      </c>
      <c r="E4010" s="10" t="s">
        <v>98</v>
      </c>
    </row>
    <row r="4011" spans="1:7" x14ac:dyDescent="0.35">
      <c r="A4011" s="2">
        <v>42839</v>
      </c>
      <c r="B4011" s="70" t="s">
        <v>63</v>
      </c>
      <c r="C4011" s="10">
        <v>58</v>
      </c>
      <c r="D4011" s="10">
        <v>194</v>
      </c>
      <c r="E4011" s="10" t="s">
        <v>32</v>
      </c>
      <c r="F4011" t="s">
        <v>198</v>
      </c>
      <c r="G4011" s="12" t="s">
        <v>395</v>
      </c>
    </row>
    <row r="4012" spans="1:7" x14ac:dyDescent="0.35">
      <c r="A4012" s="2">
        <v>42839</v>
      </c>
      <c r="B4012" s="70" t="s">
        <v>63</v>
      </c>
      <c r="C4012" s="10">
        <v>68</v>
      </c>
      <c r="D4012" s="10">
        <v>311</v>
      </c>
      <c r="E4012" s="10" t="s">
        <v>37</v>
      </c>
      <c r="G4012" s="12" t="s">
        <v>396</v>
      </c>
    </row>
    <row r="4013" spans="1:7" x14ac:dyDescent="0.35">
      <c r="A4013" s="2">
        <v>42839</v>
      </c>
      <c r="B4013" s="70" t="s">
        <v>63</v>
      </c>
      <c r="C4013" s="10">
        <v>71</v>
      </c>
      <c r="D4013" s="10">
        <v>330</v>
      </c>
      <c r="E4013" s="10" t="s">
        <v>32</v>
      </c>
      <c r="G4013" s="12" t="s">
        <v>397</v>
      </c>
    </row>
    <row r="4014" spans="1:7" x14ac:dyDescent="0.35">
      <c r="A4014" s="2">
        <v>42839</v>
      </c>
      <c r="B4014" s="70" t="s">
        <v>63</v>
      </c>
      <c r="C4014" s="10">
        <v>68</v>
      </c>
      <c r="D4014" s="10">
        <v>296</v>
      </c>
      <c r="E4014" s="10" t="s">
        <v>32</v>
      </c>
      <c r="G4014" s="12" t="s">
        <v>398</v>
      </c>
    </row>
    <row r="4015" spans="1:7" x14ac:dyDescent="0.35">
      <c r="A4015" s="2">
        <v>42839</v>
      </c>
      <c r="B4015" s="70" t="s">
        <v>63</v>
      </c>
      <c r="C4015" s="10">
        <v>65</v>
      </c>
      <c r="D4015" s="10">
        <v>235</v>
      </c>
      <c r="E4015" s="10" t="s">
        <v>36</v>
      </c>
      <c r="F4015" t="s">
        <v>198</v>
      </c>
      <c r="G4015" s="12" t="s">
        <v>399</v>
      </c>
    </row>
    <row r="4016" spans="1:7" x14ac:dyDescent="0.35">
      <c r="A4016" s="2">
        <v>42839</v>
      </c>
      <c r="B4016" s="70" t="s">
        <v>63</v>
      </c>
      <c r="C4016" s="10">
        <v>68</v>
      </c>
      <c r="D4016" s="10">
        <v>253</v>
      </c>
      <c r="E4016" s="10" t="s">
        <v>32</v>
      </c>
    </row>
    <row r="4017" spans="1:21" x14ac:dyDescent="0.35">
      <c r="A4017" s="2">
        <v>42839</v>
      </c>
      <c r="B4017" s="70" t="s">
        <v>63</v>
      </c>
      <c r="C4017" s="10">
        <v>68</v>
      </c>
      <c r="D4017" s="10">
        <v>248</v>
      </c>
      <c r="E4017" s="10" t="s">
        <v>32</v>
      </c>
      <c r="F4017" t="s">
        <v>198</v>
      </c>
    </row>
    <row r="4018" spans="1:21" x14ac:dyDescent="0.35">
      <c r="A4018" s="2">
        <v>42839</v>
      </c>
      <c r="B4018" s="70" t="s">
        <v>63</v>
      </c>
      <c r="C4018" s="10">
        <v>70</v>
      </c>
      <c r="D4018" s="10">
        <v>264</v>
      </c>
      <c r="E4018" s="10" t="s">
        <v>32</v>
      </c>
      <c r="F4018" t="s">
        <v>198</v>
      </c>
    </row>
    <row r="4019" spans="1:21" x14ac:dyDescent="0.35">
      <c r="A4019" s="2">
        <v>42839</v>
      </c>
      <c r="B4019" s="70" t="s">
        <v>63</v>
      </c>
      <c r="C4019" s="10">
        <v>68</v>
      </c>
      <c r="D4019" s="10">
        <v>202</v>
      </c>
      <c r="E4019" s="10" t="s">
        <v>32</v>
      </c>
      <c r="F4019" t="s">
        <v>198</v>
      </c>
    </row>
    <row r="4020" spans="1:21" x14ac:dyDescent="0.35">
      <c r="A4020" s="2">
        <v>42839</v>
      </c>
      <c r="B4020" s="70" t="s">
        <v>63</v>
      </c>
      <c r="C4020" s="10">
        <v>67</v>
      </c>
      <c r="D4020" s="10">
        <v>232</v>
      </c>
      <c r="E4020" s="10" t="s">
        <v>32</v>
      </c>
      <c r="F4020" t="s">
        <v>198</v>
      </c>
    </row>
    <row r="4021" spans="1:21" x14ac:dyDescent="0.35">
      <c r="A4021" s="2">
        <v>42839</v>
      </c>
      <c r="B4021" s="70" t="s">
        <v>63</v>
      </c>
      <c r="C4021" s="10">
        <v>67</v>
      </c>
      <c r="D4021" s="10">
        <v>231</v>
      </c>
      <c r="E4021" s="10" t="s">
        <v>32</v>
      </c>
      <c r="F4021" t="s">
        <v>198</v>
      </c>
    </row>
    <row r="4022" spans="1:21" x14ac:dyDescent="0.35">
      <c r="A4022" s="2">
        <v>42839</v>
      </c>
      <c r="B4022" s="70" t="s">
        <v>63</v>
      </c>
      <c r="C4022" s="10">
        <v>64</v>
      </c>
      <c r="D4022" s="10">
        <v>237</v>
      </c>
      <c r="E4022" s="10" t="s">
        <v>33</v>
      </c>
    </row>
    <row r="4023" spans="1:21" x14ac:dyDescent="0.35">
      <c r="A4023" s="2">
        <v>42839</v>
      </c>
      <c r="B4023" s="70" t="s">
        <v>63</v>
      </c>
      <c r="C4023" s="10">
        <v>67</v>
      </c>
      <c r="D4023" s="10">
        <v>234</v>
      </c>
      <c r="E4023" s="10" t="s">
        <v>32</v>
      </c>
      <c r="F4023" t="s">
        <v>198</v>
      </c>
      <c r="R4023">
        <f>AVERAGE(C4002:C4010,C3937:C3955)</f>
        <v>109.14285714285714</v>
      </c>
      <c r="S4023">
        <f>AVERAGE(D4002:D4010,D3937:D3955)</f>
        <v>2039.7857142857142</v>
      </c>
      <c r="U4023" t="e">
        <f>AVERAGE(#REF!,#REF!)</f>
        <v>#REF!</v>
      </c>
    </row>
    <row r="4024" spans="1:21" x14ac:dyDescent="0.35">
      <c r="A4024" s="2">
        <v>42839</v>
      </c>
      <c r="B4024" s="70" t="s">
        <v>63</v>
      </c>
      <c r="C4024" s="10">
        <v>65</v>
      </c>
      <c r="D4024" s="10">
        <v>328</v>
      </c>
      <c r="E4024" s="10" t="s">
        <v>32</v>
      </c>
      <c r="F4024" t="s">
        <v>198</v>
      </c>
    </row>
    <row r="4025" spans="1:21" x14ac:dyDescent="0.35">
      <c r="A4025" s="2">
        <v>42839</v>
      </c>
      <c r="B4025" s="70" t="s">
        <v>63</v>
      </c>
      <c r="C4025" s="10">
        <v>75</v>
      </c>
      <c r="D4025" s="10">
        <v>436</v>
      </c>
      <c r="E4025" s="10" t="s">
        <v>32</v>
      </c>
      <c r="F4025" t="s">
        <v>198</v>
      </c>
    </row>
    <row r="4026" spans="1:21" x14ac:dyDescent="0.35">
      <c r="A4026" s="2">
        <v>42839</v>
      </c>
      <c r="B4026" s="70" t="s">
        <v>63</v>
      </c>
      <c r="C4026" s="10">
        <v>65</v>
      </c>
      <c r="D4026" s="10">
        <v>241</v>
      </c>
      <c r="E4026" s="10" t="s">
        <v>37</v>
      </c>
      <c r="F4026" t="s">
        <v>198</v>
      </c>
    </row>
    <row r="4027" spans="1:21" x14ac:dyDescent="0.35">
      <c r="A4027" s="2">
        <v>42839</v>
      </c>
      <c r="B4027" s="70" t="s">
        <v>63</v>
      </c>
      <c r="C4027" s="10">
        <v>68</v>
      </c>
      <c r="D4027" s="10">
        <v>218</v>
      </c>
      <c r="E4027" s="10" t="s">
        <v>32</v>
      </c>
      <c r="F4027" t="s">
        <v>198</v>
      </c>
      <c r="I4027" t="s">
        <v>42</v>
      </c>
      <c r="J4027" t="s">
        <v>39</v>
      </c>
      <c r="K4027" t="s">
        <v>40</v>
      </c>
      <c r="L4027" t="s">
        <v>36</v>
      </c>
      <c r="M4027" t="s">
        <v>33</v>
      </c>
      <c r="N4027" t="s">
        <v>34</v>
      </c>
      <c r="O4027" t="s">
        <v>32</v>
      </c>
      <c r="P4027" t="s">
        <v>37</v>
      </c>
    </row>
    <row r="4028" spans="1:21" x14ac:dyDescent="0.35">
      <c r="A4028" s="2">
        <v>42839</v>
      </c>
      <c r="B4028" s="70" t="s">
        <v>63</v>
      </c>
      <c r="C4028" s="10">
        <v>61</v>
      </c>
      <c r="D4028" s="10">
        <v>198</v>
      </c>
      <c r="E4028" s="10" t="s">
        <v>32</v>
      </c>
      <c r="F4028" t="s">
        <v>198</v>
      </c>
      <c r="I4028" s="5">
        <f>COUNTIF(E3988:E4029,"VA")</f>
        <v>0</v>
      </c>
      <c r="J4028" s="5">
        <f>COUNTIF(E3988:E4029,"VB")</f>
        <v>0</v>
      </c>
      <c r="K4028" s="5">
        <f>COUNTIF(E3931:E4029,"VIA0")</f>
        <v>0</v>
      </c>
      <c r="L4028" s="5">
        <f>COUNTIF(E3931:E4029,"VIA1")</f>
        <v>1</v>
      </c>
      <c r="M4028" s="5">
        <f>COUNTIF(E3931:E4029,"VIA2")</f>
        <v>2</v>
      </c>
      <c r="N4028" s="5">
        <f>COUNTIF(E3931:E4029,"VIA3")</f>
        <v>10</v>
      </c>
      <c r="O4028" s="5">
        <f>COUNTIF(E3931:E4029,"VIA4")</f>
        <v>50</v>
      </c>
      <c r="P4028" s="5">
        <f>COUNTIF(E3931:E4029,"VIB")</f>
        <v>8</v>
      </c>
      <c r="R4028">
        <f>AVERAGE(C4011:C4029,C3956:C4001,C3931:C3936)</f>
        <v>67.718309859154928</v>
      </c>
      <c r="S4028">
        <f>AVERAGE(D4011:D4029,D3956:D4001,D3931:D3936)</f>
        <v>282.05633802816902</v>
      </c>
      <c r="U4028" t="e">
        <f>AVERAGE(#REF!,#REF!,#REF!)</f>
        <v>#REF!</v>
      </c>
    </row>
    <row r="4029" spans="1:21" s="4" customFormat="1" x14ac:dyDescent="0.35">
      <c r="A4029" s="3">
        <v>42839</v>
      </c>
      <c r="B4029" s="44" t="s">
        <v>63</v>
      </c>
      <c r="C4029" s="11">
        <v>67</v>
      </c>
      <c r="D4029" s="11">
        <v>246</v>
      </c>
      <c r="E4029" s="11" t="s">
        <v>32</v>
      </c>
      <c r="F4029" s="4" t="s">
        <v>198</v>
      </c>
      <c r="I4029" s="6">
        <f>I4028/71*100</f>
        <v>0</v>
      </c>
      <c r="J4029" s="6">
        <f t="shared" ref="J4029:P4029" si="127">J4028/71*100</f>
        <v>0</v>
      </c>
      <c r="K4029" s="6">
        <f t="shared" si="127"/>
        <v>0</v>
      </c>
      <c r="L4029" s="6">
        <f t="shared" si="127"/>
        <v>1.4084507042253522</v>
      </c>
      <c r="M4029" s="6">
        <f t="shared" si="127"/>
        <v>2.8169014084507045</v>
      </c>
      <c r="N4029" s="6">
        <f t="shared" si="127"/>
        <v>14.084507042253522</v>
      </c>
      <c r="O4029" s="6">
        <f t="shared" si="127"/>
        <v>70.422535211267601</v>
      </c>
      <c r="P4029" s="6">
        <f t="shared" si="127"/>
        <v>11.267605633802818</v>
      </c>
    </row>
    <row r="4030" spans="1:21" x14ac:dyDescent="0.35">
      <c r="A4030" s="2">
        <v>42839</v>
      </c>
      <c r="B4030" s="36" t="s">
        <v>342</v>
      </c>
      <c r="C4030" s="10">
        <v>68</v>
      </c>
      <c r="D4030" s="10">
        <v>203</v>
      </c>
      <c r="E4030" s="10" t="s">
        <v>34</v>
      </c>
      <c r="F4030" s="10"/>
    </row>
    <row r="4031" spans="1:21" x14ac:dyDescent="0.35">
      <c r="A4031" s="2">
        <v>42839</v>
      </c>
      <c r="B4031" s="36" t="s">
        <v>342</v>
      </c>
      <c r="C4031" s="10">
        <v>63</v>
      </c>
      <c r="D4031" s="10">
        <v>225</v>
      </c>
      <c r="E4031" s="10" t="s">
        <v>32</v>
      </c>
      <c r="F4031" s="10" t="s">
        <v>198</v>
      </c>
    </row>
    <row r="4032" spans="1:21" x14ac:dyDescent="0.35">
      <c r="A4032" s="2">
        <v>42839</v>
      </c>
      <c r="B4032" s="36" t="s">
        <v>342</v>
      </c>
      <c r="C4032" s="10">
        <v>61</v>
      </c>
      <c r="D4032" s="10">
        <v>211</v>
      </c>
      <c r="E4032" s="10" t="s">
        <v>32</v>
      </c>
      <c r="F4032" s="10" t="s">
        <v>198</v>
      </c>
    </row>
    <row r="4033" spans="1:12" x14ac:dyDescent="0.35">
      <c r="A4033" s="2">
        <v>42839</v>
      </c>
      <c r="B4033" s="36" t="s">
        <v>342</v>
      </c>
      <c r="C4033" s="10">
        <v>65</v>
      </c>
      <c r="D4033" s="10">
        <v>216</v>
      </c>
      <c r="E4033" s="10" t="s">
        <v>32</v>
      </c>
      <c r="F4033" s="10" t="s">
        <v>198</v>
      </c>
    </row>
    <row r="4034" spans="1:12" x14ac:dyDescent="0.35">
      <c r="A4034" s="2">
        <v>42839</v>
      </c>
      <c r="B4034" s="36" t="s">
        <v>342</v>
      </c>
      <c r="C4034" s="10">
        <v>72</v>
      </c>
      <c r="D4034" s="10">
        <v>420</v>
      </c>
      <c r="E4034" s="10" t="s">
        <v>37</v>
      </c>
      <c r="F4034" s="10" t="s">
        <v>198</v>
      </c>
    </row>
    <row r="4035" spans="1:12" x14ac:dyDescent="0.35">
      <c r="A4035" s="2">
        <v>42839</v>
      </c>
      <c r="B4035" s="36" t="s">
        <v>342</v>
      </c>
      <c r="C4035" s="10">
        <v>66</v>
      </c>
      <c r="D4035" s="10">
        <v>210</v>
      </c>
      <c r="E4035" s="10" t="s">
        <v>32</v>
      </c>
      <c r="F4035" s="10" t="s">
        <v>198</v>
      </c>
    </row>
    <row r="4036" spans="1:12" x14ac:dyDescent="0.35">
      <c r="A4036" s="2">
        <v>42839</v>
      </c>
      <c r="B4036" s="36" t="s">
        <v>342</v>
      </c>
      <c r="C4036" s="10">
        <v>66</v>
      </c>
      <c r="D4036" s="10">
        <v>338</v>
      </c>
      <c r="E4036" s="10" t="s">
        <v>32</v>
      </c>
      <c r="F4036" s="10" t="s">
        <v>198</v>
      </c>
    </row>
    <row r="4037" spans="1:12" s="4" customFormat="1" x14ac:dyDescent="0.35">
      <c r="A4037" s="3">
        <v>42839</v>
      </c>
      <c r="B4037" s="26" t="s">
        <v>342</v>
      </c>
      <c r="C4037" s="11">
        <v>68</v>
      </c>
      <c r="D4037" s="11">
        <v>197</v>
      </c>
      <c r="E4037" s="11" t="s">
        <v>33</v>
      </c>
      <c r="F4037" s="11" t="s">
        <v>198</v>
      </c>
    </row>
    <row r="4038" spans="1:12" x14ac:dyDescent="0.35">
      <c r="A4038" s="2">
        <v>42840</v>
      </c>
      <c r="B4038" s="70" t="s">
        <v>41</v>
      </c>
      <c r="C4038" s="10">
        <v>62</v>
      </c>
      <c r="D4038" s="10">
        <v>241</v>
      </c>
      <c r="E4038" s="10" t="s">
        <v>32</v>
      </c>
      <c r="F4038" s="10" t="s">
        <v>293</v>
      </c>
      <c r="G4038" s="10" t="s">
        <v>402</v>
      </c>
    </row>
    <row r="4039" spans="1:12" x14ac:dyDescent="0.35">
      <c r="A4039" s="2">
        <v>42840</v>
      </c>
      <c r="B4039" s="70" t="s">
        <v>41</v>
      </c>
      <c r="C4039" s="10">
        <v>63</v>
      </c>
      <c r="D4039" s="10">
        <v>253</v>
      </c>
      <c r="E4039" s="10" t="s">
        <v>34</v>
      </c>
      <c r="F4039" s="10" t="s">
        <v>198</v>
      </c>
      <c r="G4039" s="10" t="s">
        <v>403</v>
      </c>
    </row>
    <row r="4040" spans="1:12" x14ac:dyDescent="0.35">
      <c r="A4040" s="2">
        <v>42840</v>
      </c>
      <c r="B4040" s="70" t="s">
        <v>41</v>
      </c>
      <c r="C4040" s="10">
        <v>70</v>
      </c>
      <c r="D4040" s="10">
        <v>309</v>
      </c>
      <c r="E4040" s="10" t="s">
        <v>32</v>
      </c>
      <c r="G4040" s="10" t="s">
        <v>404</v>
      </c>
    </row>
    <row r="4041" spans="1:12" x14ac:dyDescent="0.35">
      <c r="A4041" s="2">
        <v>42840</v>
      </c>
      <c r="B4041" s="70" t="s">
        <v>41</v>
      </c>
      <c r="C4041" s="10">
        <v>66</v>
      </c>
      <c r="D4041" s="10">
        <v>316</v>
      </c>
      <c r="E4041" s="10" t="s">
        <v>40</v>
      </c>
      <c r="G4041" s="10" t="s">
        <v>405</v>
      </c>
    </row>
    <row r="4042" spans="1:12" x14ac:dyDescent="0.35">
      <c r="A4042" s="2">
        <v>42840</v>
      </c>
      <c r="B4042" s="70" t="s">
        <v>41</v>
      </c>
      <c r="C4042" s="10">
        <v>68</v>
      </c>
      <c r="D4042" s="10">
        <v>283</v>
      </c>
      <c r="E4042" s="10" t="s">
        <v>34</v>
      </c>
      <c r="F4042" t="s">
        <v>198</v>
      </c>
      <c r="G4042" s="10" t="s">
        <v>406</v>
      </c>
    </row>
    <row r="4043" spans="1:12" x14ac:dyDescent="0.35">
      <c r="A4043" s="2">
        <v>42840</v>
      </c>
      <c r="B4043" s="70" t="s">
        <v>41</v>
      </c>
      <c r="C4043" s="10">
        <v>67</v>
      </c>
      <c r="D4043" s="10">
        <v>310</v>
      </c>
      <c r="E4043" s="10" t="s">
        <v>32</v>
      </c>
      <c r="F4043" t="s">
        <v>293</v>
      </c>
    </row>
    <row r="4044" spans="1:12" x14ac:dyDescent="0.35">
      <c r="A4044" s="2">
        <v>42840</v>
      </c>
      <c r="B4044" s="70" t="s">
        <v>41</v>
      </c>
      <c r="C4044" s="10">
        <v>68</v>
      </c>
      <c r="D4044" s="10">
        <v>315</v>
      </c>
      <c r="E4044" s="10" t="s">
        <v>34</v>
      </c>
      <c r="F4044" t="s">
        <v>293</v>
      </c>
    </row>
    <row r="4045" spans="1:12" s="4" customFormat="1" x14ac:dyDescent="0.35">
      <c r="A4045" s="3">
        <v>42840</v>
      </c>
      <c r="B4045" s="44" t="s">
        <v>41</v>
      </c>
      <c r="C4045" s="11">
        <v>70</v>
      </c>
      <c r="D4045" s="11">
        <v>324</v>
      </c>
      <c r="E4045" s="11" t="s">
        <v>34</v>
      </c>
      <c r="F4045" s="4" t="s">
        <v>293</v>
      </c>
      <c r="L4045" s="51" t="e">
        <f>AVERAGE(#REF!)</f>
        <v>#REF!</v>
      </c>
    </row>
    <row r="4046" spans="1:12" x14ac:dyDescent="0.35">
      <c r="A4046" s="2">
        <v>42846</v>
      </c>
      <c r="B4046" s="70" t="s">
        <v>29</v>
      </c>
      <c r="C4046" s="10">
        <v>67</v>
      </c>
      <c r="D4046" s="10">
        <v>207</v>
      </c>
      <c r="E4046" s="10" t="s">
        <v>32</v>
      </c>
      <c r="F4046" s="10" t="s">
        <v>198</v>
      </c>
      <c r="G4046" s="10" t="s">
        <v>414</v>
      </c>
    </row>
    <row r="4047" spans="1:12" x14ac:dyDescent="0.35">
      <c r="A4047" s="2">
        <v>42846</v>
      </c>
      <c r="B4047" s="70" t="s">
        <v>29</v>
      </c>
      <c r="C4047" s="10">
        <v>68</v>
      </c>
      <c r="D4047" s="10">
        <v>235</v>
      </c>
      <c r="E4047" s="10" t="s">
        <v>32</v>
      </c>
      <c r="F4047" s="10" t="s">
        <v>293</v>
      </c>
      <c r="G4047" s="10" t="s">
        <v>415</v>
      </c>
    </row>
    <row r="4048" spans="1:12" x14ac:dyDescent="0.35">
      <c r="A4048" s="2">
        <v>42846</v>
      </c>
      <c r="B4048" s="70" t="s">
        <v>29</v>
      </c>
      <c r="C4048" s="10">
        <v>65</v>
      </c>
      <c r="D4048" s="10">
        <v>195</v>
      </c>
      <c r="E4048" s="10" t="s">
        <v>32</v>
      </c>
      <c r="F4048" s="10" t="s">
        <v>198</v>
      </c>
      <c r="G4048" s="10" t="s">
        <v>416</v>
      </c>
    </row>
    <row r="4049" spans="1:7" x14ac:dyDescent="0.35">
      <c r="A4049" s="2">
        <v>42846</v>
      </c>
      <c r="B4049" s="70" t="s">
        <v>29</v>
      </c>
      <c r="C4049" s="10">
        <v>72</v>
      </c>
      <c r="D4049" s="10">
        <v>279</v>
      </c>
      <c r="E4049" s="10" t="s">
        <v>32</v>
      </c>
      <c r="F4049" s="10" t="s">
        <v>198</v>
      </c>
      <c r="G4049" s="10" t="s">
        <v>417</v>
      </c>
    </row>
    <row r="4050" spans="1:7" x14ac:dyDescent="0.35">
      <c r="A4050" s="2">
        <v>42846</v>
      </c>
      <c r="B4050" s="70" t="s">
        <v>29</v>
      </c>
      <c r="C4050" s="10">
        <v>70</v>
      </c>
      <c r="D4050" s="10">
        <v>259</v>
      </c>
      <c r="E4050" s="10" t="s">
        <v>32</v>
      </c>
      <c r="F4050" s="10" t="s">
        <v>198</v>
      </c>
      <c r="G4050" s="10" t="s">
        <v>418</v>
      </c>
    </row>
    <row r="4051" spans="1:7" x14ac:dyDescent="0.35">
      <c r="A4051" s="2">
        <v>42846</v>
      </c>
      <c r="B4051" s="70" t="s">
        <v>29</v>
      </c>
      <c r="C4051" s="10">
        <v>70</v>
      </c>
      <c r="D4051" s="10">
        <v>274</v>
      </c>
      <c r="E4051" s="10" t="s">
        <v>37</v>
      </c>
      <c r="F4051" s="10" t="s">
        <v>198</v>
      </c>
    </row>
    <row r="4052" spans="1:7" x14ac:dyDescent="0.35">
      <c r="A4052" s="2">
        <v>42846</v>
      </c>
      <c r="B4052" s="70" t="s">
        <v>29</v>
      </c>
      <c r="C4052" s="10">
        <v>67</v>
      </c>
      <c r="D4052" s="10">
        <v>256</v>
      </c>
      <c r="E4052" s="10" t="s">
        <v>32</v>
      </c>
      <c r="F4052" s="10" t="s">
        <v>293</v>
      </c>
    </row>
    <row r="4053" spans="1:7" x14ac:dyDescent="0.35">
      <c r="A4053" s="2">
        <v>42846</v>
      </c>
      <c r="B4053" s="70" t="s">
        <v>29</v>
      </c>
      <c r="C4053" s="10">
        <v>71</v>
      </c>
      <c r="D4053" s="10">
        <v>319</v>
      </c>
      <c r="E4053" s="10" t="s">
        <v>32</v>
      </c>
      <c r="F4053" s="10" t="s">
        <v>198</v>
      </c>
    </row>
    <row r="4054" spans="1:7" x14ac:dyDescent="0.35">
      <c r="A4054" s="2">
        <v>42846</v>
      </c>
      <c r="B4054" s="70" t="s">
        <v>29</v>
      </c>
      <c r="C4054" s="10">
        <v>71</v>
      </c>
      <c r="D4054" s="10">
        <v>276</v>
      </c>
      <c r="E4054" s="10" t="s">
        <v>34</v>
      </c>
      <c r="F4054" s="10" t="s">
        <v>293</v>
      </c>
    </row>
    <row r="4055" spans="1:7" x14ac:dyDescent="0.35">
      <c r="A4055" s="2">
        <v>42846</v>
      </c>
      <c r="B4055" s="70" t="s">
        <v>29</v>
      </c>
      <c r="C4055" s="10">
        <v>71</v>
      </c>
      <c r="D4055" s="10">
        <v>278</v>
      </c>
      <c r="E4055" s="10" t="s">
        <v>32</v>
      </c>
      <c r="F4055" s="10" t="s">
        <v>198</v>
      </c>
    </row>
    <row r="4056" spans="1:7" x14ac:dyDescent="0.35">
      <c r="A4056" s="2">
        <v>42846</v>
      </c>
      <c r="B4056" s="70" t="s">
        <v>29</v>
      </c>
      <c r="C4056" s="10">
        <v>73</v>
      </c>
      <c r="D4056" s="10">
        <v>281</v>
      </c>
      <c r="E4056" s="10" t="s">
        <v>32</v>
      </c>
      <c r="F4056" s="10" t="s">
        <v>198</v>
      </c>
    </row>
    <row r="4057" spans="1:7" x14ac:dyDescent="0.35">
      <c r="A4057" s="2">
        <v>42846</v>
      </c>
      <c r="B4057" s="70" t="s">
        <v>29</v>
      </c>
      <c r="C4057" s="10">
        <v>67</v>
      </c>
      <c r="D4057" s="10">
        <v>243</v>
      </c>
      <c r="E4057" s="10" t="s">
        <v>32</v>
      </c>
      <c r="F4057" s="10" t="s">
        <v>198</v>
      </c>
      <c r="G4057" s="10" t="s">
        <v>411</v>
      </c>
    </row>
    <row r="4058" spans="1:7" x14ac:dyDescent="0.35">
      <c r="A4058" s="2">
        <v>42846</v>
      </c>
      <c r="B4058" s="70" t="s">
        <v>29</v>
      </c>
      <c r="C4058" s="10">
        <v>67</v>
      </c>
      <c r="D4058" s="10">
        <v>224</v>
      </c>
      <c r="E4058" s="10" t="s">
        <v>32</v>
      </c>
      <c r="F4058" s="10" t="s">
        <v>293</v>
      </c>
    </row>
    <row r="4059" spans="1:7" x14ac:dyDescent="0.35">
      <c r="A4059" s="2">
        <v>42846</v>
      </c>
      <c r="B4059" s="70" t="s">
        <v>29</v>
      </c>
      <c r="C4059" s="10">
        <v>68</v>
      </c>
      <c r="D4059" s="10">
        <v>274</v>
      </c>
      <c r="E4059" s="10" t="s">
        <v>37</v>
      </c>
      <c r="F4059" s="10" t="s">
        <v>198</v>
      </c>
    </row>
    <row r="4060" spans="1:7" x14ac:dyDescent="0.35">
      <c r="A4060" s="2">
        <v>42846</v>
      </c>
      <c r="B4060" s="70" t="s">
        <v>29</v>
      </c>
      <c r="C4060" s="10">
        <v>73</v>
      </c>
      <c r="D4060" s="10">
        <v>318</v>
      </c>
      <c r="E4060" s="10" t="s">
        <v>32</v>
      </c>
      <c r="F4060" s="10" t="s">
        <v>198</v>
      </c>
    </row>
    <row r="4061" spans="1:7" x14ac:dyDescent="0.35">
      <c r="A4061" s="2">
        <v>42846</v>
      </c>
      <c r="B4061" s="70" t="s">
        <v>29</v>
      </c>
      <c r="C4061" s="10">
        <v>70</v>
      </c>
      <c r="D4061" s="10">
        <v>245</v>
      </c>
      <c r="E4061" s="10" t="s">
        <v>32</v>
      </c>
      <c r="F4061" s="10" t="s">
        <v>198</v>
      </c>
      <c r="G4061" s="10" t="s">
        <v>412</v>
      </c>
    </row>
    <row r="4062" spans="1:7" x14ac:dyDescent="0.35">
      <c r="A4062" s="2">
        <v>42846</v>
      </c>
      <c r="B4062" s="70" t="s">
        <v>29</v>
      </c>
      <c r="C4062" s="10">
        <v>70</v>
      </c>
      <c r="D4062" s="10">
        <v>312</v>
      </c>
      <c r="E4062" s="10" t="s">
        <v>32</v>
      </c>
      <c r="F4062" s="10" t="s">
        <v>198</v>
      </c>
    </row>
    <row r="4063" spans="1:7" x14ac:dyDescent="0.35">
      <c r="A4063" s="2">
        <v>42846</v>
      </c>
      <c r="B4063" s="70" t="s">
        <v>29</v>
      </c>
      <c r="C4063" s="10">
        <v>66</v>
      </c>
      <c r="D4063" s="10">
        <v>223</v>
      </c>
      <c r="E4063" s="10" t="s">
        <v>32</v>
      </c>
      <c r="F4063" s="10"/>
    </row>
    <row r="4064" spans="1:7" x14ac:dyDescent="0.35">
      <c r="A4064" s="2">
        <v>42846</v>
      </c>
      <c r="B4064" s="70" t="s">
        <v>29</v>
      </c>
      <c r="C4064" s="10">
        <v>72</v>
      </c>
      <c r="D4064" s="10">
        <v>312</v>
      </c>
      <c r="E4064" s="10" t="s">
        <v>32</v>
      </c>
      <c r="F4064" s="10"/>
    </row>
    <row r="4065" spans="1:7" x14ac:dyDescent="0.35">
      <c r="A4065" s="2">
        <v>42846</v>
      </c>
      <c r="B4065" s="70" t="s">
        <v>29</v>
      </c>
      <c r="C4065" s="10">
        <v>72</v>
      </c>
      <c r="D4065" s="10">
        <v>285</v>
      </c>
      <c r="E4065" s="10" t="s">
        <v>32</v>
      </c>
      <c r="F4065" s="10" t="s">
        <v>198</v>
      </c>
      <c r="G4065" s="10" t="s">
        <v>413</v>
      </c>
    </row>
    <row r="4066" spans="1:7" x14ac:dyDescent="0.35">
      <c r="A4066" s="2">
        <v>42846</v>
      </c>
      <c r="B4066" s="70" t="s">
        <v>29</v>
      </c>
      <c r="C4066" s="10">
        <v>67</v>
      </c>
      <c r="D4066" s="10">
        <v>244</v>
      </c>
      <c r="E4066" s="10" t="s">
        <v>34</v>
      </c>
      <c r="F4066" s="10" t="s">
        <v>293</v>
      </c>
    </row>
    <row r="4067" spans="1:7" x14ac:dyDescent="0.35">
      <c r="A4067" s="2">
        <v>42846</v>
      </c>
      <c r="B4067" s="70" t="s">
        <v>29</v>
      </c>
      <c r="C4067" s="10">
        <v>72</v>
      </c>
      <c r="D4067" s="10">
        <v>325</v>
      </c>
      <c r="E4067" s="10" t="s">
        <v>34</v>
      </c>
      <c r="F4067" s="10" t="s">
        <v>293</v>
      </c>
    </row>
    <row r="4068" spans="1:7" x14ac:dyDescent="0.35">
      <c r="A4068" s="2">
        <v>42846</v>
      </c>
      <c r="B4068" s="70" t="s">
        <v>29</v>
      </c>
      <c r="C4068" s="10">
        <v>68</v>
      </c>
      <c r="D4068" s="10">
        <v>261</v>
      </c>
      <c r="E4068" s="10" t="s">
        <v>32</v>
      </c>
      <c r="F4068" s="10" t="s">
        <v>198</v>
      </c>
    </row>
    <row r="4069" spans="1:7" x14ac:dyDescent="0.35">
      <c r="A4069" s="2">
        <v>42846</v>
      </c>
      <c r="B4069" s="70" t="s">
        <v>29</v>
      </c>
      <c r="C4069" s="10">
        <v>69</v>
      </c>
      <c r="D4069" s="10">
        <v>259</v>
      </c>
      <c r="E4069" s="10" t="s">
        <v>32</v>
      </c>
      <c r="F4069" s="10" t="s">
        <v>198</v>
      </c>
    </row>
    <row r="4070" spans="1:7" x14ac:dyDescent="0.35">
      <c r="A4070" s="2">
        <v>42846</v>
      </c>
      <c r="B4070" s="70" t="s">
        <v>29</v>
      </c>
      <c r="C4070" s="10">
        <v>67</v>
      </c>
      <c r="D4070" s="10">
        <v>258</v>
      </c>
      <c r="E4070" s="10" t="s">
        <v>32</v>
      </c>
      <c r="F4070" s="10" t="s">
        <v>198</v>
      </c>
    </row>
    <row r="4071" spans="1:7" x14ac:dyDescent="0.35">
      <c r="A4071" s="2">
        <v>42846</v>
      </c>
      <c r="B4071" s="70" t="s">
        <v>29</v>
      </c>
      <c r="C4071" s="10">
        <v>63</v>
      </c>
      <c r="D4071" s="10">
        <v>204</v>
      </c>
      <c r="E4071" s="10" t="s">
        <v>32</v>
      </c>
      <c r="F4071" s="10" t="s">
        <v>198</v>
      </c>
    </row>
    <row r="4072" spans="1:7" x14ac:dyDescent="0.35">
      <c r="A4072" s="2">
        <v>42846</v>
      </c>
      <c r="B4072" s="70" t="s">
        <v>29</v>
      </c>
      <c r="C4072" s="10">
        <v>65</v>
      </c>
      <c r="D4072" s="10">
        <v>236</v>
      </c>
      <c r="E4072" s="10" t="s">
        <v>32</v>
      </c>
      <c r="F4072" s="10" t="s">
        <v>198</v>
      </c>
    </row>
    <row r="4073" spans="1:7" x14ac:dyDescent="0.35">
      <c r="A4073" s="2">
        <v>42846</v>
      </c>
      <c r="B4073" s="70" t="s">
        <v>29</v>
      </c>
      <c r="C4073" s="10">
        <v>62</v>
      </c>
      <c r="D4073" s="10">
        <v>186</v>
      </c>
      <c r="E4073" s="10" t="s">
        <v>32</v>
      </c>
      <c r="F4073" s="10" t="s">
        <v>198</v>
      </c>
    </row>
    <row r="4074" spans="1:7" x14ac:dyDescent="0.35">
      <c r="A4074" s="2">
        <v>42846</v>
      </c>
      <c r="B4074" s="70" t="s">
        <v>29</v>
      </c>
      <c r="C4074" s="10">
        <v>68</v>
      </c>
      <c r="D4074" s="10">
        <v>246</v>
      </c>
      <c r="E4074" s="10" t="s">
        <v>32</v>
      </c>
      <c r="F4074" s="10" t="s">
        <v>198</v>
      </c>
    </row>
    <row r="4075" spans="1:7" x14ac:dyDescent="0.35">
      <c r="A4075" s="2">
        <v>42846</v>
      </c>
      <c r="B4075" s="70" t="s">
        <v>29</v>
      </c>
      <c r="C4075" s="10">
        <v>70</v>
      </c>
      <c r="D4075" s="10">
        <v>240</v>
      </c>
      <c r="E4075" s="10" t="s">
        <v>32</v>
      </c>
      <c r="F4075" s="10" t="s">
        <v>198</v>
      </c>
    </row>
    <row r="4076" spans="1:7" x14ac:dyDescent="0.35">
      <c r="A4076" s="2">
        <v>42846</v>
      </c>
      <c r="B4076" s="70" t="s">
        <v>29</v>
      </c>
      <c r="C4076" s="10">
        <v>64</v>
      </c>
      <c r="D4076" s="10">
        <v>186</v>
      </c>
      <c r="E4076" s="10" t="s">
        <v>32</v>
      </c>
      <c r="F4076" s="10" t="s">
        <v>198</v>
      </c>
    </row>
    <row r="4077" spans="1:7" x14ac:dyDescent="0.35">
      <c r="A4077" s="2">
        <v>42846</v>
      </c>
      <c r="B4077" s="70" t="s">
        <v>29</v>
      </c>
      <c r="C4077" s="10">
        <v>74</v>
      </c>
      <c r="D4077" s="10">
        <v>317</v>
      </c>
      <c r="E4077" s="10" t="s">
        <v>32</v>
      </c>
      <c r="F4077" s="10" t="s">
        <v>198</v>
      </c>
    </row>
    <row r="4078" spans="1:7" x14ac:dyDescent="0.35">
      <c r="A4078" s="2">
        <v>42846</v>
      </c>
      <c r="B4078" s="70" t="s">
        <v>29</v>
      </c>
      <c r="C4078" s="10">
        <v>70</v>
      </c>
      <c r="D4078" s="10">
        <v>282</v>
      </c>
      <c r="E4078" s="10" t="s">
        <v>34</v>
      </c>
      <c r="F4078" s="10" t="s">
        <v>293</v>
      </c>
    </row>
    <row r="4079" spans="1:7" x14ac:dyDescent="0.35">
      <c r="A4079" s="2">
        <v>42846</v>
      </c>
      <c r="B4079" s="70" t="s">
        <v>29</v>
      </c>
      <c r="C4079" s="10">
        <v>72</v>
      </c>
      <c r="D4079" s="10">
        <v>290</v>
      </c>
      <c r="E4079" s="10" t="s">
        <v>37</v>
      </c>
      <c r="F4079" s="10" t="s">
        <v>198</v>
      </c>
    </row>
    <row r="4080" spans="1:7" x14ac:dyDescent="0.35">
      <c r="A4080" s="2">
        <v>42846</v>
      </c>
      <c r="B4080" s="70" t="s">
        <v>29</v>
      </c>
      <c r="C4080" s="10">
        <v>69</v>
      </c>
      <c r="D4080" s="10">
        <v>289</v>
      </c>
      <c r="E4080" s="10" t="s">
        <v>32</v>
      </c>
      <c r="F4080" s="10"/>
    </row>
    <row r="4081" spans="1:16" x14ac:dyDescent="0.35">
      <c r="A4081" s="2">
        <v>42846</v>
      </c>
      <c r="B4081" s="70" t="s">
        <v>29</v>
      </c>
      <c r="C4081" s="10">
        <v>70</v>
      </c>
      <c r="D4081" s="10">
        <v>301</v>
      </c>
      <c r="E4081" s="10" t="s">
        <v>32</v>
      </c>
      <c r="F4081" s="10" t="s">
        <v>198</v>
      </c>
      <c r="G4081" s="10" t="s">
        <v>419</v>
      </c>
    </row>
    <row r="4082" spans="1:16" x14ac:dyDescent="0.35">
      <c r="A4082" s="2">
        <v>42846</v>
      </c>
      <c r="B4082" s="70" t="s">
        <v>29</v>
      </c>
      <c r="C4082" s="10">
        <v>70</v>
      </c>
      <c r="D4082" s="10">
        <v>299</v>
      </c>
      <c r="E4082" s="10" t="s">
        <v>32</v>
      </c>
      <c r="F4082" s="10" t="s">
        <v>198</v>
      </c>
      <c r="G4082" s="10" t="s">
        <v>420</v>
      </c>
    </row>
    <row r="4083" spans="1:16" x14ac:dyDescent="0.35">
      <c r="A4083" s="2">
        <v>42846</v>
      </c>
      <c r="B4083" s="70" t="s">
        <v>29</v>
      </c>
      <c r="C4083" s="10">
        <v>65</v>
      </c>
      <c r="D4083" s="10">
        <v>226</v>
      </c>
      <c r="E4083" s="10" t="s">
        <v>33</v>
      </c>
      <c r="F4083" s="10" t="s">
        <v>198</v>
      </c>
    </row>
    <row r="4084" spans="1:16" x14ac:dyDescent="0.35">
      <c r="A4084" s="2">
        <v>42846</v>
      </c>
      <c r="B4084" s="70" t="s">
        <v>29</v>
      </c>
      <c r="C4084" s="10">
        <v>70</v>
      </c>
      <c r="D4084" s="10">
        <v>261</v>
      </c>
      <c r="E4084" s="10" t="s">
        <v>32</v>
      </c>
      <c r="F4084" s="10" t="s">
        <v>198</v>
      </c>
    </row>
    <row r="4085" spans="1:16" x14ac:dyDescent="0.35">
      <c r="A4085" s="2">
        <v>42846</v>
      </c>
      <c r="B4085" s="70" t="s">
        <v>29</v>
      </c>
      <c r="C4085" s="10">
        <v>68</v>
      </c>
      <c r="D4085" s="10">
        <v>269</v>
      </c>
      <c r="E4085" s="10" t="s">
        <v>32</v>
      </c>
      <c r="F4085" s="10" t="s">
        <v>293</v>
      </c>
    </row>
    <row r="4086" spans="1:16" x14ac:dyDescent="0.35">
      <c r="A4086" s="2">
        <v>42846</v>
      </c>
      <c r="B4086" s="70" t="s">
        <v>29</v>
      </c>
      <c r="C4086" s="10">
        <v>71</v>
      </c>
      <c r="D4086" s="10">
        <v>279</v>
      </c>
      <c r="E4086" s="10" t="s">
        <v>32</v>
      </c>
      <c r="F4086" s="10" t="s">
        <v>293</v>
      </c>
    </row>
    <row r="4087" spans="1:16" x14ac:dyDescent="0.35">
      <c r="A4087" s="2">
        <v>42846</v>
      </c>
      <c r="B4087" s="70" t="s">
        <v>29</v>
      </c>
      <c r="C4087" s="10">
        <v>73</v>
      </c>
      <c r="D4087" s="10">
        <v>295</v>
      </c>
      <c r="E4087" s="10" t="s">
        <v>32</v>
      </c>
      <c r="F4087" s="10" t="s">
        <v>198</v>
      </c>
    </row>
    <row r="4088" spans="1:16" x14ac:dyDescent="0.35">
      <c r="A4088" s="2">
        <v>42846</v>
      </c>
      <c r="B4088" s="70" t="s">
        <v>29</v>
      </c>
      <c r="C4088" s="10">
        <v>66</v>
      </c>
      <c r="D4088" s="10">
        <v>232</v>
      </c>
      <c r="E4088" s="10" t="s">
        <v>32</v>
      </c>
      <c r="F4088" s="10"/>
    </row>
    <row r="4089" spans="1:16" x14ac:dyDescent="0.35">
      <c r="A4089" s="2">
        <v>42846</v>
      </c>
      <c r="B4089" s="70" t="s">
        <v>29</v>
      </c>
      <c r="C4089" s="10">
        <v>70</v>
      </c>
      <c r="D4089" s="10">
        <v>305</v>
      </c>
      <c r="E4089" s="10" t="s">
        <v>32</v>
      </c>
      <c r="F4089" s="10" t="s">
        <v>198</v>
      </c>
    </row>
    <row r="4090" spans="1:16" x14ac:dyDescent="0.35">
      <c r="A4090" s="2">
        <v>42846</v>
      </c>
      <c r="B4090" s="70" t="s">
        <v>29</v>
      </c>
      <c r="C4090" s="10">
        <v>65</v>
      </c>
      <c r="D4090" s="10">
        <v>186</v>
      </c>
      <c r="E4090" s="10" t="s">
        <v>32</v>
      </c>
      <c r="F4090" s="10" t="s">
        <v>198</v>
      </c>
    </row>
    <row r="4091" spans="1:16" x14ac:dyDescent="0.35">
      <c r="A4091" s="2">
        <v>42846</v>
      </c>
      <c r="B4091" s="70" t="s">
        <v>29</v>
      </c>
      <c r="C4091" s="10">
        <v>70</v>
      </c>
      <c r="D4091" s="10">
        <v>283</v>
      </c>
      <c r="E4091" s="10" t="s">
        <v>32</v>
      </c>
      <c r="F4091" s="10" t="s">
        <v>198</v>
      </c>
    </row>
    <row r="4092" spans="1:16" x14ac:dyDescent="0.35">
      <c r="A4092" s="2">
        <v>42846</v>
      </c>
      <c r="B4092" s="70" t="s">
        <v>29</v>
      </c>
      <c r="C4092" s="10">
        <v>67</v>
      </c>
      <c r="D4092" s="10">
        <v>261</v>
      </c>
      <c r="E4092" s="10" t="s">
        <v>32</v>
      </c>
      <c r="F4092" s="10" t="s">
        <v>293</v>
      </c>
    </row>
    <row r="4093" spans="1:16" x14ac:dyDescent="0.35">
      <c r="A4093" s="2">
        <v>42846</v>
      </c>
      <c r="B4093" s="70" t="s">
        <v>29</v>
      </c>
      <c r="C4093" s="10">
        <v>53</v>
      </c>
      <c r="D4093" s="10">
        <v>118</v>
      </c>
      <c r="E4093" s="10" t="s">
        <v>37</v>
      </c>
      <c r="F4093" s="10" t="s">
        <v>198</v>
      </c>
      <c r="G4093" s="10" t="s">
        <v>421</v>
      </c>
    </row>
    <row r="4094" spans="1:16" x14ac:dyDescent="0.35">
      <c r="A4094" s="2">
        <v>42846</v>
      </c>
      <c r="B4094" s="70" t="s">
        <v>29</v>
      </c>
      <c r="C4094" s="10">
        <v>64</v>
      </c>
      <c r="D4094" s="10">
        <v>215</v>
      </c>
      <c r="E4094" s="10" t="s">
        <v>37</v>
      </c>
      <c r="F4094" s="10" t="s">
        <v>198</v>
      </c>
    </row>
    <row r="4095" spans="1:16" x14ac:dyDescent="0.35">
      <c r="A4095" s="2">
        <v>42846</v>
      </c>
      <c r="B4095" s="70" t="s">
        <v>29</v>
      </c>
      <c r="C4095" s="10">
        <v>72</v>
      </c>
      <c r="D4095" s="10">
        <v>306</v>
      </c>
      <c r="E4095" s="10" t="s">
        <v>32</v>
      </c>
      <c r="F4095" s="10" t="s">
        <v>198</v>
      </c>
      <c r="G4095" s="10" t="s">
        <v>421</v>
      </c>
    </row>
    <row r="4096" spans="1:16" x14ac:dyDescent="0.35">
      <c r="A4096" s="2">
        <v>42846</v>
      </c>
      <c r="B4096" s="70" t="s">
        <v>29</v>
      </c>
      <c r="C4096" s="10">
        <v>73</v>
      </c>
      <c r="D4096" s="10">
        <v>279</v>
      </c>
      <c r="E4096" s="10" t="s">
        <v>32</v>
      </c>
      <c r="F4096" s="10" t="s">
        <v>198</v>
      </c>
      <c r="I4096" t="s">
        <v>42</v>
      </c>
      <c r="J4096" t="s">
        <v>39</v>
      </c>
      <c r="K4096" t="s">
        <v>40</v>
      </c>
      <c r="L4096" t="s">
        <v>36</v>
      </c>
      <c r="M4096" t="s">
        <v>33</v>
      </c>
      <c r="N4096" t="s">
        <v>34</v>
      </c>
      <c r="O4096" t="s">
        <v>32</v>
      </c>
      <c r="P4096" t="s">
        <v>37</v>
      </c>
    </row>
    <row r="4097" spans="1:18" x14ac:dyDescent="0.35">
      <c r="A4097" s="2">
        <v>42846</v>
      </c>
      <c r="B4097" s="70" t="s">
        <v>29</v>
      </c>
      <c r="C4097" s="10">
        <v>64</v>
      </c>
      <c r="D4097" s="10">
        <v>221</v>
      </c>
      <c r="E4097" s="10" t="s">
        <v>32</v>
      </c>
      <c r="F4097" s="10" t="s">
        <v>198</v>
      </c>
      <c r="I4097" s="5">
        <f>COUNTIF(E4057:E4098,"VA")</f>
        <v>0</v>
      </c>
      <c r="J4097" s="5">
        <f>COUNTIF(E4057:E4098,"VB")</f>
        <v>0</v>
      </c>
      <c r="K4097" s="5">
        <f>COUNTIF(E4046:E4098,"VIA0")</f>
        <v>0</v>
      </c>
      <c r="L4097" s="5">
        <f>COUNTIF(E4046:E4098,"VIA1")</f>
        <v>0</v>
      </c>
      <c r="M4097" s="5">
        <f>COUNTIF(E4047:E4099,"VIA2")</f>
        <v>1</v>
      </c>
      <c r="N4097" s="5">
        <f>COUNTIF(E4046:E4098,"VIA3")</f>
        <v>4</v>
      </c>
      <c r="O4097" s="5">
        <f>COUNTIF(E4046:E4098,"VIA4")</f>
        <v>43</v>
      </c>
      <c r="P4097" s="5">
        <f>COUNTIF(E4046:E4098,"VIB")</f>
        <v>5</v>
      </c>
      <c r="R4097" s="42" t="e">
        <f>AVERAGE(#REF!)</f>
        <v>#REF!</v>
      </c>
    </row>
    <row r="4098" spans="1:18" x14ac:dyDescent="0.35">
      <c r="A4098" s="2">
        <v>42846</v>
      </c>
      <c r="B4098" s="70" t="s">
        <v>29</v>
      </c>
      <c r="C4098" s="10">
        <v>65</v>
      </c>
      <c r="D4098" s="10">
        <v>229</v>
      </c>
      <c r="E4098" s="10" t="s">
        <v>32</v>
      </c>
      <c r="F4098" s="10"/>
      <c r="I4098" s="6">
        <f>I4097/53*100</f>
        <v>0</v>
      </c>
      <c r="J4098" s="6">
        <f t="shared" ref="J4098:P4098" si="128">J4097/53*100</f>
        <v>0</v>
      </c>
      <c r="K4098" s="6">
        <f t="shared" si="128"/>
        <v>0</v>
      </c>
      <c r="L4098" s="6">
        <f t="shared" si="128"/>
        <v>0</v>
      </c>
      <c r="M4098" s="6">
        <f t="shared" si="128"/>
        <v>1.8867924528301887</v>
      </c>
      <c r="N4098" s="6">
        <f t="shared" si="128"/>
        <v>7.5471698113207548</v>
      </c>
      <c r="O4098" s="6">
        <f t="shared" si="128"/>
        <v>81.132075471698116</v>
      </c>
      <c r="P4098" s="6">
        <f t="shared" si="128"/>
        <v>9.433962264150944</v>
      </c>
    </row>
    <row r="4099" spans="1:18" x14ac:dyDescent="0.35">
      <c r="A4099" s="2">
        <v>42846</v>
      </c>
      <c r="B4099" s="70" t="s">
        <v>29</v>
      </c>
      <c r="C4099" s="10">
        <v>138</v>
      </c>
      <c r="D4099" s="10">
        <v>2800</v>
      </c>
      <c r="E4099" s="10" t="s">
        <v>98</v>
      </c>
    </row>
    <row r="4100" spans="1:18" x14ac:dyDescent="0.35">
      <c r="A4100" s="2">
        <v>42846</v>
      </c>
      <c r="B4100" s="70" t="s">
        <v>29</v>
      </c>
      <c r="C4100" s="10">
        <v>88</v>
      </c>
      <c r="D4100" s="10">
        <v>842</v>
      </c>
      <c r="E4100" s="10" t="s">
        <v>98</v>
      </c>
    </row>
    <row r="4101" spans="1:18" x14ac:dyDescent="0.35">
      <c r="A4101" s="2">
        <v>42846</v>
      </c>
      <c r="B4101" s="70" t="s">
        <v>29</v>
      </c>
      <c r="C4101" s="10">
        <v>134</v>
      </c>
      <c r="D4101" s="10">
        <v>3995</v>
      </c>
      <c r="E4101" s="10" t="s">
        <v>98</v>
      </c>
    </row>
    <row r="4102" spans="1:18" x14ac:dyDescent="0.35">
      <c r="A4102" s="2">
        <v>42846</v>
      </c>
      <c r="B4102" s="70" t="s">
        <v>29</v>
      </c>
      <c r="C4102" s="10">
        <v>118</v>
      </c>
      <c r="D4102" s="10">
        <v>2064</v>
      </c>
      <c r="E4102" s="10" t="s">
        <v>98</v>
      </c>
    </row>
    <row r="4103" spans="1:18" x14ac:dyDescent="0.35">
      <c r="A4103" s="2">
        <v>42846</v>
      </c>
      <c r="B4103" s="70" t="s">
        <v>29</v>
      </c>
      <c r="C4103" s="10">
        <v>114</v>
      </c>
      <c r="D4103" s="10">
        <v>1842</v>
      </c>
      <c r="E4103" s="10" t="s">
        <v>98</v>
      </c>
    </row>
    <row r="4104" spans="1:18" s="4" customFormat="1" x14ac:dyDescent="0.35">
      <c r="A4104" s="3">
        <v>42846</v>
      </c>
      <c r="B4104" s="44" t="s">
        <v>29</v>
      </c>
      <c r="C4104" s="11">
        <v>100</v>
      </c>
      <c r="D4104" s="11">
        <v>1156</v>
      </c>
      <c r="E4104" s="11" t="s">
        <v>98</v>
      </c>
      <c r="R4104" s="51" t="e">
        <f>AVERAGE(#REF!)</f>
        <v>#REF!</v>
      </c>
    </row>
    <row r="4105" spans="1:18" x14ac:dyDescent="0.35">
      <c r="A4105" s="2">
        <v>42846</v>
      </c>
      <c r="B4105" s="70" t="s">
        <v>38</v>
      </c>
      <c r="C4105" s="10">
        <v>74</v>
      </c>
      <c r="D4105" s="10">
        <v>311</v>
      </c>
      <c r="E4105" s="10" t="s">
        <v>32</v>
      </c>
    </row>
    <row r="4106" spans="1:18" x14ac:dyDescent="0.35">
      <c r="A4106" s="2">
        <v>42846</v>
      </c>
      <c r="B4106" s="70" t="s">
        <v>38</v>
      </c>
      <c r="C4106" s="8">
        <v>68</v>
      </c>
      <c r="D4106" s="10">
        <v>188</v>
      </c>
      <c r="E4106" s="10" t="s">
        <v>32</v>
      </c>
      <c r="F4106" t="s">
        <v>198</v>
      </c>
      <c r="G4106" t="s">
        <v>423</v>
      </c>
    </row>
    <row r="4107" spans="1:18" x14ac:dyDescent="0.35">
      <c r="A4107" s="2">
        <v>42846</v>
      </c>
      <c r="B4107" s="70" t="s">
        <v>38</v>
      </c>
      <c r="C4107" s="10">
        <v>70</v>
      </c>
      <c r="D4107" s="10">
        <v>306</v>
      </c>
      <c r="E4107" s="10" t="s">
        <v>32</v>
      </c>
      <c r="F4107" t="s">
        <v>198</v>
      </c>
      <c r="G4107" t="s">
        <v>424</v>
      </c>
    </row>
    <row r="4108" spans="1:18" x14ac:dyDescent="0.35">
      <c r="A4108" s="2">
        <v>42846</v>
      </c>
      <c r="B4108" s="70" t="s">
        <v>38</v>
      </c>
      <c r="C4108" s="10">
        <v>60</v>
      </c>
      <c r="D4108" s="10">
        <v>169</v>
      </c>
      <c r="E4108" s="10" t="s">
        <v>32</v>
      </c>
      <c r="F4108" t="s">
        <v>198</v>
      </c>
      <c r="G4108" t="s">
        <v>425</v>
      </c>
    </row>
    <row r="4109" spans="1:18" x14ac:dyDescent="0.35">
      <c r="A4109" s="2">
        <v>42846</v>
      </c>
      <c r="B4109" s="70" t="s">
        <v>38</v>
      </c>
      <c r="C4109" s="10">
        <v>72</v>
      </c>
      <c r="D4109" s="10">
        <v>333</v>
      </c>
      <c r="E4109" s="10" t="s">
        <v>32</v>
      </c>
      <c r="F4109" t="s">
        <v>293</v>
      </c>
    </row>
    <row r="4110" spans="1:18" x14ac:dyDescent="0.35">
      <c r="A4110" s="2">
        <v>42846</v>
      </c>
      <c r="B4110" s="70" t="s">
        <v>38</v>
      </c>
      <c r="C4110" s="10">
        <v>66</v>
      </c>
      <c r="D4110" s="10">
        <v>229</v>
      </c>
      <c r="E4110" s="10" t="s">
        <v>32</v>
      </c>
      <c r="F4110" t="s">
        <v>198</v>
      </c>
      <c r="G4110" t="s">
        <v>426</v>
      </c>
    </row>
    <row r="4111" spans="1:18" x14ac:dyDescent="0.35">
      <c r="A4111" s="2">
        <v>42846</v>
      </c>
      <c r="B4111" s="70" t="s">
        <v>38</v>
      </c>
      <c r="C4111" s="10">
        <v>65</v>
      </c>
      <c r="D4111" s="10">
        <v>195</v>
      </c>
      <c r="E4111" s="10" t="s">
        <v>37</v>
      </c>
      <c r="F4111" t="s">
        <v>198</v>
      </c>
      <c r="G4111" t="s">
        <v>427</v>
      </c>
    </row>
    <row r="4112" spans="1:18" x14ac:dyDescent="0.35">
      <c r="A4112" s="2">
        <v>42846</v>
      </c>
      <c r="B4112" s="70" t="s">
        <v>38</v>
      </c>
      <c r="C4112" s="10">
        <v>71</v>
      </c>
      <c r="D4112" s="10">
        <v>279</v>
      </c>
      <c r="E4112" s="10" t="s">
        <v>32</v>
      </c>
      <c r="F4112" t="s">
        <v>198</v>
      </c>
      <c r="G4112" t="s">
        <v>412</v>
      </c>
    </row>
    <row r="4113" spans="1:7" x14ac:dyDescent="0.35">
      <c r="A4113" s="2">
        <v>42846</v>
      </c>
      <c r="B4113" s="70" t="s">
        <v>38</v>
      </c>
      <c r="C4113" s="10">
        <v>63</v>
      </c>
      <c r="D4113" s="10">
        <v>211</v>
      </c>
      <c r="E4113" s="10" t="s">
        <v>32</v>
      </c>
      <c r="F4113" t="s">
        <v>198</v>
      </c>
    </row>
    <row r="4114" spans="1:7" x14ac:dyDescent="0.35">
      <c r="A4114" s="2">
        <v>42846</v>
      </c>
      <c r="B4114" s="70" t="s">
        <v>38</v>
      </c>
      <c r="C4114" s="10">
        <v>74</v>
      </c>
      <c r="D4114" s="10">
        <v>318</v>
      </c>
      <c r="E4114" s="10" t="s">
        <v>37</v>
      </c>
    </row>
    <row r="4115" spans="1:7" x14ac:dyDescent="0.35">
      <c r="A4115" s="2">
        <v>42846</v>
      </c>
      <c r="B4115" s="70" t="s">
        <v>38</v>
      </c>
      <c r="C4115" s="10">
        <v>70</v>
      </c>
      <c r="D4115" s="10">
        <v>232</v>
      </c>
      <c r="E4115" s="10" t="s">
        <v>32</v>
      </c>
      <c r="F4115" t="s">
        <v>198</v>
      </c>
    </row>
    <row r="4116" spans="1:7" x14ac:dyDescent="0.35">
      <c r="A4116" s="2">
        <v>42846</v>
      </c>
      <c r="B4116" s="70" t="s">
        <v>38</v>
      </c>
      <c r="C4116" s="10">
        <v>63</v>
      </c>
      <c r="D4116" s="10">
        <v>192</v>
      </c>
      <c r="E4116" s="10" t="s">
        <v>37</v>
      </c>
    </row>
    <row r="4117" spans="1:7" x14ac:dyDescent="0.35">
      <c r="A4117" s="2">
        <v>42846</v>
      </c>
      <c r="B4117" s="70" t="s">
        <v>38</v>
      </c>
      <c r="C4117" s="10">
        <v>72</v>
      </c>
      <c r="D4117" s="10">
        <v>347</v>
      </c>
      <c r="E4117" s="10" t="s">
        <v>32</v>
      </c>
    </row>
    <row r="4118" spans="1:7" x14ac:dyDescent="0.35">
      <c r="A4118" s="2">
        <v>42846</v>
      </c>
      <c r="B4118" s="70" t="s">
        <v>38</v>
      </c>
      <c r="C4118" s="10">
        <v>66</v>
      </c>
      <c r="D4118" s="10">
        <v>212</v>
      </c>
      <c r="E4118" s="10" t="s">
        <v>32</v>
      </c>
    </row>
    <row r="4119" spans="1:7" x14ac:dyDescent="0.35">
      <c r="A4119" s="2">
        <v>42846</v>
      </c>
      <c r="B4119" s="70" t="s">
        <v>38</v>
      </c>
      <c r="C4119" s="10">
        <v>72</v>
      </c>
      <c r="D4119" s="10">
        <v>307</v>
      </c>
      <c r="E4119" s="10" t="s">
        <v>32</v>
      </c>
    </row>
    <row r="4120" spans="1:7" x14ac:dyDescent="0.35">
      <c r="A4120" s="2">
        <v>42846</v>
      </c>
      <c r="B4120" s="70" t="s">
        <v>38</v>
      </c>
      <c r="C4120" s="10">
        <v>68</v>
      </c>
      <c r="D4120" s="10">
        <v>253</v>
      </c>
      <c r="E4120" s="10" t="s">
        <v>32</v>
      </c>
      <c r="F4120" t="s">
        <v>198</v>
      </c>
    </row>
    <row r="4121" spans="1:7" x14ac:dyDescent="0.35">
      <c r="A4121" s="2">
        <v>42846</v>
      </c>
      <c r="B4121" s="70" t="s">
        <v>38</v>
      </c>
      <c r="C4121" s="10">
        <v>65</v>
      </c>
      <c r="D4121" s="10">
        <v>168</v>
      </c>
      <c r="E4121" s="10" t="s">
        <v>32</v>
      </c>
      <c r="F4121" t="s">
        <v>198</v>
      </c>
    </row>
    <row r="4122" spans="1:7" x14ac:dyDescent="0.35">
      <c r="A4122" s="2">
        <v>42846</v>
      </c>
      <c r="B4122" s="70" t="s">
        <v>38</v>
      </c>
      <c r="C4122" s="10">
        <v>71</v>
      </c>
      <c r="D4122" s="10">
        <v>248</v>
      </c>
      <c r="E4122" s="10" t="s">
        <v>32</v>
      </c>
      <c r="F4122" t="s">
        <v>198</v>
      </c>
    </row>
    <row r="4123" spans="1:7" x14ac:dyDescent="0.35">
      <c r="A4123" s="2">
        <v>42846</v>
      </c>
      <c r="B4123" s="70" t="s">
        <v>38</v>
      </c>
      <c r="C4123" s="10">
        <v>73</v>
      </c>
      <c r="D4123" s="10">
        <v>335</v>
      </c>
      <c r="E4123" s="10" t="s">
        <v>32</v>
      </c>
    </row>
    <row r="4124" spans="1:7" x14ac:dyDescent="0.35">
      <c r="A4124" s="2">
        <v>42846</v>
      </c>
      <c r="B4124" s="70" t="s">
        <v>38</v>
      </c>
      <c r="C4124" s="10">
        <v>69</v>
      </c>
      <c r="D4124" s="10">
        <v>242</v>
      </c>
      <c r="E4124" s="10" t="s">
        <v>32</v>
      </c>
    </row>
    <row r="4125" spans="1:7" x14ac:dyDescent="0.35">
      <c r="A4125" s="2">
        <v>42846</v>
      </c>
      <c r="B4125" s="70" t="s">
        <v>38</v>
      </c>
      <c r="C4125" s="10">
        <v>68</v>
      </c>
      <c r="D4125" s="10">
        <v>256</v>
      </c>
      <c r="E4125" s="10" t="s">
        <v>32</v>
      </c>
    </row>
    <row r="4126" spans="1:7" x14ac:dyDescent="0.35">
      <c r="A4126" s="2">
        <v>42846</v>
      </c>
      <c r="B4126" s="70" t="s">
        <v>38</v>
      </c>
      <c r="C4126" s="10">
        <v>70</v>
      </c>
      <c r="D4126" s="10">
        <v>258</v>
      </c>
      <c r="E4126" s="10" t="s">
        <v>32</v>
      </c>
      <c r="F4126" t="s">
        <v>198</v>
      </c>
    </row>
    <row r="4127" spans="1:7" x14ac:dyDescent="0.35">
      <c r="A4127" s="2">
        <v>42846</v>
      </c>
      <c r="B4127" s="70" t="s">
        <v>38</v>
      </c>
      <c r="C4127" s="10">
        <v>72</v>
      </c>
      <c r="D4127" s="10">
        <v>277</v>
      </c>
      <c r="E4127" s="10" t="s">
        <v>32</v>
      </c>
    </row>
    <row r="4128" spans="1:7" x14ac:dyDescent="0.35">
      <c r="A4128" s="2">
        <v>42846</v>
      </c>
      <c r="B4128" s="70" t="s">
        <v>38</v>
      </c>
      <c r="C4128" s="10">
        <v>69</v>
      </c>
      <c r="D4128" s="10">
        <v>222</v>
      </c>
      <c r="E4128" s="10" t="s">
        <v>32</v>
      </c>
      <c r="F4128" t="s">
        <v>198</v>
      </c>
      <c r="G4128" t="s">
        <v>413</v>
      </c>
    </row>
    <row r="4129" spans="1:7" x14ac:dyDescent="0.35">
      <c r="A4129" s="2">
        <v>42846</v>
      </c>
      <c r="B4129" s="70" t="s">
        <v>38</v>
      </c>
      <c r="C4129" s="10">
        <v>68</v>
      </c>
      <c r="D4129" s="10">
        <v>286</v>
      </c>
      <c r="E4129" s="10" t="s">
        <v>32</v>
      </c>
      <c r="F4129" t="s">
        <v>198</v>
      </c>
      <c r="G4129" t="s">
        <v>412</v>
      </c>
    </row>
    <row r="4130" spans="1:7" x14ac:dyDescent="0.35">
      <c r="A4130" s="2">
        <v>42846</v>
      </c>
      <c r="B4130" s="70" t="s">
        <v>38</v>
      </c>
      <c r="C4130" s="10">
        <v>65</v>
      </c>
      <c r="D4130" s="10">
        <v>225</v>
      </c>
      <c r="E4130" s="10" t="s">
        <v>32</v>
      </c>
      <c r="F4130" t="s">
        <v>198</v>
      </c>
    </row>
    <row r="4131" spans="1:7" x14ac:dyDescent="0.35">
      <c r="A4131" s="2">
        <v>42846</v>
      </c>
      <c r="B4131" s="70" t="s">
        <v>38</v>
      </c>
      <c r="C4131" s="10">
        <v>67</v>
      </c>
      <c r="D4131" s="10">
        <v>251</v>
      </c>
      <c r="E4131" s="10" t="s">
        <v>34</v>
      </c>
    </row>
    <row r="4132" spans="1:7" x14ac:dyDescent="0.35">
      <c r="A4132" s="2">
        <v>42846</v>
      </c>
      <c r="B4132" s="70" t="s">
        <v>38</v>
      </c>
      <c r="C4132" s="10">
        <v>66</v>
      </c>
      <c r="D4132" s="10">
        <v>222</v>
      </c>
      <c r="E4132" s="10" t="s">
        <v>34</v>
      </c>
    </row>
    <row r="4133" spans="1:7" x14ac:dyDescent="0.35">
      <c r="A4133" s="2">
        <v>42846</v>
      </c>
      <c r="B4133" s="70" t="s">
        <v>38</v>
      </c>
      <c r="C4133" s="10">
        <v>72</v>
      </c>
      <c r="D4133" s="10">
        <v>325</v>
      </c>
      <c r="E4133" s="10" t="s">
        <v>32</v>
      </c>
      <c r="F4133" t="s">
        <v>198</v>
      </c>
    </row>
    <row r="4134" spans="1:7" x14ac:dyDescent="0.35">
      <c r="A4134" s="2">
        <v>42846</v>
      </c>
      <c r="B4134" s="70" t="s">
        <v>38</v>
      </c>
      <c r="C4134" s="10">
        <v>67</v>
      </c>
      <c r="D4134" s="10">
        <v>183</v>
      </c>
      <c r="E4134" s="10" t="s">
        <v>32</v>
      </c>
      <c r="F4134" t="s">
        <v>198</v>
      </c>
    </row>
    <row r="4135" spans="1:7" x14ac:dyDescent="0.35">
      <c r="A4135" s="2">
        <v>42846</v>
      </c>
      <c r="B4135" s="70" t="s">
        <v>38</v>
      </c>
      <c r="C4135" s="10">
        <v>70</v>
      </c>
      <c r="D4135" s="10">
        <v>212</v>
      </c>
      <c r="E4135" s="10" t="s">
        <v>37</v>
      </c>
      <c r="F4135" t="s">
        <v>198</v>
      </c>
    </row>
    <row r="4136" spans="1:7" x14ac:dyDescent="0.35">
      <c r="A4136" s="2">
        <v>42846</v>
      </c>
      <c r="B4136" s="70" t="s">
        <v>38</v>
      </c>
      <c r="C4136" s="10">
        <v>70</v>
      </c>
      <c r="D4136" s="10">
        <v>267</v>
      </c>
      <c r="E4136" s="10" t="s">
        <v>37</v>
      </c>
      <c r="F4136" t="s">
        <v>198</v>
      </c>
    </row>
    <row r="4137" spans="1:7" x14ac:dyDescent="0.35">
      <c r="A4137" s="2">
        <v>42846</v>
      </c>
      <c r="B4137" s="70" t="s">
        <v>38</v>
      </c>
      <c r="C4137" s="10">
        <v>67</v>
      </c>
      <c r="D4137" s="10">
        <v>235</v>
      </c>
      <c r="E4137" s="10" t="s">
        <v>32</v>
      </c>
      <c r="F4137" t="s">
        <v>198</v>
      </c>
    </row>
    <row r="4138" spans="1:7" x14ac:dyDescent="0.35">
      <c r="A4138" s="2">
        <v>42846</v>
      </c>
      <c r="B4138" s="70" t="s">
        <v>38</v>
      </c>
      <c r="C4138" s="10">
        <v>64</v>
      </c>
      <c r="D4138" s="10">
        <v>190</v>
      </c>
      <c r="E4138" s="10" t="s">
        <v>32</v>
      </c>
      <c r="F4138" t="s">
        <v>198</v>
      </c>
    </row>
    <row r="4139" spans="1:7" x14ac:dyDescent="0.35">
      <c r="A4139" s="2">
        <v>42846</v>
      </c>
      <c r="B4139" s="70" t="s">
        <v>38</v>
      </c>
      <c r="C4139" s="10">
        <v>62</v>
      </c>
      <c r="D4139" s="10">
        <v>205</v>
      </c>
      <c r="E4139" s="10" t="s">
        <v>32</v>
      </c>
      <c r="F4139" t="s">
        <v>198</v>
      </c>
    </row>
    <row r="4140" spans="1:7" x14ac:dyDescent="0.35">
      <c r="A4140" s="2">
        <v>42846</v>
      </c>
      <c r="B4140" s="70" t="s">
        <v>38</v>
      </c>
      <c r="C4140" s="10">
        <v>68</v>
      </c>
      <c r="D4140" s="10">
        <v>270</v>
      </c>
      <c r="E4140" s="10" t="s">
        <v>32</v>
      </c>
      <c r="F4140" t="s">
        <v>198</v>
      </c>
    </row>
    <row r="4141" spans="1:7" x14ac:dyDescent="0.35">
      <c r="A4141" s="2">
        <v>42846</v>
      </c>
      <c r="B4141" s="70" t="s">
        <v>38</v>
      </c>
      <c r="C4141" s="10">
        <v>65</v>
      </c>
      <c r="D4141" s="10">
        <v>241</v>
      </c>
      <c r="E4141" s="10" t="s">
        <v>34</v>
      </c>
    </row>
    <row r="4142" spans="1:7" x14ac:dyDescent="0.35">
      <c r="A4142" s="2">
        <v>42846</v>
      </c>
      <c r="B4142" s="70" t="s">
        <v>38</v>
      </c>
      <c r="C4142" s="10">
        <v>69</v>
      </c>
      <c r="D4142" s="10">
        <v>225</v>
      </c>
      <c r="E4142" s="10" t="s">
        <v>32</v>
      </c>
      <c r="F4142" t="s">
        <v>198</v>
      </c>
    </row>
    <row r="4143" spans="1:7" x14ac:dyDescent="0.35">
      <c r="A4143" s="2">
        <v>42846</v>
      </c>
      <c r="B4143" s="70" t="s">
        <v>38</v>
      </c>
      <c r="C4143" s="10">
        <v>68</v>
      </c>
      <c r="D4143" s="10">
        <v>211</v>
      </c>
      <c r="E4143" s="10" t="s">
        <v>32</v>
      </c>
      <c r="F4143" t="s">
        <v>198</v>
      </c>
      <c r="G4143" t="s">
        <v>412</v>
      </c>
    </row>
    <row r="4144" spans="1:7" x14ac:dyDescent="0.35">
      <c r="A4144" s="2">
        <v>42846</v>
      </c>
      <c r="B4144" s="70" t="s">
        <v>38</v>
      </c>
      <c r="C4144" s="10">
        <v>68</v>
      </c>
      <c r="D4144" s="10">
        <v>247</v>
      </c>
      <c r="E4144" s="10" t="s">
        <v>32</v>
      </c>
    </row>
    <row r="4145" spans="1:21" x14ac:dyDescent="0.35">
      <c r="A4145" s="2">
        <v>42846</v>
      </c>
      <c r="B4145" s="70" t="s">
        <v>38</v>
      </c>
      <c r="C4145" s="10">
        <v>66</v>
      </c>
      <c r="D4145" s="10">
        <v>158</v>
      </c>
      <c r="E4145" s="10" t="s">
        <v>32</v>
      </c>
      <c r="F4145" t="s">
        <v>198</v>
      </c>
    </row>
    <row r="4146" spans="1:21" x14ac:dyDescent="0.35">
      <c r="A4146" s="2">
        <v>42846</v>
      </c>
      <c r="B4146" s="70" t="s">
        <v>38</v>
      </c>
      <c r="C4146" s="10">
        <v>65</v>
      </c>
      <c r="D4146" s="10">
        <v>220</v>
      </c>
      <c r="E4146" s="10" t="s">
        <v>32</v>
      </c>
      <c r="F4146" t="s">
        <v>198</v>
      </c>
    </row>
    <row r="4147" spans="1:21" x14ac:dyDescent="0.35">
      <c r="A4147" s="2">
        <v>42846</v>
      </c>
      <c r="B4147" s="70" t="s">
        <v>38</v>
      </c>
      <c r="C4147" s="10">
        <v>64</v>
      </c>
      <c r="D4147" s="10">
        <v>213</v>
      </c>
      <c r="E4147" s="10" t="s">
        <v>32</v>
      </c>
      <c r="F4147" t="s">
        <v>198</v>
      </c>
    </row>
    <row r="4148" spans="1:21" x14ac:dyDescent="0.35">
      <c r="A4148" s="2">
        <v>42846</v>
      </c>
      <c r="B4148" s="70" t="s">
        <v>38</v>
      </c>
      <c r="C4148" s="10">
        <v>73</v>
      </c>
      <c r="D4148" s="10">
        <v>285</v>
      </c>
      <c r="E4148" s="10" t="s">
        <v>32</v>
      </c>
      <c r="F4148" t="s">
        <v>198</v>
      </c>
      <c r="G4148" t="s">
        <v>420</v>
      </c>
    </row>
    <row r="4149" spans="1:21" x14ac:dyDescent="0.35">
      <c r="A4149" s="2">
        <v>42846</v>
      </c>
      <c r="B4149" s="70" t="s">
        <v>38</v>
      </c>
      <c r="C4149" s="10">
        <v>67</v>
      </c>
      <c r="D4149" s="10">
        <v>250</v>
      </c>
      <c r="E4149" s="10" t="s">
        <v>32</v>
      </c>
    </row>
    <row r="4150" spans="1:21" x14ac:dyDescent="0.35">
      <c r="A4150" s="2">
        <v>42846</v>
      </c>
      <c r="B4150" s="70" t="s">
        <v>38</v>
      </c>
      <c r="C4150" s="10">
        <v>77</v>
      </c>
      <c r="D4150" s="10">
        <v>311</v>
      </c>
      <c r="E4150" s="10" t="s">
        <v>32</v>
      </c>
    </row>
    <row r="4151" spans="1:21" x14ac:dyDescent="0.35">
      <c r="A4151" s="2">
        <v>42846</v>
      </c>
      <c r="B4151" s="70" t="s">
        <v>38</v>
      </c>
      <c r="C4151" s="10">
        <v>64</v>
      </c>
      <c r="D4151" s="10">
        <v>228</v>
      </c>
      <c r="E4151" s="10" t="s">
        <v>37</v>
      </c>
      <c r="F4151" t="s">
        <v>198</v>
      </c>
    </row>
    <row r="4152" spans="1:21" x14ac:dyDescent="0.35">
      <c r="A4152" s="2">
        <v>42846</v>
      </c>
      <c r="B4152" s="70" t="s">
        <v>38</v>
      </c>
      <c r="C4152" s="10">
        <v>67</v>
      </c>
      <c r="D4152" s="10">
        <v>222</v>
      </c>
      <c r="E4152" s="10" t="s">
        <v>32</v>
      </c>
    </row>
    <row r="4153" spans="1:21" x14ac:dyDescent="0.35">
      <c r="A4153" s="2">
        <v>42846</v>
      </c>
      <c r="B4153" s="70" t="s">
        <v>38</v>
      </c>
      <c r="C4153" s="10">
        <v>72</v>
      </c>
      <c r="D4153" s="10">
        <v>294</v>
      </c>
      <c r="E4153" s="10" t="s">
        <v>32</v>
      </c>
      <c r="F4153" t="s">
        <v>198</v>
      </c>
    </row>
    <row r="4154" spans="1:21" x14ac:dyDescent="0.35">
      <c r="A4154" s="2">
        <v>42846</v>
      </c>
      <c r="B4154" s="70" t="s">
        <v>38</v>
      </c>
      <c r="C4154" s="10">
        <v>72</v>
      </c>
      <c r="D4154" s="10">
        <v>258</v>
      </c>
      <c r="E4154" s="10" t="s">
        <v>32</v>
      </c>
      <c r="F4154" t="s">
        <v>198</v>
      </c>
    </row>
    <row r="4155" spans="1:21" x14ac:dyDescent="0.35">
      <c r="A4155" s="2">
        <v>42846</v>
      </c>
      <c r="B4155" s="70" t="s">
        <v>38</v>
      </c>
      <c r="C4155" s="10">
        <v>101</v>
      </c>
      <c r="D4155" s="10">
        <v>1121</v>
      </c>
      <c r="E4155" s="10" t="s">
        <v>98</v>
      </c>
    </row>
    <row r="4156" spans="1:21" x14ac:dyDescent="0.35">
      <c r="A4156" s="2">
        <v>42846</v>
      </c>
      <c r="B4156" s="70" t="s">
        <v>38</v>
      </c>
      <c r="C4156" s="10">
        <v>112</v>
      </c>
      <c r="D4156" s="10">
        <v>1999</v>
      </c>
      <c r="E4156" s="10" t="s">
        <v>98</v>
      </c>
      <c r="G4156" t="s">
        <v>428</v>
      </c>
      <c r="J4156" t="s">
        <v>42</v>
      </c>
      <c r="K4156" t="s">
        <v>39</v>
      </c>
      <c r="L4156" t="s">
        <v>40</v>
      </c>
      <c r="M4156" t="s">
        <v>36</v>
      </c>
      <c r="N4156" t="s">
        <v>33</v>
      </c>
      <c r="O4156" t="s">
        <v>34</v>
      </c>
      <c r="P4156" t="s">
        <v>32</v>
      </c>
      <c r="Q4156" t="s">
        <v>37</v>
      </c>
    </row>
    <row r="4157" spans="1:21" x14ac:dyDescent="0.35">
      <c r="A4157" s="2">
        <v>42846</v>
      </c>
      <c r="B4157" s="70" t="s">
        <v>38</v>
      </c>
      <c r="C4157" s="10">
        <v>103</v>
      </c>
      <c r="D4157" s="10">
        <v>1318</v>
      </c>
      <c r="E4157" s="10" t="s">
        <v>98</v>
      </c>
      <c r="J4157" s="5">
        <f>COUNTIF(E4046:E4158,"VA")</f>
        <v>0</v>
      </c>
      <c r="K4157" s="5">
        <f>COUNTIF(F4046:F4158,"VA")</f>
        <v>0</v>
      </c>
      <c r="L4157" s="5">
        <f t="shared" ref="L4157" si="129">COUNTIF(G4046:G4158,"VA")</f>
        <v>0</v>
      </c>
      <c r="M4157" s="5">
        <f>COUNTIF(E4046:E4158,"VIA1")</f>
        <v>0</v>
      </c>
      <c r="N4157" s="5">
        <f>COUNTIF(E4046:E4158,"VIA2")</f>
        <v>1</v>
      </c>
      <c r="O4157" s="5">
        <f>COUNTIF(E4046:E4158,"VIA3")</f>
        <v>7</v>
      </c>
      <c r="P4157" s="5">
        <f>COUNTIF(E4046:E4158,"VIA4")</f>
        <v>84</v>
      </c>
      <c r="Q4157" s="5">
        <f>COUNTIF(E4046:E4158,"VIB")</f>
        <v>11</v>
      </c>
      <c r="S4157" s="42" t="e">
        <f>AVERAGE(#REF!)</f>
        <v>#REF!</v>
      </c>
      <c r="U4157" s="42" t="e">
        <f>AVERAGE(#REF!,#REF!)</f>
        <v>#REF!</v>
      </c>
    </row>
    <row r="4158" spans="1:21" x14ac:dyDescent="0.35">
      <c r="A4158" s="2">
        <v>42846</v>
      </c>
      <c r="B4158" s="70" t="s">
        <v>38</v>
      </c>
      <c r="C4158" s="10">
        <v>147</v>
      </c>
      <c r="D4158" s="10">
        <v>3498</v>
      </c>
      <c r="E4158" s="10" t="s">
        <v>98</v>
      </c>
      <c r="J4158" s="6">
        <f>J4157/103*100</f>
        <v>0</v>
      </c>
      <c r="K4158" s="6">
        <f t="shared" ref="K4158:Q4158" si="130">K4157/103*100</f>
        <v>0</v>
      </c>
      <c r="L4158" s="6">
        <f t="shared" si="130"/>
        <v>0</v>
      </c>
      <c r="M4158" s="6">
        <f t="shared" si="130"/>
        <v>0</v>
      </c>
      <c r="N4158" s="6">
        <f t="shared" si="130"/>
        <v>0.97087378640776689</v>
      </c>
      <c r="O4158" s="6">
        <f t="shared" si="130"/>
        <v>6.7961165048543686</v>
      </c>
      <c r="P4158" s="6">
        <f t="shared" si="130"/>
        <v>81.553398058252426</v>
      </c>
      <c r="Q4158" s="6">
        <f t="shared" si="130"/>
        <v>10.679611650485436</v>
      </c>
    </row>
    <row r="4159" spans="1:21" s="4" customFormat="1" x14ac:dyDescent="0.35">
      <c r="A4159" s="3">
        <v>42846</v>
      </c>
      <c r="B4159" s="44" t="s">
        <v>38</v>
      </c>
      <c r="C4159" s="11">
        <v>100</v>
      </c>
      <c r="D4159" s="11">
        <v>1261</v>
      </c>
      <c r="E4159" s="11" t="s">
        <v>98</v>
      </c>
    </row>
    <row r="4160" spans="1:21" x14ac:dyDescent="0.35">
      <c r="A4160" s="2">
        <v>42846</v>
      </c>
      <c r="B4160" s="70" t="s">
        <v>63</v>
      </c>
      <c r="C4160" s="10">
        <v>114</v>
      </c>
      <c r="D4160" s="10">
        <v>2034</v>
      </c>
      <c r="E4160" s="10" t="s">
        <v>98</v>
      </c>
    </row>
    <row r="4161" spans="1:8" x14ac:dyDescent="0.35">
      <c r="A4161" s="2">
        <v>42846</v>
      </c>
      <c r="B4161" s="70" t="s">
        <v>63</v>
      </c>
      <c r="C4161" s="10">
        <v>116</v>
      </c>
      <c r="D4161" s="10">
        <v>2339</v>
      </c>
      <c r="E4161" s="10" t="s">
        <v>98</v>
      </c>
    </row>
    <row r="4162" spans="1:8" x14ac:dyDescent="0.35">
      <c r="A4162" s="2">
        <v>42846</v>
      </c>
      <c r="B4162" s="70" t="s">
        <v>63</v>
      </c>
      <c r="C4162" s="10">
        <v>91</v>
      </c>
      <c r="D4162" s="10">
        <v>788</v>
      </c>
      <c r="E4162" s="10" t="s">
        <v>98</v>
      </c>
    </row>
    <row r="4163" spans="1:8" x14ac:dyDescent="0.35">
      <c r="A4163" s="2">
        <v>42846</v>
      </c>
      <c r="B4163" s="70" t="s">
        <v>63</v>
      </c>
      <c r="C4163" s="10">
        <v>71</v>
      </c>
      <c r="D4163" s="10">
        <v>322</v>
      </c>
      <c r="E4163" s="10" t="s">
        <v>32</v>
      </c>
    </row>
    <row r="4164" spans="1:8" x14ac:dyDescent="0.35">
      <c r="A4164" s="2">
        <v>42846</v>
      </c>
      <c r="B4164" s="70" t="s">
        <v>63</v>
      </c>
      <c r="C4164" s="10">
        <v>69</v>
      </c>
      <c r="D4164" s="10">
        <v>239</v>
      </c>
      <c r="E4164" s="10" t="s">
        <v>37</v>
      </c>
      <c r="F4164" t="s">
        <v>198</v>
      </c>
      <c r="G4164" t="s">
        <v>412</v>
      </c>
      <c r="H4164" t="s">
        <v>429</v>
      </c>
    </row>
    <row r="4165" spans="1:8" x14ac:dyDescent="0.35">
      <c r="A4165" s="2">
        <v>42846</v>
      </c>
      <c r="B4165" s="70" t="s">
        <v>63</v>
      </c>
      <c r="C4165" s="10">
        <v>67</v>
      </c>
      <c r="D4165" s="10">
        <v>300</v>
      </c>
      <c r="E4165" s="10" t="s">
        <v>32</v>
      </c>
      <c r="F4165" t="s">
        <v>198</v>
      </c>
      <c r="H4165" t="s">
        <v>430</v>
      </c>
    </row>
    <row r="4166" spans="1:8" x14ac:dyDescent="0.35">
      <c r="A4166" s="2">
        <v>42846</v>
      </c>
      <c r="B4166" s="70" t="s">
        <v>63</v>
      </c>
      <c r="C4166" s="10">
        <v>69</v>
      </c>
      <c r="D4166" s="10">
        <v>305</v>
      </c>
      <c r="E4166" s="10" t="s">
        <v>32</v>
      </c>
      <c r="F4166" t="s">
        <v>198</v>
      </c>
      <c r="H4166" t="s">
        <v>431</v>
      </c>
    </row>
    <row r="4167" spans="1:8" x14ac:dyDescent="0.35">
      <c r="A4167" s="2">
        <v>42846</v>
      </c>
      <c r="B4167" s="70" t="s">
        <v>63</v>
      </c>
      <c r="C4167" s="10">
        <v>65</v>
      </c>
      <c r="D4167" s="10">
        <v>227</v>
      </c>
      <c r="E4167" s="10" t="s">
        <v>34</v>
      </c>
      <c r="F4167" t="s">
        <v>198</v>
      </c>
      <c r="H4167" t="s">
        <v>432</v>
      </c>
    </row>
    <row r="4168" spans="1:8" x14ac:dyDescent="0.35">
      <c r="A4168" s="2">
        <v>42846</v>
      </c>
      <c r="B4168" s="70" t="s">
        <v>63</v>
      </c>
      <c r="C4168" s="10">
        <v>70</v>
      </c>
      <c r="D4168" s="10">
        <v>296</v>
      </c>
      <c r="E4168" s="10" t="s">
        <v>32</v>
      </c>
      <c r="F4168" t="s">
        <v>198</v>
      </c>
      <c r="H4168" t="s">
        <v>433</v>
      </c>
    </row>
    <row r="4169" spans="1:8" x14ac:dyDescent="0.35">
      <c r="A4169" s="2">
        <v>42846</v>
      </c>
      <c r="B4169" s="70" t="s">
        <v>63</v>
      </c>
      <c r="C4169" s="10">
        <v>65</v>
      </c>
      <c r="D4169" s="10">
        <v>263</v>
      </c>
      <c r="E4169" s="10" t="s">
        <v>32</v>
      </c>
      <c r="F4169" t="s">
        <v>198</v>
      </c>
    </row>
    <row r="4170" spans="1:8" x14ac:dyDescent="0.35">
      <c r="A4170" s="2">
        <v>42846</v>
      </c>
      <c r="B4170" s="70" t="s">
        <v>63</v>
      </c>
      <c r="C4170" s="10">
        <v>70</v>
      </c>
      <c r="D4170" s="10">
        <v>282</v>
      </c>
      <c r="E4170" s="10" t="s">
        <v>32</v>
      </c>
      <c r="F4170" t="s">
        <v>198</v>
      </c>
    </row>
    <row r="4171" spans="1:8" x14ac:dyDescent="0.35">
      <c r="A4171" s="2">
        <v>42846</v>
      </c>
      <c r="B4171" s="70" t="s">
        <v>63</v>
      </c>
      <c r="C4171" s="10">
        <v>64</v>
      </c>
      <c r="D4171" s="10">
        <v>219</v>
      </c>
      <c r="E4171" s="10" t="s">
        <v>34</v>
      </c>
      <c r="F4171" t="s">
        <v>198</v>
      </c>
    </row>
    <row r="4172" spans="1:8" x14ac:dyDescent="0.35">
      <c r="A4172" s="2">
        <v>42846</v>
      </c>
      <c r="B4172" s="70" t="s">
        <v>63</v>
      </c>
      <c r="C4172" s="10">
        <v>60</v>
      </c>
      <c r="D4172" s="10">
        <v>112</v>
      </c>
      <c r="E4172" s="10" t="s">
        <v>32</v>
      </c>
    </row>
    <row r="4173" spans="1:8" x14ac:dyDescent="0.35">
      <c r="A4173" s="2">
        <v>42846</v>
      </c>
      <c r="B4173" s="70" t="s">
        <v>63</v>
      </c>
      <c r="C4173" s="10">
        <v>65</v>
      </c>
      <c r="D4173" s="10">
        <v>222</v>
      </c>
      <c r="E4173" s="10" t="s">
        <v>32</v>
      </c>
      <c r="F4173" t="s">
        <v>293</v>
      </c>
    </row>
    <row r="4174" spans="1:8" s="4" customFormat="1" x14ac:dyDescent="0.35">
      <c r="A4174" s="3">
        <v>42846</v>
      </c>
      <c r="B4174" s="44" t="s">
        <v>63</v>
      </c>
      <c r="C4174" s="11">
        <v>64</v>
      </c>
      <c r="D4174" s="11">
        <v>247</v>
      </c>
      <c r="E4174" s="11" t="s">
        <v>32</v>
      </c>
      <c r="F4174" s="4" t="s">
        <v>198</v>
      </c>
      <c r="G4174" s="4" t="s">
        <v>413</v>
      </c>
    </row>
    <row r="4175" spans="1:8" x14ac:dyDescent="0.35">
      <c r="A4175" s="2">
        <v>42846</v>
      </c>
      <c r="B4175" s="70" t="s">
        <v>66</v>
      </c>
      <c r="C4175" s="10">
        <v>102</v>
      </c>
      <c r="D4175" s="10">
        <v>1616</v>
      </c>
      <c r="E4175" s="10" t="s">
        <v>98</v>
      </c>
    </row>
    <row r="4176" spans="1:8" x14ac:dyDescent="0.35">
      <c r="A4176" s="2">
        <v>42846</v>
      </c>
      <c r="B4176" s="70" t="s">
        <v>66</v>
      </c>
      <c r="C4176" s="10">
        <v>96</v>
      </c>
      <c r="D4176" s="10">
        <v>1077</v>
      </c>
      <c r="E4176" s="10" t="s">
        <v>98</v>
      </c>
    </row>
    <row r="4177" spans="1:7" x14ac:dyDescent="0.35">
      <c r="A4177" s="2">
        <v>42846</v>
      </c>
      <c r="B4177" s="70" t="s">
        <v>66</v>
      </c>
      <c r="C4177" s="10">
        <v>120</v>
      </c>
      <c r="D4177" s="10">
        <v>2418</v>
      </c>
      <c r="E4177" s="10" t="s">
        <v>98</v>
      </c>
    </row>
    <row r="4178" spans="1:7" x14ac:dyDescent="0.35">
      <c r="A4178" s="2">
        <v>42846</v>
      </c>
      <c r="B4178" s="70" t="s">
        <v>66</v>
      </c>
      <c r="C4178" s="10">
        <v>107</v>
      </c>
      <c r="D4178" s="10">
        <v>1874</v>
      </c>
      <c r="E4178" s="10" t="s">
        <v>98</v>
      </c>
    </row>
    <row r="4179" spans="1:7" x14ac:dyDescent="0.35">
      <c r="A4179" s="2">
        <v>42846</v>
      </c>
      <c r="B4179" s="70" t="s">
        <v>66</v>
      </c>
      <c r="C4179" s="10">
        <v>157</v>
      </c>
      <c r="D4179" s="10">
        <v>5456</v>
      </c>
      <c r="E4179" s="10" t="s">
        <v>98</v>
      </c>
    </row>
    <row r="4180" spans="1:7" x14ac:dyDescent="0.35">
      <c r="A4180" s="2">
        <v>42846</v>
      </c>
      <c r="B4180" s="70" t="s">
        <v>66</v>
      </c>
      <c r="C4180" s="10">
        <v>95</v>
      </c>
      <c r="D4180" s="10">
        <v>1229</v>
      </c>
      <c r="E4180" s="10" t="s">
        <v>98</v>
      </c>
    </row>
    <row r="4181" spans="1:7" x14ac:dyDescent="0.35">
      <c r="A4181" s="2">
        <v>42846</v>
      </c>
      <c r="B4181" s="70" t="s">
        <v>66</v>
      </c>
      <c r="C4181" s="10">
        <v>105</v>
      </c>
      <c r="D4181" s="10">
        <v>1550</v>
      </c>
      <c r="E4181" s="10" t="s">
        <v>98</v>
      </c>
    </row>
    <row r="4182" spans="1:7" x14ac:dyDescent="0.35">
      <c r="A4182" s="2">
        <v>42846</v>
      </c>
      <c r="B4182" s="70" t="s">
        <v>66</v>
      </c>
      <c r="C4182" s="10">
        <v>101</v>
      </c>
      <c r="D4182" s="10">
        <v>1499</v>
      </c>
      <c r="E4182" s="10" t="s">
        <v>98</v>
      </c>
    </row>
    <row r="4183" spans="1:7" x14ac:dyDescent="0.35">
      <c r="A4183" s="2">
        <v>42846</v>
      </c>
      <c r="B4183" s="70" t="s">
        <v>66</v>
      </c>
      <c r="C4183" s="10">
        <v>141</v>
      </c>
      <c r="D4183" s="10">
        <v>3206</v>
      </c>
      <c r="E4183" s="10" t="s">
        <v>98</v>
      </c>
    </row>
    <row r="4184" spans="1:7" x14ac:dyDescent="0.35">
      <c r="A4184" s="2">
        <v>42846</v>
      </c>
      <c r="B4184" s="70" t="s">
        <v>66</v>
      </c>
      <c r="C4184" s="10">
        <v>104</v>
      </c>
      <c r="D4184" s="10">
        <v>1475</v>
      </c>
      <c r="E4184" s="10" t="s">
        <v>98</v>
      </c>
    </row>
    <row r="4185" spans="1:7" x14ac:dyDescent="0.35">
      <c r="A4185" s="2">
        <v>42846</v>
      </c>
      <c r="B4185" s="70" t="s">
        <v>66</v>
      </c>
      <c r="C4185" s="10">
        <v>69</v>
      </c>
      <c r="D4185" s="10">
        <v>297</v>
      </c>
      <c r="E4185" s="10" t="s">
        <v>37</v>
      </c>
      <c r="F4185" t="s">
        <v>198</v>
      </c>
    </row>
    <row r="4186" spans="1:7" x14ac:dyDescent="0.35">
      <c r="A4186" s="2">
        <v>42846</v>
      </c>
      <c r="B4186" s="70" t="s">
        <v>66</v>
      </c>
      <c r="C4186" s="10">
        <v>70</v>
      </c>
      <c r="D4186" s="10">
        <v>326</v>
      </c>
      <c r="E4186" s="10" t="s">
        <v>32</v>
      </c>
    </row>
    <row r="4187" spans="1:7" x14ac:dyDescent="0.35">
      <c r="A4187" s="2">
        <v>42846</v>
      </c>
      <c r="B4187" s="70" t="s">
        <v>66</v>
      </c>
      <c r="C4187" s="10">
        <v>68</v>
      </c>
      <c r="D4187" s="10">
        <v>227</v>
      </c>
      <c r="E4187" s="10" t="s">
        <v>37</v>
      </c>
      <c r="F4187" t="s">
        <v>198</v>
      </c>
    </row>
    <row r="4188" spans="1:7" x14ac:dyDescent="0.35">
      <c r="A4188" s="2">
        <v>42846</v>
      </c>
      <c r="B4188" s="70" t="s">
        <v>66</v>
      </c>
      <c r="C4188" s="10">
        <v>67</v>
      </c>
      <c r="D4188" s="10">
        <v>185</v>
      </c>
      <c r="E4188" s="10" t="s">
        <v>32</v>
      </c>
      <c r="F4188" t="s">
        <v>198</v>
      </c>
    </row>
    <row r="4189" spans="1:7" x14ac:dyDescent="0.35">
      <c r="A4189" s="2">
        <v>42846</v>
      </c>
      <c r="B4189" s="70" t="s">
        <v>66</v>
      </c>
      <c r="C4189" s="10">
        <v>71</v>
      </c>
      <c r="D4189" s="10">
        <v>304</v>
      </c>
      <c r="E4189" s="10" t="s">
        <v>32</v>
      </c>
    </row>
    <row r="4190" spans="1:7" x14ac:dyDescent="0.35">
      <c r="A4190" s="2">
        <v>42846</v>
      </c>
      <c r="B4190" s="70" t="s">
        <v>66</v>
      </c>
      <c r="C4190" s="10">
        <v>69</v>
      </c>
      <c r="D4190" s="10">
        <v>263</v>
      </c>
      <c r="E4190" s="10" t="s">
        <v>37</v>
      </c>
      <c r="F4190" t="s">
        <v>198</v>
      </c>
    </row>
    <row r="4191" spans="1:7" x14ac:dyDescent="0.35">
      <c r="A4191" s="2">
        <v>42846</v>
      </c>
      <c r="B4191" s="70" t="s">
        <v>66</v>
      </c>
      <c r="C4191" s="10">
        <v>68</v>
      </c>
      <c r="D4191" s="10">
        <v>246</v>
      </c>
      <c r="E4191" s="10" t="s">
        <v>37</v>
      </c>
    </row>
    <row r="4192" spans="1:7" x14ac:dyDescent="0.35">
      <c r="A4192" s="2">
        <v>42846</v>
      </c>
      <c r="B4192" s="70" t="s">
        <v>66</v>
      </c>
      <c r="C4192" s="10">
        <v>67</v>
      </c>
      <c r="D4192" s="10">
        <v>226</v>
      </c>
      <c r="E4192" s="10" t="s">
        <v>32</v>
      </c>
      <c r="F4192" t="s">
        <v>198</v>
      </c>
      <c r="G4192" t="s">
        <v>412</v>
      </c>
    </row>
    <row r="4193" spans="1:7" x14ac:dyDescent="0.35">
      <c r="A4193" s="2">
        <v>42846</v>
      </c>
      <c r="B4193" s="70" t="s">
        <v>66</v>
      </c>
      <c r="C4193" s="10">
        <v>67</v>
      </c>
      <c r="D4193" s="10">
        <v>199</v>
      </c>
      <c r="E4193" s="10" t="s">
        <v>32</v>
      </c>
      <c r="F4193" t="s">
        <v>198</v>
      </c>
    </row>
    <row r="4194" spans="1:7" x14ac:dyDescent="0.35">
      <c r="A4194" s="2">
        <v>42846</v>
      </c>
      <c r="B4194" s="70" t="s">
        <v>66</v>
      </c>
      <c r="C4194" s="10">
        <v>64</v>
      </c>
      <c r="D4194" s="10">
        <v>227</v>
      </c>
      <c r="E4194" s="10" t="s">
        <v>32</v>
      </c>
      <c r="F4194" t="s">
        <v>198</v>
      </c>
    </row>
    <row r="4195" spans="1:7" x14ac:dyDescent="0.35">
      <c r="A4195" s="2">
        <v>42846</v>
      </c>
      <c r="B4195" s="70" t="s">
        <v>66</v>
      </c>
      <c r="C4195" s="10">
        <v>73</v>
      </c>
      <c r="D4195" s="10">
        <v>270</v>
      </c>
      <c r="E4195" s="10" t="s">
        <v>32</v>
      </c>
      <c r="F4195" t="s">
        <v>198</v>
      </c>
    </row>
    <row r="4196" spans="1:7" x14ac:dyDescent="0.35">
      <c r="A4196" s="2">
        <v>42846</v>
      </c>
      <c r="B4196" s="70" t="s">
        <v>66</v>
      </c>
      <c r="C4196" s="10">
        <v>67</v>
      </c>
      <c r="D4196" s="10">
        <v>225</v>
      </c>
      <c r="E4196" s="10" t="s">
        <v>32</v>
      </c>
      <c r="F4196" t="s">
        <v>198</v>
      </c>
    </row>
    <row r="4197" spans="1:7" s="4" customFormat="1" x14ac:dyDescent="0.35">
      <c r="A4197" s="3">
        <v>42846</v>
      </c>
      <c r="B4197" s="44" t="s">
        <v>66</v>
      </c>
      <c r="C4197" s="11">
        <v>68</v>
      </c>
      <c r="D4197" s="11">
        <v>228</v>
      </c>
      <c r="E4197" s="11" t="s">
        <v>32</v>
      </c>
      <c r="F4197" s="4" t="s">
        <v>198</v>
      </c>
    </row>
    <row r="4198" spans="1:7" s="22" customFormat="1" x14ac:dyDescent="0.35">
      <c r="A4198" s="19">
        <v>42846</v>
      </c>
      <c r="B4198" s="71" t="s">
        <v>103</v>
      </c>
      <c r="C4198" s="20">
        <v>71</v>
      </c>
      <c r="D4198" s="20">
        <v>294</v>
      </c>
      <c r="E4198" s="20" t="s">
        <v>32</v>
      </c>
      <c r="F4198" s="22" t="s">
        <v>198</v>
      </c>
    </row>
    <row r="4199" spans="1:7" x14ac:dyDescent="0.35">
      <c r="A4199" s="2">
        <v>42846</v>
      </c>
      <c r="B4199" s="70" t="s">
        <v>104</v>
      </c>
      <c r="C4199" s="10">
        <v>67</v>
      </c>
      <c r="D4199" s="10">
        <v>276</v>
      </c>
      <c r="E4199" s="10" t="s">
        <v>32</v>
      </c>
      <c r="F4199" t="s">
        <v>198</v>
      </c>
    </row>
    <row r="4200" spans="1:7" x14ac:dyDescent="0.35">
      <c r="A4200" s="2">
        <v>42846</v>
      </c>
      <c r="B4200" s="70" t="s">
        <v>104</v>
      </c>
      <c r="C4200" s="10">
        <v>66</v>
      </c>
      <c r="D4200" s="10">
        <v>224</v>
      </c>
      <c r="E4200" s="10" t="s">
        <v>32</v>
      </c>
      <c r="F4200" t="s">
        <v>198</v>
      </c>
    </row>
    <row r="4201" spans="1:7" x14ac:dyDescent="0.35">
      <c r="A4201" s="2">
        <v>42846</v>
      </c>
      <c r="B4201" s="70" t="s">
        <v>104</v>
      </c>
      <c r="C4201" s="10">
        <v>62</v>
      </c>
      <c r="D4201" s="10">
        <v>215</v>
      </c>
      <c r="E4201" s="10" t="s">
        <v>32</v>
      </c>
      <c r="F4201" t="s">
        <v>198</v>
      </c>
    </row>
    <row r="4202" spans="1:7" x14ac:dyDescent="0.35">
      <c r="A4202" s="2">
        <v>42846</v>
      </c>
      <c r="B4202" s="70" t="s">
        <v>104</v>
      </c>
      <c r="C4202" s="10">
        <v>65</v>
      </c>
      <c r="D4202" s="10">
        <v>256</v>
      </c>
      <c r="E4202" s="10" t="s">
        <v>32</v>
      </c>
      <c r="F4202" t="s">
        <v>198</v>
      </c>
    </row>
    <row r="4203" spans="1:7" x14ac:dyDescent="0.35">
      <c r="A4203" s="2">
        <v>42846</v>
      </c>
      <c r="B4203" s="70" t="s">
        <v>104</v>
      </c>
      <c r="C4203" s="10">
        <v>69</v>
      </c>
      <c r="D4203" s="10">
        <v>323</v>
      </c>
      <c r="E4203" s="10" t="s">
        <v>32</v>
      </c>
      <c r="F4203" t="s">
        <v>198</v>
      </c>
    </row>
    <row r="4204" spans="1:7" s="4" customFormat="1" x14ac:dyDescent="0.35">
      <c r="A4204" s="3">
        <v>42846</v>
      </c>
      <c r="B4204" s="44" t="s">
        <v>104</v>
      </c>
      <c r="C4204" s="11">
        <v>70</v>
      </c>
      <c r="D4204" s="11">
        <v>329</v>
      </c>
      <c r="E4204" s="11" t="s">
        <v>37</v>
      </c>
      <c r="F4204" s="4" t="s">
        <v>198</v>
      </c>
    </row>
    <row r="4205" spans="1:7" x14ac:dyDescent="0.35">
      <c r="A4205" s="2">
        <v>42846</v>
      </c>
      <c r="B4205" s="70" t="s">
        <v>102</v>
      </c>
      <c r="C4205" s="10">
        <v>65</v>
      </c>
      <c r="D4205" s="10">
        <v>219</v>
      </c>
      <c r="E4205" s="10" t="s">
        <v>32</v>
      </c>
      <c r="F4205" s="10" t="s">
        <v>293</v>
      </c>
      <c r="G4205" s="10" t="s">
        <v>439</v>
      </c>
    </row>
    <row r="4206" spans="1:7" x14ac:dyDescent="0.35">
      <c r="A4206" s="2">
        <v>42846</v>
      </c>
      <c r="B4206" s="70" t="s">
        <v>102</v>
      </c>
      <c r="C4206" s="10">
        <v>66</v>
      </c>
      <c r="D4206" s="10">
        <v>270</v>
      </c>
      <c r="E4206" s="10" t="s">
        <v>32</v>
      </c>
      <c r="F4206" s="10" t="s">
        <v>198</v>
      </c>
      <c r="G4206" s="10" t="s">
        <v>440</v>
      </c>
    </row>
    <row r="4207" spans="1:7" x14ac:dyDescent="0.35">
      <c r="A4207" s="2">
        <v>42846</v>
      </c>
      <c r="B4207" s="70" t="s">
        <v>102</v>
      </c>
      <c r="C4207" s="10">
        <v>77</v>
      </c>
      <c r="D4207" s="10">
        <v>411</v>
      </c>
      <c r="E4207" s="10" t="s">
        <v>32</v>
      </c>
      <c r="F4207" s="10" t="s">
        <v>198</v>
      </c>
      <c r="G4207" s="10" t="s">
        <v>441</v>
      </c>
    </row>
    <row r="4208" spans="1:7" x14ac:dyDescent="0.35">
      <c r="A4208" s="2">
        <v>42846</v>
      </c>
      <c r="B4208" s="70" t="s">
        <v>102</v>
      </c>
      <c r="C4208" s="10">
        <v>69</v>
      </c>
      <c r="D4208" s="10">
        <v>266</v>
      </c>
      <c r="E4208" s="10" t="s">
        <v>32</v>
      </c>
      <c r="F4208" s="10" t="s">
        <v>198</v>
      </c>
      <c r="G4208" s="10" t="s">
        <v>442</v>
      </c>
    </row>
    <row r="4209" spans="1:7" x14ac:dyDescent="0.35">
      <c r="A4209" s="2">
        <v>42846</v>
      </c>
      <c r="B4209" s="70" t="s">
        <v>102</v>
      </c>
      <c r="C4209" s="10">
        <v>65</v>
      </c>
      <c r="D4209" s="10">
        <v>254</v>
      </c>
      <c r="E4209" s="10" t="s">
        <v>37</v>
      </c>
      <c r="F4209" s="10" t="s">
        <v>198</v>
      </c>
      <c r="G4209" s="10" t="s">
        <v>443</v>
      </c>
    </row>
    <row r="4210" spans="1:7" x14ac:dyDescent="0.35">
      <c r="A4210" s="2">
        <v>42846</v>
      </c>
      <c r="B4210" s="70" t="s">
        <v>102</v>
      </c>
      <c r="C4210" s="10">
        <v>76</v>
      </c>
      <c r="D4210" s="10">
        <v>384</v>
      </c>
      <c r="E4210" s="10" t="s">
        <v>37</v>
      </c>
      <c r="F4210" s="10" t="s">
        <v>293</v>
      </c>
      <c r="G4210" s="10" t="s">
        <v>412</v>
      </c>
    </row>
    <row r="4211" spans="1:7" x14ac:dyDescent="0.35">
      <c r="A4211" s="2">
        <v>42846</v>
      </c>
      <c r="B4211" s="70" t="s">
        <v>102</v>
      </c>
      <c r="C4211" s="10">
        <v>68</v>
      </c>
      <c r="D4211" s="10">
        <v>275</v>
      </c>
      <c r="E4211" s="10" t="s">
        <v>37</v>
      </c>
      <c r="F4211" s="10" t="s">
        <v>198</v>
      </c>
    </row>
    <row r="4212" spans="1:7" x14ac:dyDescent="0.35">
      <c r="A4212" s="2">
        <v>42846</v>
      </c>
      <c r="B4212" s="70" t="s">
        <v>102</v>
      </c>
      <c r="C4212" s="10">
        <v>65</v>
      </c>
      <c r="D4212" s="10">
        <v>224</v>
      </c>
      <c r="E4212" s="10" t="s">
        <v>32</v>
      </c>
      <c r="F4212" s="10" t="s">
        <v>198</v>
      </c>
    </row>
    <row r="4213" spans="1:7" x14ac:dyDescent="0.35">
      <c r="A4213" s="2">
        <v>42846</v>
      </c>
      <c r="B4213" s="70" t="s">
        <v>102</v>
      </c>
      <c r="C4213" s="10">
        <v>64</v>
      </c>
      <c r="D4213" s="10">
        <v>223</v>
      </c>
      <c r="E4213" s="10" t="s">
        <v>37</v>
      </c>
      <c r="F4213" s="10" t="s">
        <v>198</v>
      </c>
    </row>
    <row r="4214" spans="1:7" x14ac:dyDescent="0.35">
      <c r="A4214" s="2">
        <v>42846</v>
      </c>
      <c r="B4214" s="70" t="s">
        <v>102</v>
      </c>
      <c r="C4214" s="10">
        <v>70</v>
      </c>
      <c r="D4214" s="10">
        <v>275</v>
      </c>
      <c r="E4214" s="10" t="s">
        <v>37</v>
      </c>
      <c r="F4214" s="10" t="s">
        <v>198</v>
      </c>
    </row>
    <row r="4215" spans="1:7" x14ac:dyDescent="0.35">
      <c r="A4215" s="2">
        <v>42846</v>
      </c>
      <c r="B4215" s="70" t="s">
        <v>102</v>
      </c>
      <c r="C4215" s="10">
        <v>72</v>
      </c>
      <c r="D4215" s="10">
        <v>281</v>
      </c>
      <c r="E4215" s="10" t="s">
        <v>32</v>
      </c>
      <c r="F4215" s="10" t="s">
        <v>198</v>
      </c>
      <c r="G4215" s="10" t="s">
        <v>412</v>
      </c>
    </row>
    <row r="4216" spans="1:7" x14ac:dyDescent="0.35">
      <c r="A4216" s="2">
        <v>42846</v>
      </c>
      <c r="B4216" s="70" t="s">
        <v>102</v>
      </c>
      <c r="C4216" s="10">
        <v>65</v>
      </c>
      <c r="D4216" s="10">
        <v>256</v>
      </c>
      <c r="E4216" s="10" t="s">
        <v>37</v>
      </c>
      <c r="F4216" s="10" t="s">
        <v>198</v>
      </c>
    </row>
    <row r="4217" spans="1:7" x14ac:dyDescent="0.35">
      <c r="A4217" s="2">
        <v>42846</v>
      </c>
      <c r="B4217" s="70" t="s">
        <v>102</v>
      </c>
      <c r="C4217" s="10">
        <v>73</v>
      </c>
      <c r="D4217" s="10">
        <v>354</v>
      </c>
      <c r="E4217" s="10" t="s">
        <v>34</v>
      </c>
      <c r="F4217" s="10" t="s">
        <v>293</v>
      </c>
    </row>
    <row r="4218" spans="1:7" s="5" customFormat="1" x14ac:dyDescent="0.35">
      <c r="A4218" s="13">
        <v>42846</v>
      </c>
      <c r="B4218" s="40" t="s">
        <v>102</v>
      </c>
      <c r="C4218" s="10">
        <v>70</v>
      </c>
      <c r="D4218" s="10">
        <v>309</v>
      </c>
      <c r="E4218" s="10" t="s">
        <v>32</v>
      </c>
      <c r="F4218" s="10"/>
    </row>
    <row r="4219" spans="1:7" x14ac:dyDescent="0.35">
      <c r="A4219" s="2">
        <v>42846</v>
      </c>
      <c r="B4219" s="70" t="s">
        <v>102</v>
      </c>
      <c r="C4219" s="10">
        <v>63</v>
      </c>
      <c r="D4219" s="10">
        <v>255</v>
      </c>
      <c r="E4219" s="10" t="s">
        <v>32</v>
      </c>
      <c r="F4219" s="10" t="s">
        <v>198</v>
      </c>
    </row>
    <row r="4220" spans="1:7" s="4" customFormat="1" x14ac:dyDescent="0.35">
      <c r="A4220" s="3">
        <v>42846</v>
      </c>
      <c r="B4220" s="44" t="s">
        <v>102</v>
      </c>
      <c r="C4220" s="11">
        <v>113</v>
      </c>
      <c r="D4220" s="11">
        <v>1778</v>
      </c>
      <c r="E4220" s="11" t="s">
        <v>98</v>
      </c>
    </row>
    <row r="4221" spans="1:7" x14ac:dyDescent="0.35">
      <c r="A4221" s="2">
        <v>42846</v>
      </c>
      <c r="B4221" s="70" t="s">
        <v>113</v>
      </c>
      <c r="C4221" s="10">
        <v>67</v>
      </c>
      <c r="D4221" s="10">
        <v>246</v>
      </c>
      <c r="E4221" s="10" t="s">
        <v>37</v>
      </c>
      <c r="F4221" s="10" t="s">
        <v>198</v>
      </c>
    </row>
    <row r="4222" spans="1:7" x14ac:dyDescent="0.35">
      <c r="A4222" s="2">
        <v>42846</v>
      </c>
      <c r="B4222" s="70" t="s">
        <v>113</v>
      </c>
      <c r="C4222" s="10">
        <v>68</v>
      </c>
      <c r="D4222" s="10">
        <v>286</v>
      </c>
      <c r="E4222" s="10" t="s">
        <v>32</v>
      </c>
      <c r="F4222" s="10"/>
    </row>
    <row r="4223" spans="1:7" x14ac:dyDescent="0.35">
      <c r="A4223" s="2">
        <v>42846</v>
      </c>
      <c r="B4223" s="70" t="s">
        <v>113</v>
      </c>
      <c r="C4223" s="10">
        <v>67</v>
      </c>
      <c r="D4223" s="10">
        <v>249</v>
      </c>
      <c r="E4223" s="10" t="s">
        <v>32</v>
      </c>
      <c r="F4223" s="10" t="s">
        <v>198</v>
      </c>
    </row>
    <row r="4224" spans="1:7" x14ac:dyDescent="0.35">
      <c r="A4224" s="2">
        <v>42846</v>
      </c>
      <c r="B4224" s="70" t="s">
        <v>113</v>
      </c>
      <c r="C4224" s="10">
        <v>69</v>
      </c>
      <c r="D4224" s="10">
        <v>280</v>
      </c>
      <c r="E4224" s="10" t="s">
        <v>32</v>
      </c>
      <c r="F4224" s="10" t="s">
        <v>198</v>
      </c>
    </row>
    <row r="4225" spans="1:24" x14ac:dyDescent="0.35">
      <c r="A4225" s="2">
        <v>42846</v>
      </c>
      <c r="B4225" s="70" t="s">
        <v>113</v>
      </c>
      <c r="C4225" s="10">
        <v>67</v>
      </c>
      <c r="D4225" s="10">
        <v>263</v>
      </c>
      <c r="E4225" s="10" t="s">
        <v>37</v>
      </c>
      <c r="F4225" s="10" t="s">
        <v>198</v>
      </c>
    </row>
    <row r="4226" spans="1:24" x14ac:dyDescent="0.35">
      <c r="A4226" s="2">
        <v>42846</v>
      </c>
      <c r="B4226" s="70" t="s">
        <v>113</v>
      </c>
      <c r="C4226" s="10">
        <v>65</v>
      </c>
      <c r="D4226" s="10">
        <v>217</v>
      </c>
      <c r="E4226" s="10" t="s">
        <v>32</v>
      </c>
      <c r="F4226" s="10"/>
    </row>
    <row r="4227" spans="1:24" x14ac:dyDescent="0.35">
      <c r="A4227" s="2">
        <v>42846</v>
      </c>
      <c r="B4227" s="70" t="s">
        <v>113</v>
      </c>
      <c r="C4227" s="10">
        <v>63</v>
      </c>
      <c r="D4227" s="10">
        <v>202</v>
      </c>
      <c r="E4227" s="10" t="s">
        <v>32</v>
      </c>
      <c r="F4227" s="10" t="s">
        <v>198</v>
      </c>
    </row>
    <row r="4228" spans="1:24" x14ac:dyDescent="0.35">
      <c r="A4228" s="2">
        <v>42846</v>
      </c>
      <c r="B4228" s="70" t="s">
        <v>113</v>
      </c>
      <c r="C4228" s="10">
        <v>70</v>
      </c>
      <c r="D4228" s="10">
        <v>316</v>
      </c>
      <c r="E4228" s="10" t="s">
        <v>34</v>
      </c>
      <c r="F4228" s="10" t="s">
        <v>198</v>
      </c>
    </row>
    <row r="4229" spans="1:24" x14ac:dyDescent="0.35">
      <c r="A4229" s="2">
        <v>42846</v>
      </c>
      <c r="B4229" s="70" t="s">
        <v>113</v>
      </c>
      <c r="C4229" s="10">
        <v>66</v>
      </c>
      <c r="D4229" s="10">
        <v>247</v>
      </c>
      <c r="E4229" s="10" t="s">
        <v>37</v>
      </c>
      <c r="F4229" s="10" t="s">
        <v>198</v>
      </c>
    </row>
    <row r="4230" spans="1:24" x14ac:dyDescent="0.35">
      <c r="A4230" s="2">
        <v>42846</v>
      </c>
      <c r="B4230" s="70" t="s">
        <v>113</v>
      </c>
      <c r="C4230" s="10">
        <v>71</v>
      </c>
      <c r="D4230" s="10">
        <v>296</v>
      </c>
      <c r="E4230" s="10" t="s">
        <v>32</v>
      </c>
      <c r="F4230" s="10" t="s">
        <v>198</v>
      </c>
    </row>
    <row r="4231" spans="1:24" x14ac:dyDescent="0.35">
      <c r="A4231" s="2">
        <v>42846</v>
      </c>
      <c r="B4231" s="70" t="s">
        <v>113</v>
      </c>
      <c r="C4231" s="10">
        <v>69</v>
      </c>
      <c r="D4231" s="10">
        <v>266</v>
      </c>
      <c r="E4231" s="10" t="s">
        <v>32</v>
      </c>
      <c r="F4231" s="10" t="s">
        <v>198</v>
      </c>
      <c r="G4231" s="10" t="s">
        <v>412</v>
      </c>
    </row>
    <row r="4232" spans="1:24" x14ac:dyDescent="0.35">
      <c r="A4232" s="2">
        <v>42846</v>
      </c>
      <c r="B4232" s="70" t="s">
        <v>113</v>
      </c>
      <c r="C4232" s="10">
        <v>71</v>
      </c>
      <c r="D4232" s="10">
        <v>323</v>
      </c>
      <c r="E4232" s="10" t="s">
        <v>32</v>
      </c>
      <c r="F4232" s="10" t="s">
        <v>198</v>
      </c>
      <c r="U4232">
        <f>AVERAGE(C4235,C4220,C4175:C4184,C4160:C4162)</f>
        <v>112.73333333333333</v>
      </c>
      <c r="V4232">
        <f>AVERAGE(D4235,D4220,D4175:D4184,D4160:D4162)</f>
        <v>2108.8000000000002</v>
      </c>
      <c r="X4232" s="42" t="e">
        <f>AVERAGE(#REF!,#REF!,#REF!,#REF!)</f>
        <v>#REF!</v>
      </c>
    </row>
    <row r="4233" spans="1:24" x14ac:dyDescent="0.35">
      <c r="A4233" s="2">
        <v>42846</v>
      </c>
      <c r="B4233" s="70" t="s">
        <v>113</v>
      </c>
      <c r="C4233" s="10">
        <v>80</v>
      </c>
      <c r="D4233" s="10">
        <v>372</v>
      </c>
      <c r="E4233" s="10" t="s">
        <v>32</v>
      </c>
      <c r="F4233" s="10" t="s">
        <v>198</v>
      </c>
      <c r="G4233" s="10" t="s">
        <v>412</v>
      </c>
      <c r="K4233" t="s">
        <v>42</v>
      </c>
      <c r="L4233" t="s">
        <v>39</v>
      </c>
      <c r="M4233" t="s">
        <v>40</v>
      </c>
      <c r="N4233" t="s">
        <v>36</v>
      </c>
      <c r="O4233" t="s">
        <v>33</v>
      </c>
      <c r="P4233" t="s">
        <v>34</v>
      </c>
      <c r="Q4233" t="s">
        <v>32</v>
      </c>
      <c r="R4233" t="s">
        <v>37</v>
      </c>
      <c r="S4233" t="s">
        <v>159</v>
      </c>
    </row>
    <row r="4234" spans="1:24" x14ac:dyDescent="0.35">
      <c r="A4234" s="2">
        <v>42846</v>
      </c>
      <c r="B4234" s="70" t="s">
        <v>113</v>
      </c>
      <c r="C4234" s="10">
        <v>73</v>
      </c>
      <c r="D4234" s="10">
        <v>327</v>
      </c>
      <c r="E4234" s="10" t="s">
        <v>32</v>
      </c>
      <c r="F4234" s="10"/>
      <c r="K4234" s="5">
        <f>COUNTIF(F4142:F4235,"VA")</f>
        <v>0</v>
      </c>
      <c r="L4234" s="5">
        <f>COUNTIF(G4142:G4235,"VA")</f>
        <v>0</v>
      </c>
      <c r="M4234" s="5"/>
      <c r="N4234" s="5">
        <f>COUNTIF(E4160:E4235,"VIA1")</f>
        <v>0</v>
      </c>
      <c r="O4234" s="5">
        <f>COUNTIF(E4160:E4235,"VIA2")</f>
        <v>0</v>
      </c>
      <c r="P4234" s="5">
        <f>COUNTIF(E4160:E4235,"VIA3")</f>
        <v>4</v>
      </c>
      <c r="Q4234" s="5">
        <f>COUNTIF(E4160:E4235,"VIA4")</f>
        <v>42</v>
      </c>
      <c r="R4234" s="5">
        <f>COUNTIF(E4160:E4235,"VIB")</f>
        <v>15</v>
      </c>
      <c r="S4234" s="5">
        <f>COUNTIF(E4160:E4235,"VII")</f>
        <v>0</v>
      </c>
    </row>
    <row r="4235" spans="1:24" s="4" customFormat="1" x14ac:dyDescent="0.35">
      <c r="A4235" s="3">
        <v>42846</v>
      </c>
      <c r="B4235" s="44" t="s">
        <v>113</v>
      </c>
      <c r="C4235" s="11">
        <v>129</v>
      </c>
      <c r="D4235" s="11">
        <v>3293</v>
      </c>
      <c r="E4235" s="11" t="s">
        <v>98</v>
      </c>
      <c r="K4235" s="6">
        <f>K4234/61*100</f>
        <v>0</v>
      </c>
      <c r="L4235" s="6">
        <f t="shared" ref="L4235:S4235" si="131">L4234/61*100</f>
        <v>0</v>
      </c>
      <c r="M4235" s="6">
        <f t="shared" si="131"/>
        <v>0</v>
      </c>
      <c r="N4235" s="6">
        <f t="shared" si="131"/>
        <v>0</v>
      </c>
      <c r="O4235" s="6">
        <f t="shared" si="131"/>
        <v>0</v>
      </c>
      <c r="P4235" s="6">
        <f t="shared" si="131"/>
        <v>6.557377049180328</v>
      </c>
      <c r="Q4235" s="6">
        <f t="shared" si="131"/>
        <v>68.852459016393439</v>
      </c>
      <c r="R4235" s="6">
        <f t="shared" si="131"/>
        <v>24.590163934426229</v>
      </c>
      <c r="S4235" s="6">
        <f t="shared" si="131"/>
        <v>0</v>
      </c>
      <c r="U4235" s="4">
        <f>AVERAGE(C4221:C4234,C4185:C4219,C4163:C4174)</f>
        <v>68.049180327868854</v>
      </c>
      <c r="V4235" s="4">
        <f>AVERAGE(D4221:D4234,D4185:D4219,D4163:D4174)</f>
        <v>267.5409836065574</v>
      </c>
      <c r="X4235" s="4" t="e">
        <f>AVERAGE(#REF!,#REF!,#REF!)</f>
        <v>#REF!</v>
      </c>
    </row>
    <row r="4236" spans="1:24" x14ac:dyDescent="0.35">
      <c r="A4236" s="2">
        <v>42846</v>
      </c>
      <c r="B4236" s="36" t="s">
        <v>342</v>
      </c>
      <c r="C4236" s="10">
        <v>73</v>
      </c>
      <c r="D4236" s="10">
        <v>372</v>
      </c>
      <c r="E4236" s="10" t="s">
        <v>159</v>
      </c>
      <c r="F4236" s="10" t="s">
        <v>198</v>
      </c>
    </row>
    <row r="4237" spans="1:24" x14ac:dyDescent="0.35">
      <c r="A4237" s="2">
        <v>42846</v>
      </c>
      <c r="B4237" s="36" t="s">
        <v>342</v>
      </c>
      <c r="C4237" s="10">
        <v>70</v>
      </c>
      <c r="D4237" s="10">
        <v>304</v>
      </c>
      <c r="E4237" s="10" t="s">
        <v>37</v>
      </c>
      <c r="F4237" s="10" t="s">
        <v>198</v>
      </c>
    </row>
    <row r="4238" spans="1:24" x14ac:dyDescent="0.35">
      <c r="A4238" s="2">
        <v>42846</v>
      </c>
      <c r="B4238" s="36" t="s">
        <v>342</v>
      </c>
      <c r="C4238" s="10">
        <v>62</v>
      </c>
      <c r="D4238" s="10">
        <v>203</v>
      </c>
      <c r="E4238" s="10" t="s">
        <v>32</v>
      </c>
      <c r="F4238" s="10" t="s">
        <v>198</v>
      </c>
    </row>
    <row r="4239" spans="1:24" x14ac:dyDescent="0.35">
      <c r="A4239" s="2">
        <v>42846</v>
      </c>
      <c r="B4239" s="36" t="s">
        <v>342</v>
      </c>
      <c r="C4239" s="10">
        <v>70</v>
      </c>
      <c r="D4239" s="10">
        <v>356</v>
      </c>
      <c r="E4239" s="10" t="s">
        <v>32</v>
      </c>
      <c r="F4239" s="10" t="s">
        <v>198</v>
      </c>
    </row>
    <row r="4240" spans="1:24" x14ac:dyDescent="0.35">
      <c r="A4240" s="2">
        <v>42846</v>
      </c>
      <c r="B4240" s="36" t="s">
        <v>342</v>
      </c>
      <c r="C4240" s="10">
        <v>70</v>
      </c>
      <c r="D4240" s="10">
        <v>254</v>
      </c>
      <c r="E4240" s="10" t="s">
        <v>32</v>
      </c>
      <c r="F4240" s="10" t="s">
        <v>198</v>
      </c>
      <c r="G4240" s="10" t="s">
        <v>412</v>
      </c>
    </row>
    <row r="4241" spans="1:7" x14ac:dyDescent="0.35">
      <c r="A4241" s="2">
        <v>42846</v>
      </c>
      <c r="B4241" s="36" t="s">
        <v>342</v>
      </c>
      <c r="C4241" s="10">
        <v>65</v>
      </c>
      <c r="D4241" s="10">
        <v>267</v>
      </c>
      <c r="E4241" s="10" t="s">
        <v>32</v>
      </c>
      <c r="F4241" s="10" t="s">
        <v>198</v>
      </c>
    </row>
    <row r="4242" spans="1:7" x14ac:dyDescent="0.35">
      <c r="A4242" s="2">
        <v>42846</v>
      </c>
      <c r="B4242" s="36" t="s">
        <v>342</v>
      </c>
      <c r="C4242" s="10">
        <v>66</v>
      </c>
      <c r="D4242" s="10">
        <v>271</v>
      </c>
      <c r="E4242" s="10" t="s">
        <v>37</v>
      </c>
      <c r="F4242" s="10" t="s">
        <v>198</v>
      </c>
    </row>
    <row r="4243" spans="1:7" x14ac:dyDescent="0.35">
      <c r="A4243" s="2">
        <v>42846</v>
      </c>
      <c r="B4243" s="36" t="s">
        <v>342</v>
      </c>
      <c r="C4243" s="10">
        <v>63</v>
      </c>
      <c r="D4243" s="10">
        <v>218</v>
      </c>
      <c r="E4243" s="10" t="s">
        <v>32</v>
      </c>
      <c r="F4243" s="10" t="s">
        <v>198</v>
      </c>
    </row>
    <row r="4244" spans="1:7" x14ac:dyDescent="0.35">
      <c r="A4244" s="2">
        <v>42846</v>
      </c>
      <c r="B4244" s="36" t="s">
        <v>342</v>
      </c>
      <c r="C4244" s="10">
        <v>84</v>
      </c>
      <c r="D4244" s="10">
        <v>602</v>
      </c>
      <c r="E4244" s="10" t="s">
        <v>98</v>
      </c>
    </row>
    <row r="4245" spans="1:7" s="4" customFormat="1" x14ac:dyDescent="0.35">
      <c r="A4245" s="3">
        <v>42846</v>
      </c>
      <c r="B4245" s="26" t="s">
        <v>342</v>
      </c>
      <c r="C4245" s="11">
        <v>84</v>
      </c>
      <c r="D4245" s="11">
        <v>781</v>
      </c>
      <c r="E4245" s="11" t="s">
        <v>98</v>
      </c>
    </row>
    <row r="4246" spans="1:7" x14ac:dyDescent="0.35">
      <c r="A4246" s="2">
        <v>42846</v>
      </c>
      <c r="B4246" s="36" t="s">
        <v>343</v>
      </c>
      <c r="C4246" s="10">
        <v>65</v>
      </c>
      <c r="D4246" s="10">
        <v>199</v>
      </c>
      <c r="E4246" s="10" t="s">
        <v>32</v>
      </c>
      <c r="F4246" s="10" t="s">
        <v>198</v>
      </c>
      <c r="G4246" s="10" t="s">
        <v>434</v>
      </c>
    </row>
    <row r="4247" spans="1:7" x14ac:dyDescent="0.35">
      <c r="A4247" s="2">
        <v>42846</v>
      </c>
      <c r="B4247" s="36" t="s">
        <v>343</v>
      </c>
      <c r="C4247" s="10">
        <v>67</v>
      </c>
      <c r="D4247" s="10">
        <v>179</v>
      </c>
      <c r="E4247" s="10" t="s">
        <v>32</v>
      </c>
      <c r="F4247" s="10" t="s">
        <v>198</v>
      </c>
      <c r="G4247" s="10" t="s">
        <v>435</v>
      </c>
    </row>
    <row r="4248" spans="1:7" x14ac:dyDescent="0.35">
      <c r="A4248" s="2">
        <v>42846</v>
      </c>
      <c r="B4248" s="36" t="s">
        <v>343</v>
      </c>
      <c r="C4248" s="10">
        <v>69</v>
      </c>
      <c r="D4248" s="10">
        <v>276</v>
      </c>
      <c r="E4248" s="10" t="s">
        <v>40</v>
      </c>
      <c r="G4248" s="10" t="s">
        <v>436</v>
      </c>
    </row>
    <row r="4249" spans="1:7" x14ac:dyDescent="0.35">
      <c r="A4249" s="2">
        <v>42846</v>
      </c>
      <c r="B4249" s="36" t="s">
        <v>343</v>
      </c>
      <c r="C4249" s="10">
        <v>66</v>
      </c>
      <c r="D4249" s="10">
        <v>228</v>
      </c>
      <c r="E4249" s="10" t="s">
        <v>34</v>
      </c>
      <c r="F4249" t="s">
        <v>293</v>
      </c>
      <c r="G4249" s="10" t="s">
        <v>437</v>
      </c>
    </row>
    <row r="4250" spans="1:7" x14ac:dyDescent="0.35">
      <c r="A4250" s="2">
        <v>42846</v>
      </c>
      <c r="B4250" s="36" t="s">
        <v>343</v>
      </c>
      <c r="C4250" s="10">
        <v>71</v>
      </c>
      <c r="D4250" s="10">
        <v>280</v>
      </c>
      <c r="E4250" s="10" t="s">
        <v>36</v>
      </c>
      <c r="F4250" t="s">
        <v>293</v>
      </c>
      <c r="G4250" s="10" t="s">
        <v>438</v>
      </c>
    </row>
    <row r="4251" spans="1:7" x14ac:dyDescent="0.35">
      <c r="A4251" s="2">
        <v>42846</v>
      </c>
      <c r="B4251" s="36" t="s">
        <v>343</v>
      </c>
      <c r="C4251" s="10">
        <v>65</v>
      </c>
      <c r="D4251" s="10">
        <v>251</v>
      </c>
      <c r="E4251" s="10" t="s">
        <v>37</v>
      </c>
    </row>
    <row r="4252" spans="1:7" x14ac:dyDescent="0.35">
      <c r="A4252" s="2">
        <v>42846</v>
      </c>
      <c r="B4252" s="36" t="s">
        <v>343</v>
      </c>
      <c r="C4252" s="10">
        <v>67</v>
      </c>
      <c r="D4252" s="10">
        <v>244</v>
      </c>
      <c r="E4252" s="10" t="s">
        <v>32</v>
      </c>
      <c r="F4252" t="s">
        <v>293</v>
      </c>
    </row>
    <row r="4253" spans="1:7" x14ac:dyDescent="0.35">
      <c r="A4253" s="2">
        <v>42846</v>
      </c>
      <c r="B4253" s="36" t="s">
        <v>343</v>
      </c>
      <c r="C4253" s="10">
        <v>68</v>
      </c>
      <c r="D4253" s="10">
        <v>272</v>
      </c>
      <c r="E4253" s="10" t="s">
        <v>32</v>
      </c>
    </row>
    <row r="4254" spans="1:7" s="4" customFormat="1" x14ac:dyDescent="0.35">
      <c r="A4254" s="3">
        <v>42846</v>
      </c>
      <c r="B4254" s="26" t="s">
        <v>343</v>
      </c>
      <c r="C4254" s="11">
        <v>103</v>
      </c>
      <c r="D4254" s="11">
        <v>1164</v>
      </c>
      <c r="E4254" s="11" t="s">
        <v>98</v>
      </c>
    </row>
    <row r="4255" spans="1:7" x14ac:dyDescent="0.35">
      <c r="A4255" s="2">
        <v>42847</v>
      </c>
      <c r="B4255" s="70" t="s">
        <v>41</v>
      </c>
      <c r="C4255" s="10">
        <v>66</v>
      </c>
      <c r="D4255" s="10">
        <v>244</v>
      </c>
      <c r="E4255" s="10" t="s">
        <v>37</v>
      </c>
      <c r="F4255" t="s">
        <v>293</v>
      </c>
      <c r="G4255" t="s">
        <v>447</v>
      </c>
    </row>
    <row r="4256" spans="1:7" x14ac:dyDescent="0.35">
      <c r="A4256" s="2">
        <v>42847</v>
      </c>
      <c r="B4256" s="70" t="s">
        <v>41</v>
      </c>
      <c r="C4256" s="10">
        <v>72</v>
      </c>
      <c r="D4256" s="10">
        <v>308</v>
      </c>
      <c r="E4256" s="10" t="s">
        <v>32</v>
      </c>
      <c r="F4256" t="s">
        <v>293</v>
      </c>
      <c r="G4256" t="s">
        <v>448</v>
      </c>
    </row>
    <row r="4257" spans="1:13" x14ac:dyDescent="0.35">
      <c r="A4257" s="2">
        <v>42847</v>
      </c>
      <c r="B4257" s="70" t="s">
        <v>41</v>
      </c>
      <c r="C4257" s="10">
        <v>74</v>
      </c>
      <c r="D4257" s="10">
        <v>324</v>
      </c>
      <c r="E4257" s="10" t="s">
        <v>37</v>
      </c>
      <c r="F4257" t="s">
        <v>293</v>
      </c>
      <c r="G4257" t="s">
        <v>449</v>
      </c>
    </row>
    <row r="4258" spans="1:13" s="4" customFormat="1" x14ac:dyDescent="0.35">
      <c r="A4258" s="3">
        <v>42847</v>
      </c>
      <c r="B4258" s="44" t="s">
        <v>41</v>
      </c>
      <c r="C4258" s="11">
        <v>68</v>
      </c>
      <c r="D4258" s="11">
        <v>258</v>
      </c>
      <c r="E4258" s="11" t="s">
        <v>32</v>
      </c>
      <c r="F4258" s="4" t="s">
        <v>293</v>
      </c>
      <c r="G4258" s="4" t="s">
        <v>450</v>
      </c>
    </row>
    <row r="4259" spans="1:13" x14ac:dyDescent="0.35">
      <c r="A4259" s="2">
        <v>42853</v>
      </c>
      <c r="B4259" s="70" t="s">
        <v>38</v>
      </c>
      <c r="C4259" s="10">
        <v>196</v>
      </c>
      <c r="D4259" s="10">
        <v>11216</v>
      </c>
      <c r="E4259" s="10" t="s">
        <v>98</v>
      </c>
    </row>
    <row r="4260" spans="1:13" x14ac:dyDescent="0.35">
      <c r="A4260" s="2">
        <v>42853</v>
      </c>
      <c r="B4260" s="70" t="s">
        <v>38</v>
      </c>
      <c r="C4260" s="10">
        <v>92</v>
      </c>
      <c r="D4260" s="10">
        <v>943</v>
      </c>
      <c r="E4260" s="10" t="s">
        <v>98</v>
      </c>
    </row>
    <row r="4261" spans="1:13" x14ac:dyDescent="0.35">
      <c r="A4261" s="2">
        <v>42853</v>
      </c>
      <c r="B4261" s="70" t="s">
        <v>38</v>
      </c>
      <c r="C4261" s="10">
        <v>117</v>
      </c>
      <c r="D4261" s="10">
        <v>2227</v>
      </c>
      <c r="E4261" s="10" t="s">
        <v>98</v>
      </c>
    </row>
    <row r="4262" spans="1:13" x14ac:dyDescent="0.35">
      <c r="A4262" s="2">
        <v>42853</v>
      </c>
      <c r="B4262" s="70" t="s">
        <v>38</v>
      </c>
      <c r="C4262" s="10">
        <v>99</v>
      </c>
      <c r="D4262" s="10">
        <v>1134</v>
      </c>
      <c r="E4262" s="10" t="s">
        <v>98</v>
      </c>
    </row>
    <row r="4263" spans="1:13" x14ac:dyDescent="0.35">
      <c r="A4263" s="2">
        <v>42853</v>
      </c>
      <c r="B4263" s="70" t="s">
        <v>38</v>
      </c>
      <c r="C4263" s="10">
        <v>113</v>
      </c>
      <c r="D4263" s="10">
        <v>1956</v>
      </c>
      <c r="E4263" s="10" t="s">
        <v>98</v>
      </c>
    </row>
    <row r="4264" spans="1:13" x14ac:dyDescent="0.35">
      <c r="A4264" s="2">
        <v>42853</v>
      </c>
      <c r="B4264" s="70" t="s">
        <v>38</v>
      </c>
      <c r="C4264" s="10">
        <v>98</v>
      </c>
      <c r="D4264" s="10">
        <v>1139</v>
      </c>
      <c r="E4264" s="10" t="s">
        <v>98</v>
      </c>
    </row>
    <row r="4265" spans="1:13" x14ac:dyDescent="0.35">
      <c r="A4265" s="2">
        <v>42853</v>
      </c>
      <c r="B4265" s="70" t="s">
        <v>38</v>
      </c>
      <c r="C4265" s="10">
        <v>92</v>
      </c>
      <c r="D4265" s="10">
        <v>1001</v>
      </c>
      <c r="E4265" s="10" t="s">
        <v>98</v>
      </c>
      <c r="J4265">
        <f>AVERAGE(C4259:C4267)</f>
        <v>111.55555555555556</v>
      </c>
      <c r="K4265">
        <f>AVERAGE(D4259:D4267)</f>
        <v>2427.6666666666665</v>
      </c>
      <c r="M4265" t="e">
        <f>AVERAGE(#REF!)</f>
        <v>#REF!</v>
      </c>
    </row>
    <row r="4266" spans="1:13" x14ac:dyDescent="0.35">
      <c r="A4266" s="2">
        <v>42853</v>
      </c>
      <c r="B4266" s="70" t="s">
        <v>38</v>
      </c>
      <c r="C4266" s="10">
        <v>102</v>
      </c>
      <c r="D4266" s="10">
        <v>1127</v>
      </c>
      <c r="E4266" s="10" t="s">
        <v>98</v>
      </c>
    </row>
    <row r="4267" spans="1:13" x14ac:dyDescent="0.35">
      <c r="A4267" s="2">
        <v>42853</v>
      </c>
      <c r="B4267" s="70" t="s">
        <v>38</v>
      </c>
      <c r="C4267" s="10">
        <v>95</v>
      </c>
      <c r="D4267" s="10">
        <v>1106</v>
      </c>
      <c r="E4267" s="10" t="s">
        <v>98</v>
      </c>
    </row>
    <row r="4268" spans="1:13" x14ac:dyDescent="0.35">
      <c r="A4268" s="2">
        <v>42853</v>
      </c>
      <c r="B4268" s="70" t="s">
        <v>38</v>
      </c>
      <c r="C4268" s="10">
        <v>72</v>
      </c>
      <c r="D4268" s="10">
        <v>229</v>
      </c>
      <c r="E4268" s="10" t="s">
        <v>32</v>
      </c>
      <c r="F4268" t="s">
        <v>161</v>
      </c>
      <c r="G4268" t="s">
        <v>198</v>
      </c>
      <c r="H4268" t="s">
        <v>453</v>
      </c>
    </row>
    <row r="4269" spans="1:13" x14ac:dyDescent="0.35">
      <c r="A4269" s="2">
        <v>42853</v>
      </c>
      <c r="B4269" s="70" t="s">
        <v>38</v>
      </c>
      <c r="C4269" s="10">
        <v>63</v>
      </c>
      <c r="D4269" s="10">
        <v>300</v>
      </c>
      <c r="E4269" s="10" t="s">
        <v>37</v>
      </c>
      <c r="G4269" t="s">
        <v>198</v>
      </c>
      <c r="H4269" t="s">
        <v>454</v>
      </c>
    </row>
    <row r="4270" spans="1:13" x14ac:dyDescent="0.35">
      <c r="A4270" s="2">
        <v>42853</v>
      </c>
      <c r="B4270" s="70" t="s">
        <v>38</v>
      </c>
      <c r="C4270" s="10">
        <v>70</v>
      </c>
      <c r="D4270" s="10">
        <v>330</v>
      </c>
      <c r="E4270" s="10" t="s">
        <v>37</v>
      </c>
      <c r="G4270" t="s">
        <v>198</v>
      </c>
      <c r="H4270" t="s">
        <v>455</v>
      </c>
    </row>
    <row r="4271" spans="1:13" x14ac:dyDescent="0.35">
      <c r="A4271" s="2">
        <v>42853</v>
      </c>
      <c r="B4271" s="70" t="s">
        <v>38</v>
      </c>
      <c r="C4271" s="10">
        <v>74</v>
      </c>
      <c r="D4271" s="10">
        <v>402</v>
      </c>
      <c r="E4271" s="10" t="s">
        <v>37</v>
      </c>
      <c r="G4271" t="s">
        <v>198</v>
      </c>
      <c r="H4271" t="s">
        <v>456</v>
      </c>
    </row>
    <row r="4272" spans="1:13" x14ac:dyDescent="0.35">
      <c r="A4272" s="2">
        <v>42853</v>
      </c>
      <c r="B4272" s="70" t="s">
        <v>38</v>
      </c>
      <c r="C4272" s="10">
        <v>68</v>
      </c>
      <c r="D4272" s="10">
        <v>256</v>
      </c>
      <c r="E4272" s="10" t="s">
        <v>32</v>
      </c>
      <c r="G4272" t="s">
        <v>198</v>
      </c>
      <c r="H4272" t="s">
        <v>457</v>
      </c>
    </row>
    <row r="4273" spans="1:7" x14ac:dyDescent="0.35">
      <c r="A4273" s="2">
        <v>42853</v>
      </c>
      <c r="B4273" s="70" t="s">
        <v>38</v>
      </c>
      <c r="C4273" s="10">
        <v>75</v>
      </c>
      <c r="D4273" s="10">
        <v>369</v>
      </c>
      <c r="E4273" s="10" t="s">
        <v>32</v>
      </c>
      <c r="G4273" t="s">
        <v>198</v>
      </c>
    </row>
    <row r="4274" spans="1:7" x14ac:dyDescent="0.35">
      <c r="A4274" s="2">
        <v>42853</v>
      </c>
      <c r="B4274" s="70" t="s">
        <v>38</v>
      </c>
      <c r="C4274" s="10">
        <v>72</v>
      </c>
      <c r="D4274" s="10">
        <v>347</v>
      </c>
      <c r="E4274" s="10" t="s">
        <v>37</v>
      </c>
      <c r="G4274" t="s">
        <v>198</v>
      </c>
    </row>
    <row r="4275" spans="1:7" x14ac:dyDescent="0.35">
      <c r="A4275" s="2">
        <v>42853</v>
      </c>
      <c r="B4275" s="70" t="s">
        <v>38</v>
      </c>
      <c r="C4275" s="10">
        <v>69</v>
      </c>
      <c r="D4275" s="10">
        <v>303</v>
      </c>
      <c r="E4275" s="10" t="s">
        <v>32</v>
      </c>
      <c r="G4275" t="s">
        <v>198</v>
      </c>
    </row>
    <row r="4276" spans="1:7" x14ac:dyDescent="0.35">
      <c r="A4276" s="2">
        <v>42853</v>
      </c>
      <c r="B4276" s="70" t="s">
        <v>38</v>
      </c>
      <c r="C4276" s="10">
        <v>71</v>
      </c>
      <c r="D4276" s="10">
        <v>430</v>
      </c>
      <c r="E4276" s="10" t="s">
        <v>159</v>
      </c>
      <c r="G4276" t="s">
        <v>198</v>
      </c>
    </row>
    <row r="4277" spans="1:7" x14ac:dyDescent="0.35">
      <c r="A4277" s="2">
        <v>42853</v>
      </c>
      <c r="B4277" s="70" t="s">
        <v>38</v>
      </c>
      <c r="C4277" s="10">
        <v>70</v>
      </c>
      <c r="D4277" s="10">
        <v>322</v>
      </c>
      <c r="E4277" s="10" t="s">
        <v>37</v>
      </c>
      <c r="G4277" t="s">
        <v>198</v>
      </c>
    </row>
    <row r="4278" spans="1:7" x14ac:dyDescent="0.35">
      <c r="A4278" s="2">
        <v>42853</v>
      </c>
      <c r="B4278" s="70" t="s">
        <v>38</v>
      </c>
      <c r="C4278" s="10">
        <v>70</v>
      </c>
      <c r="D4278" s="10">
        <v>318</v>
      </c>
      <c r="E4278" s="10" t="s">
        <v>37</v>
      </c>
      <c r="G4278" t="s">
        <v>198</v>
      </c>
    </row>
    <row r="4279" spans="1:7" x14ac:dyDescent="0.35">
      <c r="A4279" s="2">
        <v>42853</v>
      </c>
      <c r="B4279" s="70" t="s">
        <v>38</v>
      </c>
      <c r="C4279" s="10">
        <v>64</v>
      </c>
      <c r="D4279" s="10">
        <v>210</v>
      </c>
      <c r="E4279" s="10" t="s">
        <v>34</v>
      </c>
      <c r="G4279" t="s">
        <v>198</v>
      </c>
    </row>
    <row r="4280" spans="1:7" x14ac:dyDescent="0.35">
      <c r="A4280" s="2">
        <v>42853</v>
      </c>
      <c r="B4280" s="70" t="s">
        <v>38</v>
      </c>
      <c r="C4280" s="10">
        <v>73</v>
      </c>
      <c r="D4280" s="10">
        <v>364</v>
      </c>
      <c r="E4280" s="10" t="s">
        <v>37</v>
      </c>
      <c r="G4280" t="s">
        <v>198</v>
      </c>
    </row>
    <row r="4281" spans="1:7" x14ac:dyDescent="0.35">
      <c r="A4281" s="2">
        <v>42853</v>
      </c>
      <c r="B4281" s="70" t="s">
        <v>38</v>
      </c>
      <c r="C4281" s="10">
        <v>68</v>
      </c>
      <c r="D4281" s="10">
        <v>338</v>
      </c>
      <c r="E4281" s="10" t="s">
        <v>37</v>
      </c>
      <c r="G4281" t="s">
        <v>198</v>
      </c>
    </row>
    <row r="4282" spans="1:7" x14ac:dyDescent="0.35">
      <c r="A4282" s="2">
        <v>42853</v>
      </c>
      <c r="B4282" s="70" t="s">
        <v>38</v>
      </c>
      <c r="C4282" s="10">
        <v>67</v>
      </c>
      <c r="D4282" s="10">
        <v>353</v>
      </c>
      <c r="E4282" s="10" t="s">
        <v>32</v>
      </c>
      <c r="G4282" t="s">
        <v>198</v>
      </c>
    </row>
    <row r="4283" spans="1:7" x14ac:dyDescent="0.35">
      <c r="A4283" s="2">
        <v>42853</v>
      </c>
      <c r="B4283" s="70" t="s">
        <v>38</v>
      </c>
      <c r="C4283" s="10">
        <v>70</v>
      </c>
      <c r="D4283" s="10">
        <v>266</v>
      </c>
      <c r="E4283" s="10" t="s">
        <v>159</v>
      </c>
      <c r="G4283" t="s">
        <v>198</v>
      </c>
    </row>
    <row r="4284" spans="1:7" x14ac:dyDescent="0.35">
      <c r="A4284" s="2">
        <v>42853</v>
      </c>
      <c r="B4284" s="70" t="s">
        <v>38</v>
      </c>
      <c r="C4284" s="10">
        <v>68</v>
      </c>
      <c r="D4284" s="10">
        <v>336</v>
      </c>
      <c r="E4284" s="10" t="s">
        <v>37</v>
      </c>
      <c r="G4284" t="s">
        <v>198</v>
      </c>
    </row>
    <row r="4285" spans="1:7" x14ac:dyDescent="0.35">
      <c r="A4285" s="2">
        <v>42853</v>
      </c>
      <c r="B4285" s="70" t="s">
        <v>38</v>
      </c>
      <c r="C4285" s="10">
        <v>65</v>
      </c>
      <c r="D4285" s="10">
        <v>275</v>
      </c>
      <c r="E4285" s="10" t="s">
        <v>32</v>
      </c>
      <c r="G4285" t="s">
        <v>293</v>
      </c>
    </row>
    <row r="4286" spans="1:7" x14ac:dyDescent="0.35">
      <c r="A4286" s="2">
        <v>42853</v>
      </c>
      <c r="B4286" s="70" t="s">
        <v>38</v>
      </c>
      <c r="C4286" s="10">
        <v>63</v>
      </c>
      <c r="D4286" s="10">
        <v>245</v>
      </c>
      <c r="E4286" s="10" t="s">
        <v>32</v>
      </c>
      <c r="G4286" t="s">
        <v>198</v>
      </c>
    </row>
    <row r="4287" spans="1:7" x14ac:dyDescent="0.35">
      <c r="A4287" s="2">
        <v>42853</v>
      </c>
      <c r="B4287" s="70" t="s">
        <v>38</v>
      </c>
      <c r="C4287" s="10">
        <v>72</v>
      </c>
      <c r="D4287" s="10">
        <v>381</v>
      </c>
      <c r="E4287" s="10" t="s">
        <v>37</v>
      </c>
      <c r="G4287" t="s">
        <v>198</v>
      </c>
    </row>
    <row r="4288" spans="1:7" x14ac:dyDescent="0.35">
      <c r="A4288" s="2">
        <v>42853</v>
      </c>
      <c r="B4288" s="70" t="s">
        <v>38</v>
      </c>
      <c r="C4288" s="10">
        <v>72</v>
      </c>
      <c r="D4288" s="10">
        <v>398</v>
      </c>
      <c r="E4288" s="10" t="s">
        <v>159</v>
      </c>
      <c r="G4288" t="s">
        <v>198</v>
      </c>
    </row>
    <row r="4289" spans="1:8" x14ac:dyDescent="0.35">
      <c r="A4289" s="2">
        <v>42853</v>
      </c>
      <c r="B4289" s="70" t="s">
        <v>38</v>
      </c>
      <c r="C4289" s="10">
        <v>66</v>
      </c>
      <c r="D4289" s="10">
        <v>244</v>
      </c>
      <c r="E4289" s="10" t="s">
        <v>37</v>
      </c>
      <c r="G4289" t="s">
        <v>198</v>
      </c>
    </row>
    <row r="4290" spans="1:8" x14ac:dyDescent="0.35">
      <c r="A4290" s="2">
        <v>42853</v>
      </c>
      <c r="B4290" s="70" t="s">
        <v>38</v>
      </c>
      <c r="C4290" s="10">
        <v>67</v>
      </c>
      <c r="D4290" s="10">
        <v>274</v>
      </c>
      <c r="E4290" s="10" t="s">
        <v>37</v>
      </c>
      <c r="G4290" t="s">
        <v>198</v>
      </c>
    </row>
    <row r="4291" spans="1:8" x14ac:dyDescent="0.35">
      <c r="A4291" s="2">
        <v>42853</v>
      </c>
      <c r="B4291" s="70" t="s">
        <v>38</v>
      </c>
      <c r="C4291" s="10">
        <v>65</v>
      </c>
      <c r="D4291" s="10">
        <v>238</v>
      </c>
      <c r="E4291" s="10" t="s">
        <v>37</v>
      </c>
      <c r="G4291" t="s">
        <v>198</v>
      </c>
    </row>
    <row r="4292" spans="1:8" x14ac:dyDescent="0.35">
      <c r="A4292" s="2">
        <v>42853</v>
      </c>
      <c r="B4292" s="70" t="s">
        <v>38</v>
      </c>
      <c r="C4292" s="10">
        <v>66</v>
      </c>
      <c r="D4292" s="10">
        <v>287</v>
      </c>
      <c r="E4292" s="10" t="s">
        <v>159</v>
      </c>
      <c r="G4292" t="s">
        <v>198</v>
      </c>
    </row>
    <row r="4293" spans="1:8" x14ac:dyDescent="0.35">
      <c r="A4293" s="2">
        <v>42853</v>
      </c>
      <c r="B4293" s="70" t="s">
        <v>38</v>
      </c>
      <c r="C4293" s="10">
        <v>71</v>
      </c>
      <c r="D4293" s="10">
        <v>339</v>
      </c>
      <c r="E4293" s="10" t="s">
        <v>32</v>
      </c>
      <c r="G4293" t="s">
        <v>198</v>
      </c>
    </row>
    <row r="4294" spans="1:8" x14ac:dyDescent="0.35">
      <c r="A4294" s="2">
        <v>42853</v>
      </c>
      <c r="B4294" s="70" t="s">
        <v>38</v>
      </c>
      <c r="C4294" s="10">
        <v>68</v>
      </c>
      <c r="D4294" s="10">
        <v>309</v>
      </c>
      <c r="E4294" s="10" t="s">
        <v>32</v>
      </c>
      <c r="F4294" t="s">
        <v>161</v>
      </c>
      <c r="G4294" t="s">
        <v>198</v>
      </c>
    </row>
    <row r="4295" spans="1:8" x14ac:dyDescent="0.35">
      <c r="A4295" s="2">
        <v>42853</v>
      </c>
      <c r="B4295" s="70" t="s">
        <v>38</v>
      </c>
      <c r="C4295" s="10">
        <v>69</v>
      </c>
      <c r="D4295" s="10">
        <v>283</v>
      </c>
      <c r="E4295" s="10" t="s">
        <v>37</v>
      </c>
      <c r="G4295" t="s">
        <v>198</v>
      </c>
    </row>
    <row r="4296" spans="1:8" x14ac:dyDescent="0.35">
      <c r="A4296" s="2">
        <v>42853</v>
      </c>
      <c r="B4296" s="70" t="s">
        <v>38</v>
      </c>
      <c r="C4296" s="10">
        <v>69</v>
      </c>
      <c r="D4296" s="10">
        <v>317</v>
      </c>
      <c r="E4296" s="10" t="s">
        <v>37</v>
      </c>
      <c r="G4296" t="s">
        <v>198</v>
      </c>
    </row>
    <row r="4297" spans="1:8" x14ac:dyDescent="0.35">
      <c r="A4297" s="2">
        <v>42853</v>
      </c>
      <c r="B4297" s="70" t="s">
        <v>38</v>
      </c>
      <c r="C4297" s="10">
        <v>70</v>
      </c>
      <c r="D4297" s="10">
        <v>340</v>
      </c>
      <c r="E4297" s="10" t="s">
        <v>32</v>
      </c>
      <c r="G4297" t="s">
        <v>198</v>
      </c>
    </row>
    <row r="4298" spans="1:8" x14ac:dyDescent="0.35">
      <c r="A4298" s="2">
        <v>42853</v>
      </c>
      <c r="B4298" s="70" t="s">
        <v>38</v>
      </c>
      <c r="C4298" s="10">
        <v>63</v>
      </c>
      <c r="D4298" s="10">
        <v>234</v>
      </c>
      <c r="E4298" s="10" t="s">
        <v>37</v>
      </c>
      <c r="G4298" t="s">
        <v>198</v>
      </c>
    </row>
    <row r="4299" spans="1:8" x14ac:dyDescent="0.35">
      <c r="A4299" s="2">
        <v>42853</v>
      </c>
      <c r="B4299" s="70" t="s">
        <v>38</v>
      </c>
      <c r="C4299" s="10">
        <v>67</v>
      </c>
      <c r="D4299" s="10">
        <v>322</v>
      </c>
      <c r="E4299" s="10" t="s">
        <v>32</v>
      </c>
    </row>
    <row r="4300" spans="1:8" x14ac:dyDescent="0.35">
      <c r="A4300" s="2">
        <v>42853</v>
      </c>
      <c r="B4300" s="70" t="s">
        <v>38</v>
      </c>
      <c r="C4300" s="10">
        <v>74</v>
      </c>
      <c r="D4300" s="10">
        <v>304</v>
      </c>
      <c r="E4300" s="10" t="s">
        <v>37</v>
      </c>
      <c r="G4300" t="s">
        <v>198</v>
      </c>
      <c r="H4300" t="s">
        <v>458</v>
      </c>
    </row>
    <row r="4301" spans="1:8" x14ac:dyDescent="0.35">
      <c r="A4301" s="2">
        <v>42853</v>
      </c>
      <c r="B4301" s="70" t="s">
        <v>38</v>
      </c>
      <c r="C4301" s="10">
        <v>67</v>
      </c>
      <c r="D4301" s="10">
        <v>290</v>
      </c>
      <c r="E4301" s="10" t="s">
        <v>32</v>
      </c>
      <c r="F4301" t="s">
        <v>161</v>
      </c>
      <c r="G4301" t="s">
        <v>198</v>
      </c>
    </row>
    <row r="4302" spans="1:8" x14ac:dyDescent="0.35">
      <c r="A4302" s="2">
        <v>42853</v>
      </c>
      <c r="B4302" s="70" t="s">
        <v>38</v>
      </c>
      <c r="C4302" s="10">
        <v>61</v>
      </c>
      <c r="D4302" s="10">
        <v>238</v>
      </c>
      <c r="E4302" s="10" t="s">
        <v>37</v>
      </c>
      <c r="G4302" t="s">
        <v>198</v>
      </c>
    </row>
    <row r="4303" spans="1:8" x14ac:dyDescent="0.35">
      <c r="A4303" s="2">
        <v>42853</v>
      </c>
      <c r="B4303" s="70" t="s">
        <v>38</v>
      </c>
      <c r="C4303" s="10">
        <v>67</v>
      </c>
      <c r="D4303" s="10">
        <v>256</v>
      </c>
      <c r="E4303" s="10" t="s">
        <v>32</v>
      </c>
      <c r="G4303" t="s">
        <v>198</v>
      </c>
    </row>
    <row r="4304" spans="1:8" x14ac:dyDescent="0.35">
      <c r="A4304" s="2">
        <v>42853</v>
      </c>
      <c r="B4304" s="70" t="s">
        <v>38</v>
      </c>
      <c r="C4304" s="10">
        <v>69</v>
      </c>
      <c r="D4304" s="10">
        <v>263</v>
      </c>
      <c r="E4304" s="10" t="s">
        <v>32</v>
      </c>
      <c r="G4304" t="s">
        <v>198</v>
      </c>
    </row>
    <row r="4305" spans="1:20" x14ac:dyDescent="0.35">
      <c r="A4305" s="2">
        <v>42853</v>
      </c>
      <c r="B4305" s="70" t="s">
        <v>38</v>
      </c>
      <c r="C4305" s="10">
        <v>62</v>
      </c>
      <c r="D4305" s="10">
        <v>246</v>
      </c>
      <c r="E4305" s="10" t="s">
        <v>37</v>
      </c>
      <c r="G4305" t="s">
        <v>198</v>
      </c>
    </row>
    <row r="4306" spans="1:20" x14ac:dyDescent="0.35">
      <c r="A4306" s="2">
        <v>42853</v>
      </c>
      <c r="B4306" s="70" t="s">
        <v>38</v>
      </c>
      <c r="C4306" s="10">
        <v>58</v>
      </c>
      <c r="D4306" s="10">
        <v>179</v>
      </c>
      <c r="E4306" s="10" t="s">
        <v>159</v>
      </c>
      <c r="G4306" t="s">
        <v>198</v>
      </c>
    </row>
    <row r="4307" spans="1:20" x14ac:dyDescent="0.35">
      <c r="A4307" s="2">
        <v>42853</v>
      </c>
      <c r="B4307" s="70" t="s">
        <v>38</v>
      </c>
      <c r="C4307" s="10">
        <v>64</v>
      </c>
      <c r="D4307" s="10">
        <v>242</v>
      </c>
      <c r="E4307" s="10" t="s">
        <v>37</v>
      </c>
      <c r="G4307" t="s">
        <v>198</v>
      </c>
    </row>
    <row r="4308" spans="1:20" x14ac:dyDescent="0.35">
      <c r="A4308" s="2">
        <v>42853</v>
      </c>
      <c r="B4308" s="70" t="s">
        <v>38</v>
      </c>
      <c r="C4308" s="10">
        <v>69</v>
      </c>
      <c r="D4308" s="10">
        <v>295</v>
      </c>
      <c r="E4308" s="10" t="s">
        <v>37</v>
      </c>
      <c r="G4308" t="s">
        <v>198</v>
      </c>
    </row>
    <row r="4309" spans="1:20" x14ac:dyDescent="0.35">
      <c r="A4309" s="2">
        <v>42853</v>
      </c>
      <c r="B4309" s="70" t="s">
        <v>38</v>
      </c>
      <c r="C4309" s="10">
        <v>68</v>
      </c>
      <c r="D4309" s="10">
        <v>252</v>
      </c>
      <c r="E4309" s="10" t="s">
        <v>32</v>
      </c>
      <c r="G4309" t="s">
        <v>198</v>
      </c>
    </row>
    <row r="4310" spans="1:20" x14ac:dyDescent="0.35">
      <c r="A4310" s="2">
        <v>42853</v>
      </c>
      <c r="B4310" s="70" t="s">
        <v>38</v>
      </c>
      <c r="C4310" s="10">
        <v>72</v>
      </c>
      <c r="D4310" s="10">
        <v>340</v>
      </c>
      <c r="E4310" s="10" t="s">
        <v>32</v>
      </c>
      <c r="G4310" t="s">
        <v>198</v>
      </c>
    </row>
    <row r="4311" spans="1:20" x14ac:dyDescent="0.35">
      <c r="A4311" s="2">
        <v>42853</v>
      </c>
      <c r="B4311" s="70" t="s">
        <v>38</v>
      </c>
      <c r="C4311" s="10">
        <v>72</v>
      </c>
      <c r="D4311" s="10">
        <v>314</v>
      </c>
      <c r="E4311" s="10" t="s">
        <v>37</v>
      </c>
      <c r="G4311" t="s">
        <v>198</v>
      </c>
    </row>
    <row r="4312" spans="1:20" x14ac:dyDescent="0.35">
      <c r="A4312" s="2">
        <v>42853</v>
      </c>
      <c r="B4312" s="70" t="s">
        <v>38</v>
      </c>
      <c r="C4312" s="10">
        <v>70</v>
      </c>
      <c r="D4312" s="10">
        <v>330</v>
      </c>
      <c r="E4312" s="10" t="s">
        <v>32</v>
      </c>
      <c r="G4312" t="s">
        <v>198</v>
      </c>
    </row>
    <row r="4313" spans="1:20" x14ac:dyDescent="0.35">
      <c r="A4313" s="2">
        <v>42853</v>
      </c>
      <c r="B4313" s="70" t="s">
        <v>38</v>
      </c>
      <c r="C4313" s="10">
        <v>78</v>
      </c>
      <c r="D4313" s="10">
        <v>390</v>
      </c>
      <c r="E4313" s="10" t="s">
        <v>32</v>
      </c>
      <c r="F4313" t="s">
        <v>161</v>
      </c>
      <c r="G4313" t="s">
        <v>198</v>
      </c>
    </row>
    <row r="4314" spans="1:20" x14ac:dyDescent="0.35">
      <c r="A4314" s="2">
        <v>42853</v>
      </c>
      <c r="B4314" s="70" t="s">
        <v>38</v>
      </c>
      <c r="C4314" s="10">
        <v>64</v>
      </c>
      <c r="D4314" s="10">
        <v>278</v>
      </c>
      <c r="E4314" s="10" t="s">
        <v>32</v>
      </c>
      <c r="G4314" t="s">
        <v>198</v>
      </c>
    </row>
    <row r="4315" spans="1:20" x14ac:dyDescent="0.35">
      <c r="A4315" s="2">
        <v>42853</v>
      </c>
      <c r="B4315" s="70" t="s">
        <v>38</v>
      </c>
      <c r="C4315" s="10">
        <v>72</v>
      </c>
      <c r="D4315" s="10">
        <v>331</v>
      </c>
      <c r="E4315" s="10" t="s">
        <v>32</v>
      </c>
      <c r="G4315" t="s">
        <v>198</v>
      </c>
      <c r="H4315" t="s">
        <v>459</v>
      </c>
      <c r="J4315" t="s">
        <v>42</v>
      </c>
      <c r="K4315" t="s">
        <v>39</v>
      </c>
      <c r="L4315" t="s">
        <v>40</v>
      </c>
      <c r="M4315" t="s">
        <v>36</v>
      </c>
      <c r="N4315" t="s">
        <v>33</v>
      </c>
      <c r="O4315" t="s">
        <v>34</v>
      </c>
      <c r="P4315" t="s">
        <v>32</v>
      </c>
      <c r="Q4315" t="s">
        <v>37</v>
      </c>
      <c r="R4315" t="s">
        <v>159</v>
      </c>
    </row>
    <row r="4316" spans="1:20" x14ac:dyDescent="0.35">
      <c r="A4316" s="2">
        <v>42853</v>
      </c>
      <c r="B4316" s="70" t="s">
        <v>38</v>
      </c>
      <c r="C4316" s="10">
        <v>67</v>
      </c>
      <c r="D4316" s="10">
        <v>268</v>
      </c>
      <c r="E4316" s="10" t="s">
        <v>32</v>
      </c>
      <c r="G4316" t="s">
        <v>198</v>
      </c>
      <c r="J4316" s="5">
        <f>COUNTIF(E4205:E4317,"VA")</f>
        <v>0</v>
      </c>
      <c r="K4316" s="5">
        <f>COUNTIF(F4205:F4317,"VA")</f>
        <v>0</v>
      </c>
      <c r="L4316" s="5">
        <f t="shared" ref="L4316" si="132">COUNTIF(G4205:G4317,"VA")</f>
        <v>0</v>
      </c>
      <c r="M4316" s="5">
        <v>0</v>
      </c>
      <c r="N4316" s="5">
        <f>COUNTIF(E4205:E4317,"VIA2")</f>
        <v>0</v>
      </c>
      <c r="O4316" s="5">
        <f>COUNTIF(E4268:E4317,"VIA3")</f>
        <v>1</v>
      </c>
      <c r="P4316" s="5">
        <f>COUNTIF(E4268:E4317,"VIA4")</f>
        <v>22</v>
      </c>
      <c r="Q4316" s="5">
        <f>COUNTIF(E4268:E4317,"VIB")</f>
        <v>22</v>
      </c>
      <c r="R4316" s="5">
        <f>COUNTIF(E4268:E4317,"VII")</f>
        <v>5</v>
      </c>
      <c r="T4316" s="42" t="e">
        <f>AVERAGE(#REF!)</f>
        <v>#REF!</v>
      </c>
    </row>
    <row r="4317" spans="1:20" s="4" customFormat="1" x14ac:dyDescent="0.35">
      <c r="A4317" s="3">
        <v>42853</v>
      </c>
      <c r="B4317" s="44" t="s">
        <v>38</v>
      </c>
      <c r="C4317" s="11">
        <v>62</v>
      </c>
      <c r="D4317" s="11">
        <v>228</v>
      </c>
      <c r="E4317" s="4" t="s">
        <v>32</v>
      </c>
      <c r="G4317" s="4" t="s">
        <v>198</v>
      </c>
      <c r="J4317" s="6">
        <f>J4316/103*100</f>
        <v>0</v>
      </c>
      <c r="K4317" s="6">
        <f t="shared" ref="K4317:N4317" si="133">K4316/103*100</f>
        <v>0</v>
      </c>
      <c r="L4317" s="6">
        <f t="shared" si="133"/>
        <v>0</v>
      </c>
      <c r="M4317" s="6">
        <f t="shared" si="133"/>
        <v>0</v>
      </c>
      <c r="N4317" s="6">
        <f t="shared" si="133"/>
        <v>0</v>
      </c>
      <c r="O4317" s="6">
        <f>O4316/50*100</f>
        <v>2</v>
      </c>
      <c r="P4317" s="6">
        <f t="shared" ref="P4317:R4317" si="134">P4316/50*100</f>
        <v>44</v>
      </c>
      <c r="Q4317" s="6">
        <f t="shared" si="134"/>
        <v>44</v>
      </c>
      <c r="R4317" s="6">
        <f t="shared" si="134"/>
        <v>10</v>
      </c>
    </row>
    <row r="4318" spans="1:20" x14ac:dyDescent="0.35">
      <c r="A4318" s="2">
        <v>42853</v>
      </c>
      <c r="B4318" s="70" t="s">
        <v>29</v>
      </c>
      <c r="C4318" s="10">
        <v>66</v>
      </c>
      <c r="D4318" s="10">
        <v>259</v>
      </c>
      <c r="E4318" s="10" t="s">
        <v>37</v>
      </c>
      <c r="G4318" s="10" t="s">
        <v>198</v>
      </c>
      <c r="H4318" t="s">
        <v>460</v>
      </c>
    </row>
    <row r="4319" spans="1:20" x14ac:dyDescent="0.35">
      <c r="A4319" s="2">
        <v>42853</v>
      </c>
      <c r="B4319" s="70" t="s">
        <v>29</v>
      </c>
      <c r="C4319" s="10">
        <v>65</v>
      </c>
      <c r="D4319" s="10">
        <v>285</v>
      </c>
      <c r="E4319" s="10" t="s">
        <v>37</v>
      </c>
      <c r="G4319" s="10" t="s">
        <v>198</v>
      </c>
      <c r="H4319" t="s">
        <v>461</v>
      </c>
    </row>
    <row r="4320" spans="1:20" x14ac:dyDescent="0.35">
      <c r="A4320" s="2">
        <v>42853</v>
      </c>
      <c r="B4320" s="70" t="s">
        <v>29</v>
      </c>
      <c r="C4320" s="10">
        <v>66</v>
      </c>
      <c r="D4320" s="10">
        <v>265</v>
      </c>
      <c r="E4320" s="10" t="s">
        <v>37</v>
      </c>
      <c r="G4320" s="10" t="s">
        <v>198</v>
      </c>
      <c r="H4320" t="s">
        <v>462</v>
      </c>
    </row>
    <row r="4321" spans="1:8" x14ac:dyDescent="0.35">
      <c r="A4321" s="2">
        <v>42853</v>
      </c>
      <c r="B4321" s="70" t="s">
        <v>29</v>
      </c>
      <c r="C4321" s="10">
        <v>73</v>
      </c>
      <c r="D4321" s="10">
        <v>360</v>
      </c>
      <c r="E4321" s="10" t="s">
        <v>37</v>
      </c>
      <c r="G4321" s="10" t="s">
        <v>198</v>
      </c>
      <c r="H4321" t="s">
        <v>463</v>
      </c>
    </row>
    <row r="4322" spans="1:8" x14ac:dyDescent="0.35">
      <c r="A4322" s="2">
        <v>42853</v>
      </c>
      <c r="B4322" s="70" t="s">
        <v>29</v>
      </c>
      <c r="C4322" s="10">
        <v>68</v>
      </c>
      <c r="D4322" s="10">
        <v>240</v>
      </c>
      <c r="E4322" s="10" t="s">
        <v>37</v>
      </c>
      <c r="G4322" s="10" t="s">
        <v>198</v>
      </c>
    </row>
    <row r="4323" spans="1:8" x14ac:dyDescent="0.35">
      <c r="A4323" s="2">
        <v>42853</v>
      </c>
      <c r="B4323" s="70" t="s">
        <v>29</v>
      </c>
      <c r="C4323" s="10">
        <v>72</v>
      </c>
      <c r="D4323" s="10">
        <v>335</v>
      </c>
      <c r="E4323" s="10" t="s">
        <v>37</v>
      </c>
      <c r="G4323" s="10" t="s">
        <v>198</v>
      </c>
      <c r="H4323" t="s">
        <v>464</v>
      </c>
    </row>
    <row r="4324" spans="1:8" x14ac:dyDescent="0.35">
      <c r="A4324" s="2">
        <v>42853</v>
      </c>
      <c r="B4324" s="70" t="s">
        <v>29</v>
      </c>
      <c r="C4324" s="10">
        <v>66</v>
      </c>
      <c r="D4324" s="10">
        <v>244</v>
      </c>
      <c r="E4324" s="10" t="s">
        <v>37</v>
      </c>
      <c r="G4324" s="10" t="s">
        <v>198</v>
      </c>
    </row>
    <row r="4325" spans="1:8" x14ac:dyDescent="0.35">
      <c r="A4325" s="2">
        <v>42853</v>
      </c>
      <c r="B4325" s="70" t="s">
        <v>29</v>
      </c>
      <c r="C4325" s="10">
        <v>69</v>
      </c>
      <c r="D4325" s="10">
        <v>331</v>
      </c>
      <c r="E4325" s="10" t="s">
        <v>32</v>
      </c>
      <c r="G4325" s="10" t="s">
        <v>198</v>
      </c>
    </row>
    <row r="4326" spans="1:8" x14ac:dyDescent="0.35">
      <c r="A4326" s="2">
        <v>42853</v>
      </c>
      <c r="B4326" s="70" t="s">
        <v>29</v>
      </c>
      <c r="C4326" s="10">
        <v>77</v>
      </c>
      <c r="D4326" s="10">
        <v>345</v>
      </c>
      <c r="E4326" s="10" t="s">
        <v>32</v>
      </c>
      <c r="G4326" s="10" t="s">
        <v>198</v>
      </c>
    </row>
    <row r="4327" spans="1:8" x14ac:dyDescent="0.35">
      <c r="A4327" s="2">
        <v>42853</v>
      </c>
      <c r="B4327" s="70" t="s">
        <v>29</v>
      </c>
      <c r="C4327" s="10">
        <v>68</v>
      </c>
      <c r="D4327" s="10">
        <v>321</v>
      </c>
      <c r="E4327" s="10" t="s">
        <v>32</v>
      </c>
      <c r="F4327" t="s">
        <v>161</v>
      </c>
      <c r="G4327" s="10" t="s">
        <v>198</v>
      </c>
    </row>
    <row r="4328" spans="1:8" x14ac:dyDescent="0.35">
      <c r="A4328" s="2">
        <v>42853</v>
      </c>
      <c r="B4328" s="70" t="s">
        <v>29</v>
      </c>
      <c r="C4328" s="10">
        <v>66</v>
      </c>
      <c r="D4328" s="10">
        <v>257</v>
      </c>
      <c r="E4328" s="10" t="s">
        <v>37</v>
      </c>
      <c r="G4328" s="10" t="s">
        <v>198</v>
      </c>
    </row>
    <row r="4329" spans="1:8" x14ac:dyDescent="0.35">
      <c r="A4329" s="2">
        <v>42853</v>
      </c>
      <c r="B4329" s="70" t="s">
        <v>29</v>
      </c>
      <c r="C4329" s="10">
        <v>64</v>
      </c>
      <c r="D4329" s="10">
        <v>231</v>
      </c>
      <c r="E4329" s="10" t="s">
        <v>37</v>
      </c>
      <c r="G4329" s="10" t="s">
        <v>198</v>
      </c>
    </row>
    <row r="4330" spans="1:8" x14ac:dyDescent="0.35">
      <c r="A4330" s="2">
        <v>42853</v>
      </c>
      <c r="B4330" s="70" t="s">
        <v>29</v>
      </c>
      <c r="C4330" s="10">
        <v>59</v>
      </c>
      <c r="D4330" s="10">
        <v>179</v>
      </c>
      <c r="E4330" s="10" t="s">
        <v>37</v>
      </c>
      <c r="G4330" s="10" t="s">
        <v>198</v>
      </c>
    </row>
    <row r="4331" spans="1:8" x14ac:dyDescent="0.35">
      <c r="A4331" s="2">
        <v>42853</v>
      </c>
      <c r="B4331" s="70" t="s">
        <v>29</v>
      </c>
      <c r="C4331" s="10">
        <v>63</v>
      </c>
      <c r="D4331" s="10">
        <v>226</v>
      </c>
      <c r="E4331" s="10" t="s">
        <v>37</v>
      </c>
      <c r="G4331" s="10" t="s">
        <v>198</v>
      </c>
    </row>
    <row r="4332" spans="1:8" x14ac:dyDescent="0.35">
      <c r="A4332" s="2">
        <v>42853</v>
      </c>
      <c r="B4332" s="70" t="s">
        <v>29</v>
      </c>
      <c r="C4332" s="10">
        <v>70</v>
      </c>
      <c r="D4332" s="10">
        <v>322</v>
      </c>
      <c r="E4332" s="10" t="s">
        <v>159</v>
      </c>
      <c r="G4332" s="10" t="s">
        <v>198</v>
      </c>
    </row>
    <row r="4333" spans="1:8" x14ac:dyDescent="0.35">
      <c r="A4333" s="2">
        <v>42853</v>
      </c>
      <c r="B4333" s="70" t="s">
        <v>29</v>
      </c>
      <c r="C4333" s="10">
        <v>68</v>
      </c>
      <c r="D4333" s="10">
        <v>267</v>
      </c>
      <c r="E4333" s="10" t="s">
        <v>32</v>
      </c>
      <c r="G4333" s="10" t="s">
        <v>293</v>
      </c>
    </row>
    <row r="4334" spans="1:8" x14ac:dyDescent="0.35">
      <c r="A4334" s="2">
        <v>42853</v>
      </c>
      <c r="B4334" s="70" t="s">
        <v>29</v>
      </c>
      <c r="C4334" s="10">
        <v>68</v>
      </c>
      <c r="D4334" s="10">
        <v>279</v>
      </c>
      <c r="E4334" s="10" t="s">
        <v>32</v>
      </c>
      <c r="G4334" s="10" t="s">
        <v>198</v>
      </c>
    </row>
    <row r="4335" spans="1:8" x14ac:dyDescent="0.35">
      <c r="A4335" s="2">
        <v>42853</v>
      </c>
      <c r="B4335" s="70" t="s">
        <v>29</v>
      </c>
      <c r="C4335" s="10">
        <v>69</v>
      </c>
      <c r="D4335" s="10">
        <v>293</v>
      </c>
      <c r="E4335" s="10" t="s">
        <v>37</v>
      </c>
      <c r="G4335" s="10" t="s">
        <v>198</v>
      </c>
    </row>
    <row r="4336" spans="1:8" x14ac:dyDescent="0.35">
      <c r="A4336" s="2">
        <v>42853</v>
      </c>
      <c r="B4336" s="70" t="s">
        <v>29</v>
      </c>
      <c r="C4336" s="10">
        <v>66</v>
      </c>
      <c r="D4336" s="10">
        <v>270</v>
      </c>
      <c r="E4336" s="10" t="s">
        <v>37</v>
      </c>
      <c r="G4336" s="10" t="s">
        <v>198</v>
      </c>
    </row>
    <row r="4337" spans="1:7" x14ac:dyDescent="0.35">
      <c r="A4337" s="2">
        <v>42853</v>
      </c>
      <c r="B4337" s="70" t="s">
        <v>29</v>
      </c>
      <c r="C4337" s="10">
        <v>72</v>
      </c>
      <c r="D4337" s="10">
        <v>326</v>
      </c>
      <c r="E4337" s="10" t="s">
        <v>37</v>
      </c>
      <c r="G4337" s="10" t="s">
        <v>198</v>
      </c>
    </row>
    <row r="4338" spans="1:7" x14ac:dyDescent="0.35">
      <c r="A4338" s="2">
        <v>42853</v>
      </c>
      <c r="B4338" s="70" t="s">
        <v>29</v>
      </c>
      <c r="C4338" s="10">
        <v>69</v>
      </c>
      <c r="D4338" s="10">
        <v>285</v>
      </c>
      <c r="E4338" s="10" t="s">
        <v>37</v>
      </c>
      <c r="G4338" s="10" t="s">
        <v>198</v>
      </c>
    </row>
    <row r="4339" spans="1:7" x14ac:dyDescent="0.35">
      <c r="A4339" s="2">
        <v>42853</v>
      </c>
      <c r="B4339" s="70" t="s">
        <v>29</v>
      </c>
      <c r="C4339" s="10">
        <v>71</v>
      </c>
      <c r="D4339" s="10">
        <v>350</v>
      </c>
      <c r="E4339" s="10" t="s">
        <v>32</v>
      </c>
      <c r="G4339" s="10" t="s">
        <v>198</v>
      </c>
    </row>
    <row r="4340" spans="1:7" x14ac:dyDescent="0.35">
      <c r="A4340" s="2">
        <v>42853</v>
      </c>
      <c r="B4340" s="70" t="s">
        <v>29</v>
      </c>
      <c r="C4340" s="10">
        <v>68</v>
      </c>
      <c r="D4340" s="10">
        <v>317</v>
      </c>
      <c r="E4340" s="10" t="s">
        <v>37</v>
      </c>
      <c r="G4340" s="10" t="s">
        <v>198</v>
      </c>
    </row>
    <row r="4341" spans="1:7" x14ac:dyDescent="0.35">
      <c r="A4341" s="2">
        <v>42853</v>
      </c>
      <c r="B4341" s="70" t="s">
        <v>29</v>
      </c>
      <c r="C4341" s="10">
        <v>68</v>
      </c>
      <c r="D4341" s="10">
        <v>296</v>
      </c>
      <c r="E4341" s="10" t="s">
        <v>37</v>
      </c>
      <c r="G4341" s="10" t="s">
        <v>198</v>
      </c>
    </row>
    <row r="4342" spans="1:7" x14ac:dyDescent="0.35">
      <c r="A4342" s="2">
        <v>42853</v>
      </c>
      <c r="B4342" s="70" t="s">
        <v>29</v>
      </c>
      <c r="C4342" s="10">
        <v>70</v>
      </c>
      <c r="D4342" s="10">
        <v>322</v>
      </c>
      <c r="E4342" s="10" t="s">
        <v>32</v>
      </c>
      <c r="F4342" t="s">
        <v>161</v>
      </c>
      <c r="G4342" s="10" t="s">
        <v>198</v>
      </c>
    </row>
    <row r="4343" spans="1:7" x14ac:dyDescent="0.35">
      <c r="A4343" s="2">
        <v>42853</v>
      </c>
      <c r="B4343" s="70" t="s">
        <v>29</v>
      </c>
      <c r="C4343" s="10">
        <v>67</v>
      </c>
      <c r="D4343" s="10">
        <v>294</v>
      </c>
      <c r="E4343" s="10" t="s">
        <v>37</v>
      </c>
      <c r="G4343" s="10" t="s">
        <v>198</v>
      </c>
    </row>
    <row r="4344" spans="1:7" x14ac:dyDescent="0.35">
      <c r="A4344" s="2">
        <v>42853</v>
      </c>
      <c r="B4344" s="70" t="s">
        <v>29</v>
      </c>
      <c r="C4344" s="10">
        <v>66</v>
      </c>
      <c r="D4344" s="10">
        <v>232</v>
      </c>
      <c r="E4344" s="10" t="s">
        <v>32</v>
      </c>
      <c r="G4344" s="10" t="s">
        <v>198</v>
      </c>
    </row>
    <row r="4345" spans="1:7" x14ac:dyDescent="0.35">
      <c r="A4345" s="2">
        <v>42853</v>
      </c>
      <c r="B4345" s="70" t="s">
        <v>29</v>
      </c>
      <c r="C4345" s="10">
        <v>68</v>
      </c>
      <c r="D4345" s="10">
        <v>286</v>
      </c>
      <c r="E4345" s="10" t="s">
        <v>32</v>
      </c>
      <c r="G4345" s="10" t="s">
        <v>198</v>
      </c>
    </row>
    <row r="4346" spans="1:7" x14ac:dyDescent="0.35">
      <c r="A4346" s="2">
        <v>42853</v>
      </c>
      <c r="B4346" s="70" t="s">
        <v>29</v>
      </c>
      <c r="C4346" s="10">
        <v>69</v>
      </c>
      <c r="D4346" s="10">
        <v>294</v>
      </c>
      <c r="E4346" s="10" t="s">
        <v>37</v>
      </c>
      <c r="G4346" s="10" t="s">
        <v>198</v>
      </c>
    </row>
    <row r="4347" spans="1:7" x14ac:dyDescent="0.35">
      <c r="A4347" s="2">
        <v>42853</v>
      </c>
      <c r="B4347" s="70" t="s">
        <v>29</v>
      </c>
      <c r="C4347" s="10">
        <v>67</v>
      </c>
      <c r="D4347" s="10">
        <v>240</v>
      </c>
      <c r="E4347" s="10" t="s">
        <v>37</v>
      </c>
      <c r="G4347" s="10" t="s">
        <v>198</v>
      </c>
    </row>
    <row r="4348" spans="1:7" x14ac:dyDescent="0.35">
      <c r="A4348" s="2">
        <v>42853</v>
      </c>
      <c r="B4348" s="70" t="s">
        <v>29</v>
      </c>
      <c r="C4348" s="10">
        <v>68</v>
      </c>
      <c r="D4348" s="10">
        <v>303</v>
      </c>
      <c r="E4348" s="10" t="s">
        <v>32</v>
      </c>
      <c r="G4348" s="10" t="s">
        <v>198</v>
      </c>
    </row>
    <row r="4349" spans="1:7" x14ac:dyDescent="0.35">
      <c r="A4349" s="2">
        <v>42853</v>
      </c>
      <c r="B4349" s="70" t="s">
        <v>29</v>
      </c>
      <c r="C4349" s="10">
        <v>69</v>
      </c>
      <c r="D4349" s="10">
        <v>335</v>
      </c>
      <c r="E4349" s="10" t="s">
        <v>32</v>
      </c>
      <c r="G4349" s="10" t="s">
        <v>198</v>
      </c>
    </row>
    <row r="4350" spans="1:7" x14ac:dyDescent="0.35">
      <c r="A4350" s="2">
        <v>42853</v>
      </c>
      <c r="B4350" s="70" t="s">
        <v>29</v>
      </c>
      <c r="C4350" s="10">
        <v>65</v>
      </c>
      <c r="D4350" s="10">
        <v>261</v>
      </c>
      <c r="E4350" s="10" t="s">
        <v>37</v>
      </c>
      <c r="G4350" s="10" t="s">
        <v>198</v>
      </c>
    </row>
    <row r="4351" spans="1:7" x14ac:dyDescent="0.35">
      <c r="A4351" s="2">
        <v>42853</v>
      </c>
      <c r="B4351" s="70" t="s">
        <v>29</v>
      </c>
      <c r="C4351" s="10">
        <v>68</v>
      </c>
      <c r="D4351" s="10">
        <v>261</v>
      </c>
      <c r="E4351" s="10" t="s">
        <v>37</v>
      </c>
      <c r="G4351" s="10" t="s">
        <v>198</v>
      </c>
    </row>
    <row r="4352" spans="1:7" x14ac:dyDescent="0.35">
      <c r="A4352" s="2">
        <v>42853</v>
      </c>
      <c r="B4352" s="70" t="s">
        <v>29</v>
      </c>
      <c r="C4352" s="10">
        <v>74</v>
      </c>
      <c r="D4352" s="10">
        <v>389</v>
      </c>
      <c r="E4352" s="10" t="s">
        <v>32</v>
      </c>
      <c r="F4352" t="s">
        <v>161</v>
      </c>
      <c r="G4352" s="10" t="s">
        <v>198</v>
      </c>
    </row>
    <row r="4353" spans="1:18" x14ac:dyDescent="0.35">
      <c r="A4353" s="2">
        <v>42853</v>
      </c>
      <c r="B4353" s="70" t="s">
        <v>29</v>
      </c>
      <c r="C4353" s="10">
        <v>68</v>
      </c>
      <c r="D4353" s="10">
        <v>270</v>
      </c>
      <c r="E4353" s="10" t="s">
        <v>37</v>
      </c>
      <c r="G4353" s="10" t="s">
        <v>198</v>
      </c>
    </row>
    <row r="4354" spans="1:18" x14ac:dyDescent="0.35">
      <c r="A4354" s="2">
        <v>42853</v>
      </c>
      <c r="B4354" s="70" t="s">
        <v>29</v>
      </c>
      <c r="C4354" s="10">
        <v>62</v>
      </c>
      <c r="D4354" s="10">
        <v>212</v>
      </c>
      <c r="E4354" s="10" t="s">
        <v>32</v>
      </c>
      <c r="G4354" s="10"/>
    </row>
    <row r="4355" spans="1:18" x14ac:dyDescent="0.35">
      <c r="A4355" s="2">
        <v>42853</v>
      </c>
      <c r="B4355" s="70" t="s">
        <v>29</v>
      </c>
      <c r="C4355" s="10">
        <v>64</v>
      </c>
      <c r="D4355" s="10">
        <v>214</v>
      </c>
      <c r="E4355" s="10" t="s">
        <v>32</v>
      </c>
      <c r="G4355" s="10" t="s">
        <v>293</v>
      </c>
    </row>
    <row r="4356" spans="1:18" x14ac:dyDescent="0.35">
      <c r="A4356" s="2">
        <v>42853</v>
      </c>
      <c r="B4356" s="70" t="s">
        <v>29</v>
      </c>
      <c r="C4356" s="10">
        <v>59</v>
      </c>
      <c r="D4356" s="10">
        <v>192</v>
      </c>
      <c r="E4356" s="10" t="s">
        <v>37</v>
      </c>
      <c r="G4356" s="10" t="s">
        <v>198</v>
      </c>
    </row>
    <row r="4357" spans="1:18" x14ac:dyDescent="0.35">
      <c r="A4357" s="2">
        <v>42853</v>
      </c>
      <c r="B4357" s="70" t="s">
        <v>29</v>
      </c>
      <c r="C4357" s="10">
        <v>69</v>
      </c>
      <c r="D4357" s="10">
        <v>285</v>
      </c>
      <c r="E4357" s="10" t="s">
        <v>34</v>
      </c>
      <c r="G4357" s="10" t="s">
        <v>293</v>
      </c>
    </row>
    <row r="4358" spans="1:18" x14ac:dyDescent="0.35">
      <c r="A4358" s="2">
        <v>42853</v>
      </c>
      <c r="B4358" s="70" t="s">
        <v>29</v>
      </c>
      <c r="C4358" s="10">
        <v>67</v>
      </c>
      <c r="D4358" s="10">
        <v>289</v>
      </c>
      <c r="E4358" s="10" t="s">
        <v>32</v>
      </c>
      <c r="G4358" s="10" t="s">
        <v>293</v>
      </c>
    </row>
    <row r="4359" spans="1:18" x14ac:dyDescent="0.35">
      <c r="A4359" s="2">
        <v>42853</v>
      </c>
      <c r="B4359" s="70" t="s">
        <v>29</v>
      </c>
      <c r="C4359" s="10">
        <v>73</v>
      </c>
      <c r="D4359" s="10">
        <v>317</v>
      </c>
      <c r="E4359" s="10" t="s">
        <v>159</v>
      </c>
      <c r="G4359" s="10" t="s">
        <v>198</v>
      </c>
    </row>
    <row r="4360" spans="1:18" x14ac:dyDescent="0.35">
      <c r="A4360" s="2">
        <v>42853</v>
      </c>
      <c r="B4360" s="70" t="s">
        <v>29</v>
      </c>
      <c r="C4360" s="10">
        <v>63</v>
      </c>
      <c r="D4360" s="10">
        <v>248</v>
      </c>
      <c r="E4360" s="10" t="s">
        <v>37</v>
      </c>
      <c r="G4360" s="10" t="s">
        <v>198</v>
      </c>
    </row>
    <row r="4361" spans="1:18" x14ac:dyDescent="0.35">
      <c r="A4361" s="2">
        <v>42853</v>
      </c>
      <c r="B4361" s="70" t="s">
        <v>29</v>
      </c>
      <c r="C4361" s="10">
        <v>64</v>
      </c>
      <c r="D4361" s="10">
        <v>299</v>
      </c>
      <c r="E4361" s="10" t="s">
        <v>37</v>
      </c>
      <c r="G4361" s="10" t="s">
        <v>198</v>
      </c>
    </row>
    <row r="4362" spans="1:18" x14ac:dyDescent="0.35">
      <c r="A4362" s="2">
        <v>42853</v>
      </c>
      <c r="B4362" s="70" t="s">
        <v>29</v>
      </c>
      <c r="C4362" s="10">
        <v>62</v>
      </c>
      <c r="D4362" s="10">
        <v>213</v>
      </c>
      <c r="E4362" s="10" t="s">
        <v>32</v>
      </c>
      <c r="G4362" s="10" t="s">
        <v>198</v>
      </c>
    </row>
    <row r="4363" spans="1:18" x14ac:dyDescent="0.35">
      <c r="A4363" s="2">
        <v>42853</v>
      </c>
      <c r="B4363" s="70" t="s">
        <v>29</v>
      </c>
      <c r="C4363" s="10">
        <v>64</v>
      </c>
      <c r="D4363" s="10">
        <v>250</v>
      </c>
      <c r="E4363" s="10" t="s">
        <v>37</v>
      </c>
      <c r="G4363" s="10" t="s">
        <v>198</v>
      </c>
    </row>
    <row r="4364" spans="1:18" x14ac:dyDescent="0.35">
      <c r="A4364" s="2">
        <v>42853</v>
      </c>
      <c r="B4364" s="70" t="s">
        <v>29</v>
      </c>
      <c r="C4364" s="10">
        <v>64</v>
      </c>
      <c r="D4364" s="10">
        <v>236</v>
      </c>
      <c r="E4364" s="10" t="s">
        <v>32</v>
      </c>
      <c r="G4364" s="10" t="s">
        <v>198</v>
      </c>
      <c r="H4364" s="42" t="e">
        <f>AVERAGE(#REF!)</f>
        <v>#REF!</v>
      </c>
      <c r="O4364" t="s">
        <v>34</v>
      </c>
      <c r="P4364" t="s">
        <v>32</v>
      </c>
      <c r="Q4364" t="s">
        <v>37</v>
      </c>
      <c r="R4364" t="s">
        <v>159</v>
      </c>
    </row>
    <row r="4365" spans="1:18" x14ac:dyDescent="0.35">
      <c r="A4365" s="2">
        <v>42853</v>
      </c>
      <c r="B4365" s="70" t="s">
        <v>29</v>
      </c>
      <c r="C4365" s="10">
        <v>70</v>
      </c>
      <c r="D4365" s="10">
        <v>284</v>
      </c>
      <c r="E4365" s="10" t="s">
        <v>32</v>
      </c>
      <c r="G4365" s="10" t="s">
        <v>198</v>
      </c>
      <c r="O4365" s="5">
        <f>COUNTIF(E4318:E4366,"VIA3")</f>
        <v>1</v>
      </c>
      <c r="P4365" s="5">
        <f>COUNTIF(E4318:E4366,"VIA4")</f>
        <v>18</v>
      </c>
      <c r="Q4365" s="5">
        <f>COUNTIF(E4318:E4366,"VIB")</f>
        <v>28</v>
      </c>
      <c r="R4365" s="5">
        <f>COUNTIF(E4318:E4366,"VII")</f>
        <v>2</v>
      </c>
    </row>
    <row r="4366" spans="1:18" s="5" customFormat="1" x14ac:dyDescent="0.35">
      <c r="A4366" s="13">
        <v>42853</v>
      </c>
      <c r="B4366" s="40" t="s">
        <v>29</v>
      </c>
      <c r="C4366" s="10">
        <v>69</v>
      </c>
      <c r="D4366" s="10">
        <v>333</v>
      </c>
      <c r="E4366" s="10" t="s">
        <v>37</v>
      </c>
      <c r="G4366" s="10" t="s">
        <v>198</v>
      </c>
      <c r="O4366" s="6">
        <f>O4365/49*100</f>
        <v>2.0408163265306123</v>
      </c>
      <c r="P4366" s="6">
        <f t="shared" ref="P4366:R4366" si="135">P4365/49*100</f>
        <v>36.734693877551024</v>
      </c>
      <c r="Q4366" s="6">
        <f t="shared" si="135"/>
        <v>57.142857142857139</v>
      </c>
      <c r="R4366" s="6">
        <f t="shared" si="135"/>
        <v>4.0816326530612246</v>
      </c>
    </row>
    <row r="4367" spans="1:18" x14ac:dyDescent="0.35">
      <c r="A4367" s="2">
        <v>42853</v>
      </c>
      <c r="B4367" s="70" t="s">
        <v>29</v>
      </c>
      <c r="C4367" s="10">
        <v>182</v>
      </c>
      <c r="D4367" s="10">
        <v>10164</v>
      </c>
      <c r="E4367" t="s">
        <v>98</v>
      </c>
    </row>
    <row r="4368" spans="1:18" x14ac:dyDescent="0.35">
      <c r="A4368" s="2">
        <v>42853</v>
      </c>
      <c r="B4368" s="70" t="s">
        <v>29</v>
      </c>
      <c r="C4368" s="10">
        <v>183</v>
      </c>
      <c r="D4368" s="10">
        <v>7984</v>
      </c>
      <c r="E4368" t="s">
        <v>98</v>
      </c>
      <c r="H4368">
        <f>AVERAGE(C4268:C4366)</f>
        <v>67.808080808080803</v>
      </c>
      <c r="I4368">
        <f>AVERAGE(D4268:D4366)</f>
        <v>290.35353535353534</v>
      </c>
      <c r="K4368">
        <f>AVERAGE(C4367:C4377,C4259:C4267)</f>
        <v>126.15</v>
      </c>
      <c r="L4368">
        <f>AVERAGE(D4367:D4377,D4259:D4267)</f>
        <v>3312.65</v>
      </c>
      <c r="O4368" t="s">
        <v>34</v>
      </c>
      <c r="P4368" t="s">
        <v>32</v>
      </c>
      <c r="Q4368" t="s">
        <v>37</v>
      </c>
      <c r="R4368" t="s">
        <v>159</v>
      </c>
    </row>
    <row r="4369" spans="1:18" x14ac:dyDescent="0.35">
      <c r="A4369" s="13">
        <v>42853</v>
      </c>
      <c r="B4369" s="40" t="s">
        <v>29</v>
      </c>
      <c r="C4369" s="10">
        <v>141</v>
      </c>
      <c r="D4369" s="10">
        <v>3875</v>
      </c>
      <c r="E4369" t="s">
        <v>98</v>
      </c>
      <c r="O4369" s="5">
        <f>COUNTIF(E4268:E4366,"VIA3")</f>
        <v>2</v>
      </c>
      <c r="P4369" s="5">
        <f>COUNTIF(E4268:E4366,"VIA4")</f>
        <v>40</v>
      </c>
      <c r="Q4369" s="5">
        <f>COUNTIF(E4268:E4366,"VIB")</f>
        <v>50</v>
      </c>
      <c r="R4369" s="5">
        <f>COUNTIF(E4268:E4366,"VII")</f>
        <v>7</v>
      </c>
    </row>
    <row r="4370" spans="1:18" x14ac:dyDescent="0.35">
      <c r="A4370" s="2">
        <v>42853</v>
      </c>
      <c r="B4370" s="70" t="s">
        <v>29</v>
      </c>
      <c r="C4370" s="10">
        <v>143</v>
      </c>
      <c r="D4370" s="10">
        <v>3634</v>
      </c>
      <c r="E4370" t="s">
        <v>98</v>
      </c>
      <c r="O4370" s="6">
        <f>O4369/99*100</f>
        <v>2.0202020202020203</v>
      </c>
      <c r="P4370" s="6">
        <f t="shared" ref="P4370:R4370" si="136">P4369/99*100</f>
        <v>40.404040404040401</v>
      </c>
      <c r="Q4370" s="6">
        <f t="shared" si="136"/>
        <v>50.505050505050505</v>
      </c>
      <c r="R4370" s="6">
        <f t="shared" si="136"/>
        <v>7.0707070707070701</v>
      </c>
    </row>
    <row r="4371" spans="1:18" x14ac:dyDescent="0.35">
      <c r="A4371" s="2">
        <v>42853</v>
      </c>
      <c r="B4371" s="70" t="s">
        <v>29</v>
      </c>
      <c r="C4371" s="10">
        <v>150</v>
      </c>
      <c r="D4371" s="10">
        <v>4489</v>
      </c>
      <c r="E4371" t="s">
        <v>98</v>
      </c>
    </row>
    <row r="4372" spans="1:18" x14ac:dyDescent="0.35">
      <c r="A4372" s="13">
        <v>42853</v>
      </c>
      <c r="B4372" s="40" t="s">
        <v>29</v>
      </c>
      <c r="C4372" s="10">
        <v>145</v>
      </c>
      <c r="D4372" s="10">
        <v>3747</v>
      </c>
      <c r="E4372" t="s">
        <v>98</v>
      </c>
    </row>
    <row r="4373" spans="1:18" x14ac:dyDescent="0.35">
      <c r="A4373" s="2">
        <v>42853</v>
      </c>
      <c r="B4373" s="70" t="s">
        <v>29</v>
      </c>
      <c r="C4373" s="10">
        <v>122</v>
      </c>
      <c r="D4373" s="10">
        <v>2520</v>
      </c>
      <c r="E4373" t="s">
        <v>98</v>
      </c>
    </row>
    <row r="4374" spans="1:18" x14ac:dyDescent="0.35">
      <c r="A4374" s="2">
        <v>42853</v>
      </c>
      <c r="B4374" s="70" t="s">
        <v>29</v>
      </c>
      <c r="C4374" s="10">
        <v>132</v>
      </c>
      <c r="D4374" s="10">
        <v>3153</v>
      </c>
      <c r="E4374" t="s">
        <v>98</v>
      </c>
    </row>
    <row r="4375" spans="1:18" x14ac:dyDescent="0.35">
      <c r="A4375" s="13">
        <v>42853</v>
      </c>
      <c r="B4375" s="40" t="s">
        <v>29</v>
      </c>
      <c r="C4375" s="10">
        <v>102</v>
      </c>
      <c r="D4375" s="10">
        <v>1665</v>
      </c>
      <c r="E4375" t="s">
        <v>98</v>
      </c>
    </row>
    <row r="4376" spans="1:18" x14ac:dyDescent="0.35">
      <c r="A4376" s="2">
        <v>42853</v>
      </c>
      <c r="B4376" s="70" t="s">
        <v>29</v>
      </c>
      <c r="C4376" s="10">
        <v>122</v>
      </c>
      <c r="D4376" s="10">
        <v>1997</v>
      </c>
      <c r="E4376" t="s">
        <v>98</v>
      </c>
    </row>
    <row r="4377" spans="1:18" s="4" customFormat="1" x14ac:dyDescent="0.35">
      <c r="A4377" s="3">
        <v>42853</v>
      </c>
      <c r="B4377" s="44" t="s">
        <v>29</v>
      </c>
      <c r="C4377" s="11">
        <v>97</v>
      </c>
      <c r="D4377" s="11">
        <v>1176</v>
      </c>
      <c r="E4377" s="4" t="s">
        <v>98</v>
      </c>
      <c r="H4377" s="51" t="e">
        <f>AVERAGE(#REF!)</f>
        <v>#REF!</v>
      </c>
      <c r="I4377" s="51" t="e">
        <f>AVERAGE(#REF!,#REF!,,)</f>
        <v>#REF!</v>
      </c>
    </row>
    <row r="4378" spans="1:18" x14ac:dyDescent="0.35">
      <c r="A4378" s="13">
        <v>42853</v>
      </c>
      <c r="B4378" s="70" t="s">
        <v>66</v>
      </c>
      <c r="C4378" s="10">
        <v>73</v>
      </c>
      <c r="D4378" s="10">
        <v>308</v>
      </c>
      <c r="E4378" s="10" t="s">
        <v>37</v>
      </c>
      <c r="F4378" t="s">
        <v>198</v>
      </c>
      <c r="G4378" t="s">
        <v>465</v>
      </c>
    </row>
    <row r="4379" spans="1:18" x14ac:dyDescent="0.35">
      <c r="A4379" s="2">
        <v>42853</v>
      </c>
      <c r="B4379" s="70" t="s">
        <v>66</v>
      </c>
      <c r="C4379" s="10">
        <v>68</v>
      </c>
      <c r="D4379" s="10">
        <v>290</v>
      </c>
      <c r="E4379" s="10" t="s">
        <v>37</v>
      </c>
      <c r="F4379" t="s">
        <v>198</v>
      </c>
      <c r="G4379" t="s">
        <v>466</v>
      </c>
    </row>
    <row r="4380" spans="1:18" x14ac:dyDescent="0.35">
      <c r="A4380" s="2">
        <v>42853</v>
      </c>
      <c r="B4380" s="70" t="s">
        <v>66</v>
      </c>
      <c r="C4380" s="10">
        <v>67</v>
      </c>
      <c r="D4380" s="10">
        <v>209</v>
      </c>
      <c r="E4380" s="10" t="s">
        <v>37</v>
      </c>
      <c r="F4380" t="s">
        <v>198</v>
      </c>
      <c r="G4380" t="s">
        <v>467</v>
      </c>
    </row>
    <row r="4381" spans="1:18" x14ac:dyDescent="0.35">
      <c r="A4381" s="13">
        <v>42853</v>
      </c>
      <c r="B4381" s="70" t="s">
        <v>66</v>
      </c>
      <c r="C4381" s="10">
        <v>69</v>
      </c>
      <c r="D4381" s="10">
        <v>348</v>
      </c>
      <c r="E4381" s="10" t="s">
        <v>32</v>
      </c>
      <c r="F4381" t="s">
        <v>198</v>
      </c>
      <c r="G4381" t="s">
        <v>468</v>
      </c>
    </row>
    <row r="4382" spans="1:18" x14ac:dyDescent="0.35">
      <c r="A4382" s="2">
        <v>42853</v>
      </c>
      <c r="B4382" s="70" t="s">
        <v>66</v>
      </c>
      <c r="C4382" s="10">
        <v>64</v>
      </c>
      <c r="D4382" s="10">
        <v>307</v>
      </c>
      <c r="E4382" s="10" t="s">
        <v>32</v>
      </c>
      <c r="F4382" t="s">
        <v>198</v>
      </c>
      <c r="G4382" t="s">
        <v>469</v>
      </c>
    </row>
    <row r="4383" spans="1:18" x14ac:dyDescent="0.35">
      <c r="A4383" s="2">
        <v>42853</v>
      </c>
      <c r="B4383" s="70" t="s">
        <v>66</v>
      </c>
      <c r="C4383" s="10">
        <v>67</v>
      </c>
      <c r="D4383" s="10">
        <v>315</v>
      </c>
      <c r="E4383" s="10" t="s">
        <v>32</v>
      </c>
      <c r="F4383" t="s">
        <v>198</v>
      </c>
    </row>
    <row r="4384" spans="1:18" s="4" customFormat="1" x14ac:dyDescent="0.35">
      <c r="A4384" s="3">
        <v>42853</v>
      </c>
      <c r="B4384" s="44" t="s">
        <v>66</v>
      </c>
      <c r="C4384" s="11">
        <v>104</v>
      </c>
      <c r="D4384" s="11">
        <v>1884</v>
      </c>
      <c r="E4384" s="11" t="s">
        <v>98</v>
      </c>
    </row>
    <row r="4385" spans="1:8" x14ac:dyDescent="0.35">
      <c r="A4385" s="2">
        <v>42853</v>
      </c>
      <c r="B4385" s="70" t="s">
        <v>63</v>
      </c>
      <c r="C4385" s="10">
        <v>64</v>
      </c>
      <c r="D4385" s="10">
        <v>253</v>
      </c>
      <c r="E4385" s="10" t="s">
        <v>37</v>
      </c>
      <c r="F4385" s="10" t="s">
        <v>198</v>
      </c>
      <c r="H4385" t="s">
        <v>470</v>
      </c>
    </row>
    <row r="4386" spans="1:8" x14ac:dyDescent="0.35">
      <c r="A4386" s="2">
        <v>42853</v>
      </c>
      <c r="B4386" s="70" t="s">
        <v>63</v>
      </c>
      <c r="C4386" s="10">
        <v>62</v>
      </c>
      <c r="D4386" s="10">
        <v>235</v>
      </c>
      <c r="E4386" s="10" t="s">
        <v>37</v>
      </c>
      <c r="F4386" s="10" t="s">
        <v>198</v>
      </c>
      <c r="H4386" t="s">
        <v>471</v>
      </c>
    </row>
    <row r="4387" spans="1:8" x14ac:dyDescent="0.35">
      <c r="A4387" s="2">
        <v>42853</v>
      </c>
      <c r="B4387" s="70" t="s">
        <v>63</v>
      </c>
      <c r="C4387" s="10">
        <v>65</v>
      </c>
      <c r="D4387" s="10">
        <v>195</v>
      </c>
      <c r="E4387" s="10" t="s">
        <v>34</v>
      </c>
      <c r="F4387" s="10" t="s">
        <v>293</v>
      </c>
      <c r="H4387" t="s">
        <v>472</v>
      </c>
    </row>
    <row r="4388" spans="1:8" x14ac:dyDescent="0.35">
      <c r="A4388" s="2">
        <v>42853</v>
      </c>
      <c r="B4388" s="70" t="s">
        <v>63</v>
      </c>
      <c r="C4388" s="10">
        <v>66</v>
      </c>
      <c r="D4388" s="10">
        <v>278</v>
      </c>
      <c r="E4388" s="10" t="s">
        <v>32</v>
      </c>
      <c r="F4388" s="10" t="s">
        <v>198</v>
      </c>
      <c r="G4388" s="10" t="s">
        <v>161</v>
      </c>
      <c r="H4388" t="s">
        <v>473</v>
      </c>
    </row>
    <row r="4389" spans="1:8" x14ac:dyDescent="0.35">
      <c r="A4389" s="2">
        <v>42853</v>
      </c>
      <c r="B4389" s="70" t="s">
        <v>63</v>
      </c>
      <c r="C4389" s="10">
        <v>62</v>
      </c>
      <c r="D4389" s="10">
        <v>234</v>
      </c>
      <c r="E4389" s="10" t="s">
        <v>37</v>
      </c>
      <c r="F4389" s="10" t="s">
        <v>198</v>
      </c>
      <c r="G4389" s="10" t="s">
        <v>161</v>
      </c>
    </row>
    <row r="4390" spans="1:8" x14ac:dyDescent="0.35">
      <c r="A4390" s="2">
        <v>42853</v>
      </c>
      <c r="B4390" s="70" t="s">
        <v>63</v>
      </c>
      <c r="C4390" s="10">
        <v>69</v>
      </c>
      <c r="D4390" s="10">
        <v>311</v>
      </c>
      <c r="E4390" s="10" t="s">
        <v>32</v>
      </c>
      <c r="F4390" s="10" t="s">
        <v>198</v>
      </c>
      <c r="G4390" s="10" t="s">
        <v>161</v>
      </c>
    </row>
    <row r="4391" spans="1:8" x14ac:dyDescent="0.35">
      <c r="A4391" s="2">
        <v>42853</v>
      </c>
      <c r="B4391" s="70" t="s">
        <v>63</v>
      </c>
      <c r="C4391" s="10">
        <v>70</v>
      </c>
      <c r="D4391" s="10">
        <v>354</v>
      </c>
      <c r="E4391" s="10" t="s">
        <v>159</v>
      </c>
      <c r="F4391" s="10" t="s">
        <v>198</v>
      </c>
      <c r="H4391" t="s">
        <v>474</v>
      </c>
    </row>
    <row r="4392" spans="1:8" x14ac:dyDescent="0.35">
      <c r="A4392" s="2">
        <v>42853</v>
      </c>
      <c r="B4392" s="70" t="s">
        <v>63</v>
      </c>
      <c r="C4392" s="10">
        <v>69</v>
      </c>
      <c r="D4392" s="10">
        <v>314</v>
      </c>
      <c r="E4392" s="10" t="s">
        <v>159</v>
      </c>
      <c r="F4392" s="10" t="s">
        <v>198</v>
      </c>
    </row>
    <row r="4393" spans="1:8" x14ac:dyDescent="0.35">
      <c r="A4393" s="2">
        <v>42853</v>
      </c>
      <c r="B4393" s="70" t="s">
        <v>63</v>
      </c>
      <c r="C4393" s="10">
        <v>68</v>
      </c>
      <c r="D4393" s="10">
        <v>259</v>
      </c>
      <c r="E4393" s="10" t="s">
        <v>37</v>
      </c>
      <c r="F4393" s="10" t="s">
        <v>198</v>
      </c>
    </row>
    <row r="4394" spans="1:8" x14ac:dyDescent="0.35">
      <c r="A4394" s="2">
        <v>42853</v>
      </c>
      <c r="B4394" s="70" t="s">
        <v>63</v>
      </c>
      <c r="C4394" s="10">
        <v>66</v>
      </c>
      <c r="D4394" s="10">
        <v>269</v>
      </c>
      <c r="E4394" s="10" t="s">
        <v>37</v>
      </c>
      <c r="F4394" s="10" t="s">
        <v>198</v>
      </c>
    </row>
    <row r="4395" spans="1:8" x14ac:dyDescent="0.35">
      <c r="A4395" s="2">
        <v>42853</v>
      </c>
      <c r="B4395" s="70" t="s">
        <v>63</v>
      </c>
      <c r="C4395" s="10">
        <v>64</v>
      </c>
      <c r="D4395" s="10">
        <v>264</v>
      </c>
      <c r="E4395" s="10" t="s">
        <v>37</v>
      </c>
      <c r="F4395" s="10" t="s">
        <v>198</v>
      </c>
    </row>
    <row r="4396" spans="1:8" x14ac:dyDescent="0.35">
      <c r="A4396" s="2">
        <v>42853</v>
      </c>
      <c r="B4396" s="70" t="s">
        <v>63</v>
      </c>
      <c r="C4396" s="10">
        <v>63</v>
      </c>
      <c r="D4396" s="10">
        <v>329</v>
      </c>
      <c r="E4396" s="10" t="s">
        <v>32</v>
      </c>
      <c r="F4396" s="10" t="s">
        <v>198</v>
      </c>
      <c r="G4396" s="10" t="s">
        <v>161</v>
      </c>
    </row>
    <row r="4397" spans="1:8" x14ac:dyDescent="0.35">
      <c r="A4397" s="2">
        <v>42853</v>
      </c>
      <c r="B4397" s="70" t="s">
        <v>63</v>
      </c>
      <c r="C4397" s="10">
        <v>99</v>
      </c>
      <c r="D4397" s="10">
        <v>1295</v>
      </c>
      <c r="E4397" s="10" t="s">
        <v>98</v>
      </c>
    </row>
    <row r="4398" spans="1:8" s="4" customFormat="1" x14ac:dyDescent="0.35">
      <c r="A4398" s="3">
        <v>42853</v>
      </c>
      <c r="B4398" s="44" t="s">
        <v>63</v>
      </c>
      <c r="C4398" s="11">
        <v>90</v>
      </c>
      <c r="D4398" s="11">
        <v>882</v>
      </c>
      <c r="E4398" s="11" t="s">
        <v>98</v>
      </c>
    </row>
    <row r="4399" spans="1:8" x14ac:dyDescent="0.35">
      <c r="A4399" s="2">
        <v>42853</v>
      </c>
      <c r="B4399" s="70" t="s">
        <v>113</v>
      </c>
      <c r="C4399" s="10">
        <v>71</v>
      </c>
      <c r="D4399" s="10">
        <v>379</v>
      </c>
      <c r="E4399" s="10" t="s">
        <v>37</v>
      </c>
      <c r="F4399" s="10" t="s">
        <v>198</v>
      </c>
      <c r="G4399" s="10" t="s">
        <v>161</v>
      </c>
    </row>
    <row r="4400" spans="1:8" x14ac:dyDescent="0.35">
      <c r="A4400" s="2">
        <v>42853</v>
      </c>
      <c r="B4400" s="70" t="s">
        <v>113</v>
      </c>
      <c r="C4400" s="10">
        <v>72</v>
      </c>
      <c r="D4400" s="10">
        <v>383</v>
      </c>
      <c r="E4400" s="10" t="s">
        <v>32</v>
      </c>
      <c r="F4400" s="10" t="s">
        <v>198</v>
      </c>
    </row>
    <row r="4401" spans="1:7" x14ac:dyDescent="0.35">
      <c r="A4401" s="2">
        <v>42853</v>
      </c>
      <c r="B4401" s="70" t="s">
        <v>113</v>
      </c>
      <c r="C4401" s="10">
        <v>68</v>
      </c>
      <c r="D4401" s="10">
        <v>323</v>
      </c>
      <c r="E4401" s="10" t="s">
        <v>159</v>
      </c>
      <c r="F4401" s="10" t="s">
        <v>198</v>
      </c>
    </row>
    <row r="4402" spans="1:7" x14ac:dyDescent="0.35">
      <c r="A4402" s="2">
        <v>42853</v>
      </c>
      <c r="B4402" s="70" t="s">
        <v>113</v>
      </c>
      <c r="C4402" s="10">
        <v>69</v>
      </c>
      <c r="D4402" s="10">
        <v>330</v>
      </c>
      <c r="E4402" s="10" t="s">
        <v>159</v>
      </c>
      <c r="F4402" s="10" t="s">
        <v>198</v>
      </c>
    </row>
    <row r="4403" spans="1:7" x14ac:dyDescent="0.35">
      <c r="A4403" s="2">
        <v>42853</v>
      </c>
      <c r="B4403" s="70" t="s">
        <v>113</v>
      </c>
      <c r="C4403" s="10">
        <v>70</v>
      </c>
      <c r="D4403" s="10">
        <v>315</v>
      </c>
      <c r="E4403" s="10" t="s">
        <v>32</v>
      </c>
      <c r="F4403" s="10" t="s">
        <v>198</v>
      </c>
      <c r="G4403" s="10" t="s">
        <v>161</v>
      </c>
    </row>
    <row r="4404" spans="1:7" x14ac:dyDescent="0.35">
      <c r="A4404" s="2">
        <v>42853</v>
      </c>
      <c r="B4404" s="70" t="s">
        <v>113</v>
      </c>
      <c r="C4404" s="10">
        <v>74</v>
      </c>
      <c r="D4404" s="10">
        <v>363</v>
      </c>
      <c r="E4404" s="10" t="s">
        <v>37</v>
      </c>
      <c r="F4404" s="10" t="s">
        <v>198</v>
      </c>
    </row>
    <row r="4405" spans="1:7" x14ac:dyDescent="0.35">
      <c r="A4405" s="2">
        <v>42853</v>
      </c>
      <c r="B4405" s="70" t="s">
        <v>113</v>
      </c>
      <c r="C4405" s="10">
        <v>69</v>
      </c>
      <c r="D4405" s="10">
        <v>374</v>
      </c>
      <c r="E4405" s="10" t="s">
        <v>159</v>
      </c>
      <c r="F4405" s="10" t="s">
        <v>198</v>
      </c>
    </row>
    <row r="4406" spans="1:7" x14ac:dyDescent="0.35">
      <c r="A4406" s="2">
        <v>42853</v>
      </c>
      <c r="B4406" s="70" t="s">
        <v>113</v>
      </c>
      <c r="C4406" s="10">
        <v>67</v>
      </c>
      <c r="D4406" s="10">
        <v>273</v>
      </c>
      <c r="E4406" s="10" t="s">
        <v>159</v>
      </c>
      <c r="F4406" s="10" t="s">
        <v>198</v>
      </c>
    </row>
    <row r="4407" spans="1:7" x14ac:dyDescent="0.35">
      <c r="A4407" s="2">
        <v>42853</v>
      </c>
      <c r="B4407" s="70" t="s">
        <v>113</v>
      </c>
      <c r="C4407" s="10">
        <v>63</v>
      </c>
      <c r="D4407" s="10">
        <v>310</v>
      </c>
      <c r="E4407" s="10" t="s">
        <v>37</v>
      </c>
      <c r="F4407" s="10" t="s">
        <v>198</v>
      </c>
    </row>
    <row r="4408" spans="1:7" x14ac:dyDescent="0.35">
      <c r="A4408" s="2">
        <v>42853</v>
      </c>
      <c r="B4408" s="70" t="s">
        <v>113</v>
      </c>
      <c r="C4408" s="10">
        <v>78</v>
      </c>
      <c r="D4408" s="10">
        <v>366</v>
      </c>
      <c r="E4408" s="10" t="s">
        <v>32</v>
      </c>
      <c r="F4408" s="10" t="s">
        <v>198</v>
      </c>
      <c r="G4408" s="10" t="s">
        <v>161</v>
      </c>
    </row>
    <row r="4409" spans="1:7" s="4" customFormat="1" x14ac:dyDescent="0.35">
      <c r="A4409" s="3">
        <v>42853</v>
      </c>
      <c r="B4409" s="44" t="s">
        <v>113</v>
      </c>
      <c r="C4409" s="11">
        <v>74</v>
      </c>
      <c r="D4409" s="11">
        <v>394</v>
      </c>
      <c r="E4409" s="11" t="s">
        <v>37</v>
      </c>
      <c r="F4409" s="11" t="s">
        <v>198</v>
      </c>
    </row>
    <row r="4410" spans="1:7" x14ac:dyDescent="0.35">
      <c r="A4410" s="2">
        <v>42853</v>
      </c>
      <c r="B4410" s="70" t="s">
        <v>102</v>
      </c>
      <c r="C4410" s="10">
        <v>72</v>
      </c>
      <c r="D4410" s="10">
        <v>377</v>
      </c>
      <c r="E4410" s="10" t="s">
        <v>37</v>
      </c>
      <c r="F4410" s="10" t="s">
        <v>198</v>
      </c>
    </row>
    <row r="4411" spans="1:7" x14ac:dyDescent="0.35">
      <c r="A4411" s="2">
        <v>42853</v>
      </c>
      <c r="B4411" s="70" t="s">
        <v>102</v>
      </c>
      <c r="C4411" s="10">
        <v>67</v>
      </c>
      <c r="D4411" s="10">
        <v>322</v>
      </c>
      <c r="E4411" s="10" t="s">
        <v>37</v>
      </c>
      <c r="F4411" s="10" t="s">
        <v>198</v>
      </c>
      <c r="G4411" s="10" t="s">
        <v>161</v>
      </c>
    </row>
    <row r="4412" spans="1:7" x14ac:dyDescent="0.35">
      <c r="A4412" s="2">
        <v>42853</v>
      </c>
      <c r="B4412" s="70" t="s">
        <v>102</v>
      </c>
      <c r="C4412" s="10">
        <v>72</v>
      </c>
      <c r="D4412" s="10">
        <v>327</v>
      </c>
      <c r="E4412" s="10" t="s">
        <v>32</v>
      </c>
      <c r="F4412" s="10" t="s">
        <v>198</v>
      </c>
    </row>
    <row r="4413" spans="1:7" x14ac:dyDescent="0.35">
      <c r="A4413" s="2">
        <v>42853</v>
      </c>
      <c r="B4413" s="70" t="s">
        <v>102</v>
      </c>
      <c r="C4413" s="10">
        <v>64</v>
      </c>
      <c r="D4413" s="10">
        <v>272</v>
      </c>
      <c r="E4413" s="10" t="s">
        <v>32</v>
      </c>
      <c r="F4413" s="10" t="s">
        <v>198</v>
      </c>
    </row>
    <row r="4414" spans="1:7" x14ac:dyDescent="0.35">
      <c r="A4414" s="2">
        <v>42853</v>
      </c>
      <c r="B4414" s="70" t="s">
        <v>102</v>
      </c>
      <c r="C4414" s="10">
        <v>68</v>
      </c>
      <c r="D4414" s="10">
        <v>326</v>
      </c>
      <c r="E4414" s="10" t="s">
        <v>37</v>
      </c>
      <c r="F4414" s="10" t="s">
        <v>198</v>
      </c>
    </row>
    <row r="4415" spans="1:7" x14ac:dyDescent="0.35">
      <c r="A4415" s="2">
        <v>42853</v>
      </c>
      <c r="B4415" s="70" t="s">
        <v>102</v>
      </c>
      <c r="C4415" s="10">
        <v>68</v>
      </c>
      <c r="D4415" s="10">
        <v>326</v>
      </c>
      <c r="E4415" s="10" t="s">
        <v>37</v>
      </c>
      <c r="F4415" s="10" t="s">
        <v>198</v>
      </c>
    </row>
    <row r="4416" spans="1:7" x14ac:dyDescent="0.35">
      <c r="A4416" s="2">
        <v>42853</v>
      </c>
      <c r="B4416" s="70" t="s">
        <v>102</v>
      </c>
      <c r="C4416" s="10">
        <v>69</v>
      </c>
      <c r="D4416" s="10">
        <v>276</v>
      </c>
      <c r="E4416" s="10" t="s">
        <v>32</v>
      </c>
      <c r="F4416" s="10" t="s">
        <v>198</v>
      </c>
    </row>
    <row r="4417" spans="1:18" x14ac:dyDescent="0.35">
      <c r="A4417" s="2">
        <v>42853</v>
      </c>
      <c r="B4417" s="70" t="s">
        <v>102</v>
      </c>
      <c r="C4417" s="10">
        <v>67</v>
      </c>
      <c r="D4417" s="10">
        <v>357</v>
      </c>
      <c r="E4417" s="10" t="s">
        <v>37</v>
      </c>
      <c r="F4417" s="10" t="s">
        <v>198</v>
      </c>
      <c r="G4417" s="10" t="s">
        <v>161</v>
      </c>
    </row>
    <row r="4418" spans="1:18" x14ac:dyDescent="0.35">
      <c r="A4418" s="2">
        <v>42853</v>
      </c>
      <c r="B4418" s="70" t="s">
        <v>102</v>
      </c>
      <c r="C4418" s="10">
        <v>78</v>
      </c>
      <c r="D4418" s="10">
        <v>439</v>
      </c>
      <c r="E4418" s="10" t="s">
        <v>32</v>
      </c>
      <c r="F4418" s="10" t="s">
        <v>198</v>
      </c>
      <c r="G4418" s="10" t="s">
        <v>161</v>
      </c>
    </row>
    <row r="4419" spans="1:18" s="4" customFormat="1" x14ac:dyDescent="0.35">
      <c r="A4419" s="3">
        <v>42853</v>
      </c>
      <c r="B4419" s="44" t="s">
        <v>102</v>
      </c>
      <c r="C4419" s="11">
        <v>110</v>
      </c>
      <c r="D4419" s="11">
        <v>1860</v>
      </c>
      <c r="E4419" s="4" t="s">
        <v>98</v>
      </c>
    </row>
    <row r="4420" spans="1:18" x14ac:dyDescent="0.35">
      <c r="A4420" s="2">
        <v>42853</v>
      </c>
      <c r="B4420" s="70" t="s">
        <v>103</v>
      </c>
      <c r="C4420" s="10">
        <v>69</v>
      </c>
      <c r="D4420" s="10">
        <v>333</v>
      </c>
      <c r="E4420" s="10" t="s">
        <v>32</v>
      </c>
      <c r="F4420" s="10" t="s">
        <v>198</v>
      </c>
      <c r="K4420">
        <f>AVERAGE(C4420:C4425,C4399:C4418,C4385:C4396,C4378:C4383)</f>
        <v>68.36363636363636</v>
      </c>
      <c r="L4420">
        <f>AVERAGE(D4420:D4425,D4399:D4418,D4385:D4396,D4378:D4383)</f>
        <v>314.63636363636363</v>
      </c>
      <c r="N4420" t="e">
        <f>AVERAGE(#REF!,#REF!,#REF!,#REF!)</f>
        <v>#REF!</v>
      </c>
      <c r="O4420" t="s">
        <v>34</v>
      </c>
      <c r="P4420" t="s">
        <v>32</v>
      </c>
      <c r="Q4420" t="s">
        <v>37</v>
      </c>
      <c r="R4420" t="s">
        <v>159</v>
      </c>
    </row>
    <row r="4421" spans="1:18" x14ac:dyDescent="0.35">
      <c r="A4421" s="2">
        <v>42853</v>
      </c>
      <c r="B4421" s="70" t="s">
        <v>103</v>
      </c>
      <c r="C4421" s="10">
        <v>71</v>
      </c>
      <c r="D4421" s="10">
        <v>329</v>
      </c>
      <c r="E4421" s="10" t="s">
        <v>32</v>
      </c>
      <c r="F4421" s="10" t="s">
        <v>198</v>
      </c>
      <c r="O4421" s="5">
        <f>COUNTIF(E4374:E4425,"VIA3")</f>
        <v>1</v>
      </c>
      <c r="P4421" s="5">
        <f>COUNTIF(E4374:E4425,"VIA4")</f>
        <v>16</v>
      </c>
      <c r="Q4421" s="5">
        <f>COUNTIF(E4374:E4425,"VIB")</f>
        <v>21</v>
      </c>
      <c r="R4421" s="5">
        <f>COUNTIF(E4374:E4425,"VII")</f>
        <v>6</v>
      </c>
    </row>
    <row r="4422" spans="1:18" x14ac:dyDescent="0.35">
      <c r="A4422" s="2">
        <v>42853</v>
      </c>
      <c r="B4422" s="70" t="s">
        <v>103</v>
      </c>
      <c r="C4422" s="10">
        <v>67</v>
      </c>
      <c r="D4422" s="10">
        <v>313</v>
      </c>
      <c r="E4422" s="10" t="s">
        <v>32</v>
      </c>
      <c r="F4422" s="10" t="s">
        <v>198</v>
      </c>
      <c r="O4422" s="6">
        <f>O4421/44*100</f>
        <v>2.2727272727272729</v>
      </c>
      <c r="P4422" s="6">
        <f t="shared" ref="P4422:R4422" si="137">P4421/44*100</f>
        <v>36.363636363636367</v>
      </c>
      <c r="Q4422" s="6">
        <f t="shared" si="137"/>
        <v>47.727272727272727</v>
      </c>
      <c r="R4422" s="6">
        <f t="shared" si="137"/>
        <v>13.636363636363635</v>
      </c>
    </row>
    <row r="4423" spans="1:18" s="4" customFormat="1" x14ac:dyDescent="0.35">
      <c r="A4423" s="3">
        <v>42853</v>
      </c>
      <c r="B4423" s="44" t="s">
        <v>103</v>
      </c>
      <c r="C4423" s="11">
        <v>70</v>
      </c>
      <c r="D4423" s="11">
        <v>363</v>
      </c>
      <c r="E4423" s="11" t="s">
        <v>37</v>
      </c>
      <c r="F4423" s="11" t="s">
        <v>198</v>
      </c>
    </row>
    <row r="4424" spans="1:18" x14ac:dyDescent="0.35">
      <c r="A4424" s="2">
        <v>42853</v>
      </c>
      <c r="B4424" s="70" t="s">
        <v>104</v>
      </c>
      <c r="C4424" s="10">
        <v>63</v>
      </c>
      <c r="D4424" s="10">
        <v>270</v>
      </c>
      <c r="E4424" s="10" t="s">
        <v>37</v>
      </c>
      <c r="F4424" s="10" t="s">
        <v>198</v>
      </c>
    </row>
    <row r="4425" spans="1:18" s="4" customFormat="1" x14ac:dyDescent="0.35">
      <c r="A4425" s="3">
        <v>42853</v>
      </c>
      <c r="B4425" s="44" t="s">
        <v>104</v>
      </c>
      <c r="C4425" s="11">
        <v>72</v>
      </c>
      <c r="D4425" s="11">
        <v>332</v>
      </c>
      <c r="E4425" s="11" t="s">
        <v>37</v>
      </c>
      <c r="F4425" s="11" t="s">
        <v>198</v>
      </c>
    </row>
    <row r="4426" spans="1:18" x14ac:dyDescent="0.35">
      <c r="A4426" s="2">
        <v>42853</v>
      </c>
      <c r="B4426" s="70" t="s">
        <v>143</v>
      </c>
      <c r="C4426" s="10">
        <v>63</v>
      </c>
      <c r="D4426" s="10">
        <v>238</v>
      </c>
      <c r="E4426" s="10" t="s">
        <v>39</v>
      </c>
    </row>
    <row r="4427" spans="1:18" s="4" customFormat="1" x14ac:dyDescent="0.35">
      <c r="A4427" s="3">
        <v>42853</v>
      </c>
      <c r="B4427" s="44" t="s">
        <v>143</v>
      </c>
      <c r="C4427" s="11">
        <v>72</v>
      </c>
      <c r="D4427" s="11">
        <v>272</v>
      </c>
      <c r="E4427" s="11" t="s">
        <v>39</v>
      </c>
    </row>
    <row r="4428" spans="1:18" x14ac:dyDescent="0.35">
      <c r="A4428" s="2">
        <v>42853</v>
      </c>
      <c r="B4428" s="70" t="s">
        <v>114</v>
      </c>
      <c r="C4428" s="10">
        <v>70</v>
      </c>
      <c r="D4428" s="10">
        <v>327</v>
      </c>
      <c r="E4428" s="10" t="s">
        <v>159</v>
      </c>
      <c r="F4428" s="10" t="s">
        <v>198</v>
      </c>
    </row>
    <row r="4429" spans="1:18" x14ac:dyDescent="0.35">
      <c r="A4429" s="2">
        <v>42853</v>
      </c>
      <c r="B4429" s="70" t="s">
        <v>114</v>
      </c>
      <c r="C4429" s="10">
        <v>71</v>
      </c>
      <c r="D4429" s="10">
        <v>378</v>
      </c>
      <c r="E4429" s="10" t="s">
        <v>32</v>
      </c>
      <c r="F4429" s="10" t="s">
        <v>198</v>
      </c>
      <c r="G4429" s="10" t="s">
        <v>161</v>
      </c>
    </row>
    <row r="4430" spans="1:18" x14ac:dyDescent="0.35">
      <c r="A4430" s="2">
        <v>42853</v>
      </c>
      <c r="B4430" s="70" t="s">
        <v>114</v>
      </c>
      <c r="C4430" s="10">
        <v>62</v>
      </c>
      <c r="D4430" s="10">
        <v>298</v>
      </c>
      <c r="E4430" s="10" t="s">
        <v>159</v>
      </c>
      <c r="F4430" s="10" t="s">
        <v>198</v>
      </c>
    </row>
    <row r="4431" spans="1:18" x14ac:dyDescent="0.35">
      <c r="A4431" s="2">
        <v>42853</v>
      </c>
      <c r="B4431" s="70" t="s">
        <v>114</v>
      </c>
      <c r="C4431" s="10">
        <v>64</v>
      </c>
      <c r="D4431" s="10">
        <v>240</v>
      </c>
      <c r="E4431" s="10" t="s">
        <v>37</v>
      </c>
      <c r="F4431" s="10" t="s">
        <v>198</v>
      </c>
    </row>
    <row r="4432" spans="1:18" s="4" customFormat="1" x14ac:dyDescent="0.35">
      <c r="A4432" s="3">
        <v>42853</v>
      </c>
      <c r="B4432" s="44" t="s">
        <v>114</v>
      </c>
      <c r="C4432" s="11">
        <v>132</v>
      </c>
      <c r="D4432" s="11">
        <v>3683</v>
      </c>
      <c r="E4432" s="4" t="s">
        <v>98</v>
      </c>
    </row>
    <row r="4433" spans="1:7" x14ac:dyDescent="0.35">
      <c r="A4433" s="2">
        <v>42860</v>
      </c>
      <c r="B4433" s="70" t="s">
        <v>29</v>
      </c>
      <c r="C4433" s="10">
        <v>64</v>
      </c>
      <c r="D4433" s="10">
        <v>230</v>
      </c>
      <c r="E4433" s="10" t="s">
        <v>37</v>
      </c>
      <c r="G4433" t="s">
        <v>478</v>
      </c>
    </row>
    <row r="4434" spans="1:7" x14ac:dyDescent="0.35">
      <c r="A4434" s="2">
        <v>42860</v>
      </c>
      <c r="B4434" s="70" t="s">
        <v>29</v>
      </c>
      <c r="C4434" s="10">
        <v>68</v>
      </c>
      <c r="D4434" s="10">
        <v>248</v>
      </c>
      <c r="E4434" s="10" t="s">
        <v>37</v>
      </c>
      <c r="G4434" t="s">
        <v>479</v>
      </c>
    </row>
    <row r="4435" spans="1:7" x14ac:dyDescent="0.35">
      <c r="A4435" s="2">
        <v>42860</v>
      </c>
      <c r="B4435" s="70" t="s">
        <v>29</v>
      </c>
      <c r="C4435" s="10">
        <v>71</v>
      </c>
      <c r="D4435" s="10">
        <v>284</v>
      </c>
      <c r="E4435" s="10" t="s">
        <v>37</v>
      </c>
      <c r="G4435" t="s">
        <v>480</v>
      </c>
    </row>
    <row r="4436" spans="1:7" x14ac:dyDescent="0.35">
      <c r="A4436" s="2">
        <v>42860</v>
      </c>
      <c r="B4436" s="70" t="s">
        <v>29</v>
      </c>
      <c r="C4436" s="10">
        <v>64</v>
      </c>
      <c r="D4436" s="10">
        <v>253</v>
      </c>
      <c r="E4436" s="10" t="s">
        <v>32</v>
      </c>
      <c r="G4436" t="s">
        <v>481</v>
      </c>
    </row>
    <row r="4437" spans="1:7" x14ac:dyDescent="0.35">
      <c r="A4437" s="2">
        <v>42860</v>
      </c>
      <c r="B4437" s="70" t="s">
        <v>29</v>
      </c>
      <c r="C4437" s="10">
        <v>62</v>
      </c>
      <c r="D4437" s="10">
        <v>207</v>
      </c>
      <c r="E4437" s="10" t="s">
        <v>32</v>
      </c>
      <c r="G4437" t="s">
        <v>482</v>
      </c>
    </row>
    <row r="4438" spans="1:7" x14ac:dyDescent="0.35">
      <c r="A4438" s="2">
        <v>42860</v>
      </c>
      <c r="B4438" s="70" t="s">
        <v>29</v>
      </c>
      <c r="C4438" s="10">
        <v>68</v>
      </c>
      <c r="D4438" s="10">
        <v>216</v>
      </c>
      <c r="E4438" s="10" t="s">
        <v>37</v>
      </c>
    </row>
    <row r="4439" spans="1:7" x14ac:dyDescent="0.35">
      <c r="A4439" s="2">
        <v>42860</v>
      </c>
      <c r="B4439" s="70" t="s">
        <v>29</v>
      </c>
      <c r="C4439" s="10">
        <v>71</v>
      </c>
      <c r="D4439" s="10">
        <v>274</v>
      </c>
      <c r="E4439" s="10" t="s">
        <v>159</v>
      </c>
    </row>
    <row r="4440" spans="1:7" x14ac:dyDescent="0.35">
      <c r="A4440" s="2">
        <v>42860</v>
      </c>
      <c r="B4440" s="70" t="s">
        <v>29</v>
      </c>
      <c r="C4440" s="10">
        <v>75</v>
      </c>
      <c r="D4440" s="10">
        <v>340</v>
      </c>
      <c r="E4440" s="10" t="s">
        <v>159</v>
      </c>
    </row>
    <row r="4441" spans="1:7" x14ac:dyDescent="0.35">
      <c r="A4441" s="2">
        <v>42860</v>
      </c>
      <c r="B4441" s="70" t="s">
        <v>29</v>
      </c>
      <c r="C4441" s="10">
        <v>65</v>
      </c>
      <c r="D4441" s="10">
        <v>201</v>
      </c>
      <c r="E4441" s="10" t="s">
        <v>159</v>
      </c>
    </row>
    <row r="4442" spans="1:7" x14ac:dyDescent="0.35">
      <c r="A4442" s="2">
        <v>42860</v>
      </c>
      <c r="B4442" s="70" t="s">
        <v>29</v>
      </c>
      <c r="C4442" s="10">
        <v>70</v>
      </c>
      <c r="D4442" s="10">
        <v>311</v>
      </c>
      <c r="E4442" s="10" t="s">
        <v>37</v>
      </c>
    </row>
    <row r="4443" spans="1:7" x14ac:dyDescent="0.35">
      <c r="A4443" s="2">
        <v>42860</v>
      </c>
      <c r="B4443" s="70" t="s">
        <v>29</v>
      </c>
      <c r="C4443" s="10">
        <v>71</v>
      </c>
      <c r="D4443" s="10">
        <v>265</v>
      </c>
      <c r="E4443" s="10" t="s">
        <v>37</v>
      </c>
    </row>
    <row r="4444" spans="1:7" x14ac:dyDescent="0.35">
      <c r="A4444" s="2">
        <v>42860</v>
      </c>
      <c r="B4444" s="70" t="s">
        <v>29</v>
      </c>
      <c r="C4444" s="10">
        <v>66</v>
      </c>
      <c r="D4444" s="10">
        <v>237</v>
      </c>
      <c r="E4444" s="10" t="s">
        <v>37</v>
      </c>
    </row>
    <row r="4445" spans="1:7" x14ac:dyDescent="0.35">
      <c r="A4445" s="2">
        <v>42860</v>
      </c>
      <c r="B4445" s="70" t="s">
        <v>29</v>
      </c>
      <c r="C4445" s="10">
        <v>70</v>
      </c>
      <c r="D4445" s="10">
        <v>323</v>
      </c>
      <c r="E4445" s="10" t="s">
        <v>37</v>
      </c>
    </row>
    <row r="4446" spans="1:7" x14ac:dyDescent="0.35">
      <c r="A4446" s="2">
        <v>42860</v>
      </c>
      <c r="B4446" s="70" t="s">
        <v>29</v>
      </c>
      <c r="C4446" s="10">
        <v>73</v>
      </c>
      <c r="D4446" s="10">
        <v>353</v>
      </c>
      <c r="E4446" s="10" t="s">
        <v>159</v>
      </c>
    </row>
    <row r="4447" spans="1:7" x14ac:dyDescent="0.35">
      <c r="A4447" s="2">
        <v>42860</v>
      </c>
      <c r="B4447" s="70" t="s">
        <v>29</v>
      </c>
      <c r="C4447" s="10">
        <v>75</v>
      </c>
      <c r="D4447" s="10">
        <v>371</v>
      </c>
      <c r="E4447" s="10" t="s">
        <v>32</v>
      </c>
    </row>
    <row r="4448" spans="1:7" x14ac:dyDescent="0.35">
      <c r="A4448" s="2">
        <v>42860</v>
      </c>
      <c r="B4448" s="70" t="s">
        <v>29</v>
      </c>
      <c r="C4448" s="10">
        <v>69</v>
      </c>
      <c r="D4448" s="10">
        <v>282</v>
      </c>
      <c r="E4448" s="10" t="s">
        <v>37</v>
      </c>
    </row>
    <row r="4449" spans="1:6" x14ac:dyDescent="0.35">
      <c r="A4449" s="2">
        <v>42860</v>
      </c>
      <c r="B4449" s="70" t="s">
        <v>29</v>
      </c>
      <c r="C4449" s="10">
        <v>76</v>
      </c>
      <c r="D4449" s="10">
        <v>359</v>
      </c>
      <c r="E4449" s="10" t="s">
        <v>159</v>
      </c>
    </row>
    <row r="4450" spans="1:6" x14ac:dyDescent="0.35">
      <c r="A4450" s="2">
        <v>42860</v>
      </c>
      <c r="B4450" s="70" t="s">
        <v>29</v>
      </c>
      <c r="C4450" s="10">
        <v>69</v>
      </c>
      <c r="D4450" s="10">
        <v>305</v>
      </c>
      <c r="E4450" s="10" t="s">
        <v>32</v>
      </c>
      <c r="F4450" t="s">
        <v>475</v>
      </c>
    </row>
    <row r="4451" spans="1:6" x14ac:dyDescent="0.35">
      <c r="A4451" s="2">
        <v>42860</v>
      </c>
      <c r="B4451" s="70" t="s">
        <v>29</v>
      </c>
      <c r="C4451" s="10">
        <v>73</v>
      </c>
      <c r="D4451" s="10">
        <v>425</v>
      </c>
      <c r="E4451" s="10" t="s">
        <v>159</v>
      </c>
    </row>
    <row r="4452" spans="1:6" x14ac:dyDescent="0.35">
      <c r="A4452" s="2">
        <v>42860</v>
      </c>
      <c r="B4452" s="70" t="s">
        <v>29</v>
      </c>
      <c r="C4452" s="10">
        <v>65</v>
      </c>
      <c r="D4452" s="10">
        <v>236</v>
      </c>
      <c r="E4452" s="10" t="s">
        <v>159</v>
      </c>
    </row>
    <row r="4453" spans="1:6" x14ac:dyDescent="0.35">
      <c r="A4453" s="2">
        <v>42860</v>
      </c>
      <c r="B4453" s="70" t="s">
        <v>29</v>
      </c>
      <c r="C4453" s="10">
        <v>73</v>
      </c>
      <c r="D4453" s="10">
        <v>375</v>
      </c>
      <c r="E4453" s="10" t="s">
        <v>37</v>
      </c>
    </row>
    <row r="4454" spans="1:6" x14ac:dyDescent="0.35">
      <c r="A4454" s="2">
        <v>42860</v>
      </c>
      <c r="B4454" s="70" t="s">
        <v>29</v>
      </c>
      <c r="C4454" s="10">
        <v>65</v>
      </c>
      <c r="D4454" s="10">
        <v>181</v>
      </c>
      <c r="E4454" s="10" t="s">
        <v>37</v>
      </c>
    </row>
    <row r="4455" spans="1:6" x14ac:dyDescent="0.35">
      <c r="A4455" s="2">
        <v>42860</v>
      </c>
      <c r="B4455" s="70" t="s">
        <v>29</v>
      </c>
      <c r="C4455" s="10">
        <v>74</v>
      </c>
      <c r="D4455" s="10">
        <v>357</v>
      </c>
      <c r="E4455" s="10" t="s">
        <v>159</v>
      </c>
    </row>
    <row r="4456" spans="1:6" x14ac:dyDescent="0.35">
      <c r="A4456" s="2">
        <v>42860</v>
      </c>
      <c r="B4456" s="70" t="s">
        <v>29</v>
      </c>
      <c r="C4456" s="10">
        <v>64</v>
      </c>
      <c r="D4456" s="10">
        <v>220</v>
      </c>
      <c r="E4456" s="10" t="s">
        <v>32</v>
      </c>
      <c r="F4456" t="s">
        <v>475</v>
      </c>
    </row>
    <row r="4457" spans="1:6" x14ac:dyDescent="0.35">
      <c r="A4457" s="2">
        <v>42860</v>
      </c>
      <c r="B4457" s="70" t="s">
        <v>29</v>
      </c>
      <c r="C4457" s="10">
        <v>68</v>
      </c>
      <c r="D4457" s="10">
        <v>288</v>
      </c>
      <c r="E4457" s="10" t="s">
        <v>34</v>
      </c>
      <c r="F4457" t="s">
        <v>293</v>
      </c>
    </row>
    <row r="4458" spans="1:6" x14ac:dyDescent="0.35">
      <c r="A4458" s="2">
        <v>42860</v>
      </c>
      <c r="B4458" s="70" t="s">
        <v>29</v>
      </c>
      <c r="C4458" s="10">
        <v>74</v>
      </c>
      <c r="D4458" s="10">
        <v>380</v>
      </c>
      <c r="E4458" s="10" t="s">
        <v>37</v>
      </c>
    </row>
    <row r="4459" spans="1:6" x14ac:dyDescent="0.35">
      <c r="A4459" s="2">
        <v>42860</v>
      </c>
      <c r="B4459" s="70" t="s">
        <v>29</v>
      </c>
      <c r="C4459" s="10">
        <v>68</v>
      </c>
      <c r="D4459" s="10">
        <v>298</v>
      </c>
      <c r="E4459" s="10" t="s">
        <v>37</v>
      </c>
      <c r="F4459" t="s">
        <v>476</v>
      </c>
    </row>
    <row r="4460" spans="1:6" x14ac:dyDescent="0.35">
      <c r="A4460" s="2">
        <v>42860</v>
      </c>
      <c r="B4460" s="70" t="s">
        <v>29</v>
      </c>
      <c r="C4460" s="10">
        <v>66</v>
      </c>
      <c r="D4460" s="10">
        <v>236</v>
      </c>
      <c r="E4460" s="10" t="s">
        <v>159</v>
      </c>
    </row>
    <row r="4461" spans="1:6" x14ac:dyDescent="0.35">
      <c r="A4461" s="2">
        <v>42860</v>
      </c>
      <c r="B4461" s="70" t="s">
        <v>29</v>
      </c>
      <c r="C4461" s="10">
        <v>66</v>
      </c>
      <c r="D4461" s="10">
        <v>230</v>
      </c>
      <c r="E4461" s="10" t="s">
        <v>159</v>
      </c>
    </row>
    <row r="4462" spans="1:6" x14ac:dyDescent="0.35">
      <c r="A4462" s="2">
        <v>42860</v>
      </c>
      <c r="B4462" s="70" t="s">
        <v>29</v>
      </c>
      <c r="C4462" s="10">
        <v>68</v>
      </c>
      <c r="D4462" s="10">
        <v>265</v>
      </c>
      <c r="E4462" s="10" t="s">
        <v>37</v>
      </c>
    </row>
    <row r="4463" spans="1:6" x14ac:dyDescent="0.35">
      <c r="A4463" s="2">
        <v>42860</v>
      </c>
      <c r="B4463" s="70" t="s">
        <v>29</v>
      </c>
      <c r="C4463" s="10">
        <v>68</v>
      </c>
      <c r="D4463" s="10">
        <v>270</v>
      </c>
      <c r="E4463" s="10" t="s">
        <v>37</v>
      </c>
    </row>
    <row r="4464" spans="1:6" x14ac:dyDescent="0.35">
      <c r="A4464" s="2">
        <v>42860</v>
      </c>
      <c r="B4464" s="70" t="s">
        <v>29</v>
      </c>
      <c r="C4464" s="10">
        <v>71</v>
      </c>
      <c r="D4464" s="10">
        <v>267</v>
      </c>
      <c r="E4464" s="10" t="s">
        <v>159</v>
      </c>
    </row>
    <row r="4465" spans="1:18" x14ac:dyDescent="0.35">
      <c r="A4465" s="2">
        <v>42860</v>
      </c>
      <c r="B4465" s="70" t="s">
        <v>29</v>
      </c>
      <c r="C4465" s="10">
        <v>64</v>
      </c>
      <c r="D4465" s="10">
        <v>256</v>
      </c>
      <c r="E4465" s="10" t="s">
        <v>32</v>
      </c>
    </row>
    <row r="4466" spans="1:18" x14ac:dyDescent="0.35">
      <c r="A4466" s="2">
        <v>42860</v>
      </c>
      <c r="B4466" s="70" t="s">
        <v>29</v>
      </c>
      <c r="C4466" s="10">
        <v>76</v>
      </c>
      <c r="D4466" s="10">
        <v>382</v>
      </c>
      <c r="E4466" s="10" t="s">
        <v>159</v>
      </c>
    </row>
    <row r="4467" spans="1:18" x14ac:dyDescent="0.35">
      <c r="A4467" s="2">
        <v>42860</v>
      </c>
      <c r="B4467" s="70" t="s">
        <v>29</v>
      </c>
      <c r="C4467" s="10">
        <v>66</v>
      </c>
      <c r="D4467" s="10">
        <v>246</v>
      </c>
      <c r="E4467" s="10" t="s">
        <v>37</v>
      </c>
    </row>
    <row r="4468" spans="1:18" x14ac:dyDescent="0.35">
      <c r="A4468" s="2">
        <v>42860</v>
      </c>
      <c r="B4468" s="70" t="s">
        <v>29</v>
      </c>
      <c r="C4468" s="10">
        <v>72</v>
      </c>
      <c r="D4468" s="10">
        <v>325</v>
      </c>
      <c r="E4468" s="10" t="s">
        <v>159</v>
      </c>
    </row>
    <row r="4469" spans="1:18" x14ac:dyDescent="0.35">
      <c r="A4469" s="2">
        <v>42860</v>
      </c>
      <c r="B4469" s="70" t="s">
        <v>29</v>
      </c>
      <c r="C4469" s="10">
        <v>68</v>
      </c>
      <c r="D4469" s="10">
        <v>268</v>
      </c>
      <c r="E4469" s="10" t="s">
        <v>37</v>
      </c>
    </row>
    <row r="4470" spans="1:18" x14ac:dyDescent="0.35">
      <c r="A4470" s="2">
        <v>42860</v>
      </c>
      <c r="B4470" s="70" t="s">
        <v>29</v>
      </c>
      <c r="C4470" s="10">
        <v>68</v>
      </c>
      <c r="D4470" s="10">
        <v>270</v>
      </c>
      <c r="E4470" s="10" t="s">
        <v>32</v>
      </c>
      <c r="F4470" t="s">
        <v>476</v>
      </c>
    </row>
    <row r="4471" spans="1:18" x14ac:dyDescent="0.35">
      <c r="A4471" s="2">
        <v>42860</v>
      </c>
      <c r="B4471" s="70" t="s">
        <v>29</v>
      </c>
      <c r="C4471" s="10">
        <v>70</v>
      </c>
      <c r="D4471" s="10">
        <v>328</v>
      </c>
      <c r="E4471" s="10" t="s">
        <v>32</v>
      </c>
    </row>
    <row r="4472" spans="1:18" x14ac:dyDescent="0.35">
      <c r="A4472" s="2">
        <v>42860</v>
      </c>
      <c r="B4472" s="70" t="s">
        <v>29</v>
      </c>
      <c r="C4472" s="10">
        <v>73</v>
      </c>
      <c r="D4472" s="10">
        <v>325</v>
      </c>
      <c r="E4472" s="10" t="s">
        <v>32</v>
      </c>
      <c r="F4472" t="s">
        <v>477</v>
      </c>
    </row>
    <row r="4473" spans="1:18" x14ac:dyDescent="0.35">
      <c r="A4473" s="2">
        <v>42860</v>
      </c>
      <c r="B4473" s="70" t="s">
        <v>29</v>
      </c>
      <c r="C4473" s="10">
        <v>73</v>
      </c>
      <c r="D4473" s="10">
        <v>310</v>
      </c>
      <c r="E4473" s="10" t="s">
        <v>159</v>
      </c>
    </row>
    <row r="4474" spans="1:18" x14ac:dyDescent="0.35">
      <c r="A4474" s="2">
        <v>42860</v>
      </c>
      <c r="B4474" s="70" t="s">
        <v>29</v>
      </c>
      <c r="C4474" s="10">
        <v>64</v>
      </c>
      <c r="D4474" s="10">
        <v>205</v>
      </c>
      <c r="E4474" s="10" t="s">
        <v>32</v>
      </c>
      <c r="F4474" t="s">
        <v>161</v>
      </c>
    </row>
    <row r="4475" spans="1:18" x14ac:dyDescent="0.35">
      <c r="A4475" s="2">
        <v>42860</v>
      </c>
      <c r="B4475" s="70" t="s">
        <v>29</v>
      </c>
      <c r="C4475" s="10">
        <v>71</v>
      </c>
      <c r="D4475" s="10">
        <v>360</v>
      </c>
      <c r="E4475" s="10" t="s">
        <v>159</v>
      </c>
    </row>
    <row r="4476" spans="1:18" x14ac:dyDescent="0.35">
      <c r="A4476" s="2">
        <v>42860</v>
      </c>
      <c r="B4476" s="70" t="s">
        <v>29</v>
      </c>
      <c r="C4476" s="10">
        <v>76</v>
      </c>
      <c r="D4476" s="10">
        <v>407</v>
      </c>
      <c r="E4476" s="10" t="s">
        <v>37</v>
      </c>
    </row>
    <row r="4477" spans="1:18" x14ac:dyDescent="0.35">
      <c r="A4477" s="2">
        <v>42860</v>
      </c>
      <c r="B4477" s="70" t="s">
        <v>29</v>
      </c>
      <c r="C4477" s="10">
        <v>66</v>
      </c>
      <c r="D4477" s="10">
        <v>260</v>
      </c>
      <c r="E4477" s="10" t="s">
        <v>37</v>
      </c>
    </row>
    <row r="4478" spans="1:18" x14ac:dyDescent="0.35">
      <c r="A4478" s="2">
        <v>42860</v>
      </c>
      <c r="B4478" s="70" t="s">
        <v>29</v>
      </c>
      <c r="C4478" s="10">
        <v>70</v>
      </c>
      <c r="D4478" s="10">
        <v>321</v>
      </c>
      <c r="E4478" s="10" t="s">
        <v>159</v>
      </c>
    </row>
    <row r="4479" spans="1:18" x14ac:dyDescent="0.35">
      <c r="A4479" s="2">
        <v>42860</v>
      </c>
      <c r="B4479" s="70" t="s">
        <v>29</v>
      </c>
      <c r="C4479" s="10">
        <v>75</v>
      </c>
      <c r="D4479" s="10">
        <v>292</v>
      </c>
      <c r="E4479" s="10" t="s">
        <v>37</v>
      </c>
      <c r="O4479" t="s">
        <v>34</v>
      </c>
      <c r="P4479" t="s">
        <v>32</v>
      </c>
      <c r="Q4479" t="s">
        <v>37</v>
      </c>
      <c r="R4479" t="s">
        <v>159</v>
      </c>
    </row>
    <row r="4480" spans="1:18" x14ac:dyDescent="0.35">
      <c r="A4480" s="2">
        <v>42860</v>
      </c>
      <c r="B4480" s="70" t="s">
        <v>29</v>
      </c>
      <c r="C4480" s="10">
        <v>71</v>
      </c>
      <c r="D4480" s="10">
        <v>300</v>
      </c>
      <c r="E4480" s="10" t="s">
        <v>32</v>
      </c>
      <c r="F4480" t="s">
        <v>293</v>
      </c>
      <c r="O4480" s="5">
        <f>COUNTIF(E4433:E4484,"VIA3")</f>
        <v>1</v>
      </c>
      <c r="P4480" s="5">
        <f>COUNTIF(E4433:E4484,"VIA4")</f>
        <v>12</v>
      </c>
      <c r="Q4480" s="5">
        <f>COUNTIF(E4433:E4484,"VIB")</f>
        <v>20</v>
      </c>
      <c r="R4480" s="5">
        <f>COUNTIF(E4433:E4484,"VII")</f>
        <v>17</v>
      </c>
    </row>
    <row r="4481" spans="1:18" x14ac:dyDescent="0.35">
      <c r="A4481" s="2">
        <v>42860</v>
      </c>
      <c r="B4481" s="70" t="s">
        <v>29</v>
      </c>
      <c r="C4481" s="10">
        <v>72</v>
      </c>
      <c r="D4481" s="10">
        <v>367</v>
      </c>
      <c r="E4481" s="10" t="s">
        <v>159</v>
      </c>
      <c r="O4481" s="6">
        <f t="shared" ref="O4481:Q4481" si="138">O4480/50*100</f>
        <v>2</v>
      </c>
      <c r="P4481" s="6">
        <f t="shared" si="138"/>
        <v>24</v>
      </c>
      <c r="Q4481" s="6">
        <f t="shared" si="138"/>
        <v>40</v>
      </c>
      <c r="R4481" s="6">
        <f>R4480/50*100</f>
        <v>34</v>
      </c>
    </row>
    <row r="4482" spans="1:18" x14ac:dyDescent="0.35">
      <c r="A4482" s="2">
        <v>42860</v>
      </c>
      <c r="B4482" s="70" t="s">
        <v>29</v>
      </c>
      <c r="C4482" s="10">
        <v>68</v>
      </c>
      <c r="D4482" s="10">
        <v>269</v>
      </c>
      <c r="E4482" s="10" t="s">
        <v>32</v>
      </c>
      <c r="F4482" t="s">
        <v>476</v>
      </c>
    </row>
    <row r="4483" spans="1:18" x14ac:dyDescent="0.35">
      <c r="A4483" s="2">
        <v>42860</v>
      </c>
      <c r="B4483" s="70" t="s">
        <v>29</v>
      </c>
      <c r="C4483" s="10">
        <v>186</v>
      </c>
      <c r="D4483" s="10">
        <v>8488</v>
      </c>
      <c r="E4483" s="10" t="s">
        <v>98</v>
      </c>
    </row>
    <row r="4484" spans="1:18" x14ac:dyDescent="0.35">
      <c r="A4484" s="2">
        <v>42860</v>
      </c>
      <c r="B4484" s="70" t="s">
        <v>29</v>
      </c>
      <c r="C4484" s="10">
        <v>127</v>
      </c>
      <c r="D4484" s="10">
        <v>1832</v>
      </c>
      <c r="E4484" s="10" t="s">
        <v>98</v>
      </c>
    </row>
    <row r="4485" spans="1:18" x14ac:dyDescent="0.35">
      <c r="A4485" s="2">
        <v>42860</v>
      </c>
      <c r="B4485" s="70" t="s">
        <v>29</v>
      </c>
      <c r="C4485" s="10">
        <v>102</v>
      </c>
      <c r="D4485" s="10">
        <v>1354</v>
      </c>
      <c r="E4485" s="10" t="s">
        <v>98</v>
      </c>
    </row>
    <row r="4486" spans="1:18" x14ac:dyDescent="0.35">
      <c r="A4486" s="2">
        <v>42860</v>
      </c>
      <c r="B4486" s="70" t="s">
        <v>29</v>
      </c>
      <c r="C4486" s="10">
        <v>128</v>
      </c>
      <c r="D4486" s="10">
        <v>2442</v>
      </c>
      <c r="E4486" s="10" t="s">
        <v>98</v>
      </c>
    </row>
    <row r="4487" spans="1:18" x14ac:dyDescent="0.35">
      <c r="A4487" s="2">
        <v>42860</v>
      </c>
      <c r="B4487" s="70" t="s">
        <v>29</v>
      </c>
      <c r="C4487" s="10">
        <v>168</v>
      </c>
      <c r="D4487" s="10">
        <v>5004</v>
      </c>
      <c r="E4487" s="10" t="s">
        <v>98</v>
      </c>
      <c r="H4487">
        <f>AVERAGE(C4433:C4482)</f>
        <v>69.459999999999994</v>
      </c>
      <c r="I4487">
        <f>AVERAGE(D4433:D4482)</f>
        <v>291.56</v>
      </c>
      <c r="K4487" t="e">
        <f>AVERAGE(#REF!)</f>
        <v>#REF!</v>
      </c>
      <c r="M4487" s="42" t="e">
        <f>AVERAGE(#REF!)</f>
        <v>#REF!</v>
      </c>
    </row>
    <row r="4488" spans="1:18" x14ac:dyDescent="0.35">
      <c r="A4488" s="2">
        <v>42860</v>
      </c>
      <c r="B4488" s="70" t="s">
        <v>29</v>
      </c>
      <c r="C4488" s="10">
        <v>98</v>
      </c>
      <c r="D4488" s="10">
        <v>1032</v>
      </c>
      <c r="E4488" s="10" t="s">
        <v>98</v>
      </c>
    </row>
    <row r="4489" spans="1:18" s="4" customFormat="1" x14ac:dyDescent="0.35">
      <c r="A4489" s="3">
        <v>42860</v>
      </c>
      <c r="B4489" s="44" t="s">
        <v>29</v>
      </c>
      <c r="C4489" s="11">
        <v>92</v>
      </c>
      <c r="D4489" s="11">
        <v>1017</v>
      </c>
      <c r="E4489" s="11" t="s">
        <v>98</v>
      </c>
    </row>
    <row r="4490" spans="1:18" x14ac:dyDescent="0.35">
      <c r="A4490" s="2">
        <v>42860</v>
      </c>
      <c r="B4490" s="70" t="s">
        <v>38</v>
      </c>
      <c r="C4490" s="10">
        <v>73</v>
      </c>
      <c r="D4490" s="10">
        <v>300</v>
      </c>
      <c r="E4490" s="10" t="s">
        <v>32</v>
      </c>
      <c r="F4490" t="s">
        <v>483</v>
      </c>
    </row>
    <row r="4491" spans="1:18" x14ac:dyDescent="0.35">
      <c r="A4491" s="2">
        <v>42860</v>
      </c>
      <c r="B4491" s="70" t="s">
        <v>38</v>
      </c>
      <c r="C4491" s="10">
        <v>72</v>
      </c>
      <c r="D4491" s="10">
        <v>319</v>
      </c>
      <c r="E4491" s="10" t="s">
        <v>37</v>
      </c>
      <c r="F4491" t="s">
        <v>293</v>
      </c>
    </row>
    <row r="4492" spans="1:18" x14ac:dyDescent="0.35">
      <c r="A4492" s="2">
        <v>42860</v>
      </c>
      <c r="B4492" s="70" t="s">
        <v>38</v>
      </c>
      <c r="C4492" s="10">
        <v>68</v>
      </c>
      <c r="D4492" s="10">
        <v>275</v>
      </c>
      <c r="E4492" s="10" t="s">
        <v>159</v>
      </c>
      <c r="F4492" t="s">
        <v>484</v>
      </c>
    </row>
    <row r="4493" spans="1:18" x14ac:dyDescent="0.35">
      <c r="A4493" s="2">
        <v>42860</v>
      </c>
      <c r="B4493" s="70" t="s">
        <v>38</v>
      </c>
      <c r="C4493" s="10">
        <v>68</v>
      </c>
      <c r="D4493" s="10">
        <v>257</v>
      </c>
      <c r="E4493" s="10" t="s">
        <v>159</v>
      </c>
      <c r="F4493" t="s">
        <v>485</v>
      </c>
    </row>
    <row r="4494" spans="1:18" x14ac:dyDescent="0.35">
      <c r="A4494" s="2">
        <v>42860</v>
      </c>
      <c r="B4494" s="70" t="s">
        <v>38</v>
      </c>
      <c r="C4494" s="10">
        <v>73</v>
      </c>
      <c r="D4494" s="10">
        <v>361</v>
      </c>
      <c r="E4494" s="10" t="s">
        <v>37</v>
      </c>
      <c r="F4494" t="s">
        <v>486</v>
      </c>
    </row>
    <row r="4495" spans="1:18" x14ac:dyDescent="0.35">
      <c r="A4495" s="2">
        <v>42860</v>
      </c>
      <c r="B4495" s="70" t="s">
        <v>38</v>
      </c>
      <c r="C4495" s="10">
        <v>72</v>
      </c>
      <c r="D4495" s="10">
        <v>318</v>
      </c>
      <c r="E4495" s="10" t="s">
        <v>37</v>
      </c>
      <c r="F4495" t="s">
        <v>487</v>
      </c>
    </row>
    <row r="4496" spans="1:18" x14ac:dyDescent="0.35">
      <c r="A4496" s="2">
        <v>42860</v>
      </c>
      <c r="B4496" s="70" t="s">
        <v>38</v>
      </c>
      <c r="C4496" s="10">
        <v>73</v>
      </c>
      <c r="D4496" s="10">
        <v>300</v>
      </c>
      <c r="E4496" s="10" t="s">
        <v>159</v>
      </c>
    </row>
    <row r="4497" spans="1:6" x14ac:dyDescent="0.35">
      <c r="A4497" s="2">
        <v>42860</v>
      </c>
      <c r="B4497" s="70" t="s">
        <v>38</v>
      </c>
      <c r="C4497" s="10">
        <v>68</v>
      </c>
      <c r="D4497" s="10">
        <v>255</v>
      </c>
      <c r="E4497" s="10" t="s">
        <v>32</v>
      </c>
    </row>
    <row r="4498" spans="1:6" x14ac:dyDescent="0.35">
      <c r="A4498" s="2">
        <v>42860</v>
      </c>
      <c r="B4498" s="70" t="s">
        <v>38</v>
      </c>
      <c r="C4498" s="10">
        <v>66</v>
      </c>
      <c r="D4498" s="10">
        <v>275</v>
      </c>
      <c r="E4498" s="10" t="s">
        <v>159</v>
      </c>
    </row>
    <row r="4499" spans="1:6" x14ac:dyDescent="0.35">
      <c r="A4499" s="2">
        <v>42860</v>
      </c>
      <c r="B4499" s="70" t="s">
        <v>38</v>
      </c>
      <c r="C4499" s="10">
        <v>68</v>
      </c>
      <c r="D4499" s="10">
        <v>292</v>
      </c>
      <c r="E4499" s="10" t="s">
        <v>32</v>
      </c>
      <c r="F4499" t="s">
        <v>161</v>
      </c>
    </row>
    <row r="4500" spans="1:6" x14ac:dyDescent="0.35">
      <c r="A4500" s="2">
        <v>42860</v>
      </c>
      <c r="B4500" s="70" t="s">
        <v>38</v>
      </c>
      <c r="C4500" s="10">
        <v>75</v>
      </c>
      <c r="D4500" s="10">
        <v>338</v>
      </c>
      <c r="E4500" s="10" t="s">
        <v>32</v>
      </c>
    </row>
    <row r="4501" spans="1:6" x14ac:dyDescent="0.35">
      <c r="A4501" s="2">
        <v>42860</v>
      </c>
      <c r="B4501" s="70" t="s">
        <v>38</v>
      </c>
      <c r="C4501" s="10">
        <v>70</v>
      </c>
      <c r="D4501" s="10">
        <v>280</v>
      </c>
      <c r="E4501" s="10" t="s">
        <v>159</v>
      </c>
    </row>
    <row r="4502" spans="1:6" x14ac:dyDescent="0.35">
      <c r="A4502" s="2">
        <v>42860</v>
      </c>
      <c r="B4502" s="70" t="s">
        <v>38</v>
      </c>
      <c r="C4502" s="10">
        <v>65</v>
      </c>
      <c r="D4502" s="10">
        <v>263</v>
      </c>
      <c r="E4502" s="10" t="s">
        <v>159</v>
      </c>
    </row>
    <row r="4503" spans="1:6" x14ac:dyDescent="0.35">
      <c r="A4503" s="2">
        <v>42860</v>
      </c>
      <c r="B4503" s="70" t="s">
        <v>38</v>
      </c>
      <c r="C4503" s="10">
        <v>74</v>
      </c>
      <c r="D4503" s="10">
        <v>374</v>
      </c>
      <c r="E4503" s="10" t="s">
        <v>159</v>
      </c>
    </row>
    <row r="4504" spans="1:6" x14ac:dyDescent="0.35">
      <c r="A4504" s="2">
        <v>42860</v>
      </c>
      <c r="B4504" s="70" t="s">
        <v>38</v>
      </c>
      <c r="C4504" s="10">
        <v>68</v>
      </c>
      <c r="D4504" s="10">
        <v>249</v>
      </c>
      <c r="E4504" s="10" t="s">
        <v>32</v>
      </c>
      <c r="F4504" t="s">
        <v>293</v>
      </c>
    </row>
    <row r="4505" spans="1:6" x14ac:dyDescent="0.35">
      <c r="A4505" s="2">
        <v>42860</v>
      </c>
      <c r="B4505" s="70" t="s">
        <v>38</v>
      </c>
      <c r="C4505" s="10">
        <v>71</v>
      </c>
      <c r="D4505" s="10">
        <v>305</v>
      </c>
      <c r="E4505" s="10" t="s">
        <v>34</v>
      </c>
    </row>
    <row r="4506" spans="1:6" x14ac:dyDescent="0.35">
      <c r="A4506" s="2">
        <v>42860</v>
      </c>
      <c r="B4506" s="70" t="s">
        <v>38</v>
      </c>
      <c r="C4506" s="10">
        <v>71</v>
      </c>
      <c r="D4506" s="10">
        <v>332</v>
      </c>
      <c r="E4506" s="10" t="s">
        <v>159</v>
      </c>
    </row>
    <row r="4507" spans="1:6" x14ac:dyDescent="0.35">
      <c r="A4507" s="2">
        <v>42860</v>
      </c>
      <c r="B4507" s="70" t="s">
        <v>38</v>
      </c>
      <c r="C4507" s="10">
        <v>71</v>
      </c>
      <c r="D4507" s="10">
        <v>324</v>
      </c>
      <c r="E4507" s="10" t="s">
        <v>159</v>
      </c>
    </row>
    <row r="4508" spans="1:6" x14ac:dyDescent="0.35">
      <c r="A4508" s="2">
        <v>42860</v>
      </c>
      <c r="B4508" s="70" t="s">
        <v>38</v>
      </c>
      <c r="C4508" s="10">
        <v>70</v>
      </c>
      <c r="D4508" s="10">
        <v>280</v>
      </c>
      <c r="E4508" s="10" t="s">
        <v>37</v>
      </c>
    </row>
    <row r="4509" spans="1:6" x14ac:dyDescent="0.35">
      <c r="A4509" s="2">
        <v>42860</v>
      </c>
      <c r="B4509" s="70" t="s">
        <v>38</v>
      </c>
      <c r="C4509" s="10">
        <v>70</v>
      </c>
      <c r="D4509" s="10">
        <v>246</v>
      </c>
      <c r="E4509" s="10" t="s">
        <v>32</v>
      </c>
    </row>
    <row r="4510" spans="1:6" x14ac:dyDescent="0.35">
      <c r="A4510" s="2">
        <v>42860</v>
      </c>
      <c r="B4510" s="70" t="s">
        <v>38</v>
      </c>
      <c r="C4510" s="10">
        <v>64</v>
      </c>
      <c r="D4510" s="10">
        <v>166</v>
      </c>
      <c r="E4510" s="10" t="s">
        <v>37</v>
      </c>
    </row>
    <row r="4511" spans="1:6" x14ac:dyDescent="0.35">
      <c r="A4511" s="2">
        <v>42860</v>
      </c>
      <c r="B4511" s="70" t="s">
        <v>38</v>
      </c>
      <c r="C4511" s="10">
        <v>72</v>
      </c>
      <c r="D4511" s="10">
        <v>317</v>
      </c>
      <c r="E4511" s="10" t="s">
        <v>159</v>
      </c>
    </row>
    <row r="4512" spans="1:6" x14ac:dyDescent="0.35">
      <c r="A4512" s="2">
        <v>42860</v>
      </c>
      <c r="B4512" s="70" t="s">
        <v>38</v>
      </c>
      <c r="C4512" s="10">
        <v>68</v>
      </c>
      <c r="D4512" s="10">
        <v>280</v>
      </c>
      <c r="E4512" s="10" t="s">
        <v>32</v>
      </c>
      <c r="F4512" t="s">
        <v>293</v>
      </c>
    </row>
    <row r="4513" spans="1:6" x14ac:dyDescent="0.35">
      <c r="A4513" s="2">
        <v>42860</v>
      </c>
      <c r="B4513" s="70" t="s">
        <v>38</v>
      </c>
      <c r="C4513" s="10">
        <v>71</v>
      </c>
      <c r="D4513" s="10">
        <v>341</v>
      </c>
      <c r="E4513" s="10" t="s">
        <v>37</v>
      </c>
    </row>
    <row r="4514" spans="1:6" x14ac:dyDescent="0.35">
      <c r="A4514" s="2">
        <v>42860</v>
      </c>
      <c r="B4514" s="70" t="s">
        <v>38</v>
      </c>
      <c r="C4514" s="10">
        <v>73</v>
      </c>
      <c r="D4514" s="10">
        <v>409</v>
      </c>
      <c r="E4514" s="10" t="s">
        <v>159</v>
      </c>
    </row>
    <row r="4515" spans="1:6" x14ac:dyDescent="0.35">
      <c r="A4515" s="2">
        <v>42860</v>
      </c>
      <c r="B4515" s="70" t="s">
        <v>38</v>
      </c>
      <c r="C4515" s="10">
        <v>71</v>
      </c>
      <c r="D4515" s="10">
        <v>308</v>
      </c>
      <c r="E4515" s="10" t="s">
        <v>32</v>
      </c>
    </row>
    <row r="4516" spans="1:6" x14ac:dyDescent="0.35">
      <c r="A4516" s="2">
        <v>42860</v>
      </c>
      <c r="B4516" s="70" t="s">
        <v>38</v>
      </c>
      <c r="C4516" s="10">
        <v>68</v>
      </c>
      <c r="D4516" s="10">
        <v>263</v>
      </c>
      <c r="E4516" s="10" t="s">
        <v>37</v>
      </c>
    </row>
    <row r="4517" spans="1:6" x14ac:dyDescent="0.35">
      <c r="A4517" s="2">
        <v>42860</v>
      </c>
      <c r="B4517" s="70" t="s">
        <v>38</v>
      </c>
      <c r="C4517" s="10">
        <v>71</v>
      </c>
      <c r="D4517" s="10">
        <v>338</v>
      </c>
      <c r="E4517" s="10" t="s">
        <v>32</v>
      </c>
    </row>
    <row r="4518" spans="1:6" x14ac:dyDescent="0.35">
      <c r="A4518" s="2">
        <v>42860</v>
      </c>
      <c r="B4518" s="70" t="s">
        <v>38</v>
      </c>
      <c r="C4518" s="10">
        <v>68</v>
      </c>
      <c r="D4518" s="10">
        <v>317</v>
      </c>
      <c r="E4518" s="10" t="s">
        <v>159</v>
      </c>
    </row>
    <row r="4519" spans="1:6" x14ac:dyDescent="0.35">
      <c r="A4519" s="2">
        <v>42860</v>
      </c>
      <c r="B4519" s="70" t="s">
        <v>38</v>
      </c>
      <c r="C4519" s="10">
        <v>68</v>
      </c>
      <c r="D4519" s="10">
        <v>269</v>
      </c>
      <c r="E4519" s="10" t="s">
        <v>32</v>
      </c>
    </row>
    <row r="4520" spans="1:6" x14ac:dyDescent="0.35">
      <c r="A4520" s="2">
        <v>42860</v>
      </c>
      <c r="B4520" s="70" t="s">
        <v>38</v>
      </c>
      <c r="C4520" s="10">
        <v>66</v>
      </c>
      <c r="D4520" s="10">
        <v>267</v>
      </c>
      <c r="E4520" s="10" t="s">
        <v>37</v>
      </c>
    </row>
    <row r="4521" spans="1:6" x14ac:dyDescent="0.35">
      <c r="A4521" s="2">
        <v>42860</v>
      </c>
      <c r="B4521" s="70" t="s">
        <v>38</v>
      </c>
      <c r="C4521" s="10">
        <v>63</v>
      </c>
      <c r="D4521" s="10">
        <v>215</v>
      </c>
      <c r="E4521" s="10" t="s">
        <v>32</v>
      </c>
    </row>
    <row r="4522" spans="1:6" x14ac:dyDescent="0.35">
      <c r="A4522" s="2">
        <v>42860</v>
      </c>
      <c r="B4522" s="70" t="s">
        <v>38</v>
      </c>
      <c r="C4522" s="10">
        <v>63</v>
      </c>
      <c r="D4522" s="10">
        <v>185</v>
      </c>
      <c r="E4522" s="10" t="s">
        <v>37</v>
      </c>
      <c r="F4522" t="s">
        <v>293</v>
      </c>
    </row>
    <row r="4523" spans="1:6" x14ac:dyDescent="0.35">
      <c r="A4523" s="2">
        <v>42860</v>
      </c>
      <c r="B4523" s="70" t="s">
        <v>38</v>
      </c>
      <c r="C4523" s="10">
        <v>64</v>
      </c>
      <c r="D4523" s="10">
        <v>209</v>
      </c>
      <c r="E4523" s="10" t="s">
        <v>32</v>
      </c>
      <c r="F4523" t="s">
        <v>293</v>
      </c>
    </row>
    <row r="4524" spans="1:6" x14ac:dyDescent="0.35">
      <c r="A4524" s="2">
        <v>42860</v>
      </c>
      <c r="B4524" s="70" t="s">
        <v>38</v>
      </c>
      <c r="C4524" s="10">
        <v>61</v>
      </c>
      <c r="D4524" s="10">
        <v>248</v>
      </c>
      <c r="E4524" s="10" t="s">
        <v>37</v>
      </c>
    </row>
    <row r="4525" spans="1:6" x14ac:dyDescent="0.35">
      <c r="A4525" s="2">
        <v>42860</v>
      </c>
      <c r="B4525" s="70" t="s">
        <v>38</v>
      </c>
      <c r="C4525" s="10">
        <v>73</v>
      </c>
      <c r="D4525" s="10">
        <v>375</v>
      </c>
      <c r="E4525" s="10" t="s">
        <v>159</v>
      </c>
    </row>
    <row r="4526" spans="1:6" x14ac:dyDescent="0.35">
      <c r="A4526" s="2">
        <v>42860</v>
      </c>
      <c r="B4526" s="70" t="s">
        <v>38</v>
      </c>
      <c r="C4526" s="10">
        <v>68</v>
      </c>
      <c r="D4526" s="10">
        <v>258</v>
      </c>
      <c r="E4526" s="10" t="s">
        <v>32</v>
      </c>
      <c r="F4526" t="s">
        <v>293</v>
      </c>
    </row>
    <row r="4527" spans="1:6" x14ac:dyDescent="0.35">
      <c r="A4527" s="2">
        <v>42860</v>
      </c>
      <c r="B4527" s="70" t="s">
        <v>38</v>
      </c>
      <c r="C4527" s="10">
        <v>68</v>
      </c>
      <c r="D4527" s="10">
        <v>355</v>
      </c>
      <c r="E4527" s="10" t="s">
        <v>159</v>
      </c>
    </row>
    <row r="4528" spans="1:6" x14ac:dyDescent="0.35">
      <c r="A4528" s="2">
        <v>42860</v>
      </c>
      <c r="B4528" s="70" t="s">
        <v>38</v>
      </c>
      <c r="C4528" s="10">
        <v>70</v>
      </c>
      <c r="D4528" s="10">
        <v>244</v>
      </c>
      <c r="E4528" s="10" t="s">
        <v>159</v>
      </c>
    </row>
    <row r="4529" spans="1:18" x14ac:dyDescent="0.35">
      <c r="A4529" s="2">
        <v>42860</v>
      </c>
      <c r="B4529" s="70" t="s">
        <v>38</v>
      </c>
      <c r="C4529" s="10">
        <v>75</v>
      </c>
      <c r="D4529" s="10">
        <v>352</v>
      </c>
      <c r="E4529" s="10" t="s">
        <v>37</v>
      </c>
    </row>
    <row r="4530" spans="1:18" x14ac:dyDescent="0.35">
      <c r="A4530" s="2">
        <v>42860</v>
      </c>
      <c r="B4530" s="70" t="s">
        <v>38</v>
      </c>
      <c r="C4530" s="10">
        <v>72</v>
      </c>
      <c r="D4530" s="10">
        <v>324</v>
      </c>
      <c r="E4530" s="10" t="s">
        <v>159</v>
      </c>
    </row>
    <row r="4531" spans="1:18" x14ac:dyDescent="0.35">
      <c r="A4531" s="2">
        <v>42860</v>
      </c>
      <c r="B4531" s="70" t="s">
        <v>38</v>
      </c>
      <c r="C4531" s="10">
        <v>69</v>
      </c>
      <c r="D4531" s="10">
        <v>338</v>
      </c>
      <c r="E4531" s="10" t="s">
        <v>32</v>
      </c>
      <c r="F4531" t="s">
        <v>161</v>
      </c>
    </row>
    <row r="4532" spans="1:18" x14ac:dyDescent="0.35">
      <c r="A4532" s="2">
        <v>42860</v>
      </c>
      <c r="B4532" s="70" t="s">
        <v>38</v>
      </c>
      <c r="C4532" s="10">
        <v>65</v>
      </c>
      <c r="D4532" s="10">
        <v>270</v>
      </c>
      <c r="E4532" s="10" t="s">
        <v>37</v>
      </c>
    </row>
    <row r="4533" spans="1:18" x14ac:dyDescent="0.35">
      <c r="A4533" s="2">
        <v>42860</v>
      </c>
      <c r="B4533" s="70" t="s">
        <v>38</v>
      </c>
      <c r="C4533" s="10">
        <v>60</v>
      </c>
      <c r="D4533" s="10">
        <v>195</v>
      </c>
      <c r="E4533" s="10" t="s">
        <v>37</v>
      </c>
    </row>
    <row r="4534" spans="1:18" x14ac:dyDescent="0.35">
      <c r="A4534" s="2">
        <v>42860</v>
      </c>
      <c r="B4534" s="70" t="s">
        <v>38</v>
      </c>
      <c r="C4534" s="10">
        <v>72</v>
      </c>
      <c r="D4534" s="10">
        <v>362</v>
      </c>
      <c r="E4534" s="10" t="s">
        <v>159</v>
      </c>
    </row>
    <row r="4535" spans="1:18" x14ac:dyDescent="0.35">
      <c r="A4535" s="2">
        <v>42860</v>
      </c>
      <c r="B4535" s="70" t="s">
        <v>38</v>
      </c>
      <c r="C4535" s="10">
        <v>71</v>
      </c>
      <c r="D4535" s="10">
        <v>328</v>
      </c>
      <c r="E4535" s="10" t="s">
        <v>159</v>
      </c>
    </row>
    <row r="4536" spans="1:18" x14ac:dyDescent="0.35">
      <c r="A4536" s="2">
        <v>42860</v>
      </c>
      <c r="B4536" s="70" t="s">
        <v>38</v>
      </c>
      <c r="C4536" s="10">
        <v>68</v>
      </c>
      <c r="D4536" s="10">
        <v>265</v>
      </c>
      <c r="E4536" s="10" t="s">
        <v>37</v>
      </c>
    </row>
    <row r="4537" spans="1:18" x14ac:dyDescent="0.35">
      <c r="A4537" s="2">
        <v>42860</v>
      </c>
      <c r="B4537" s="70" t="s">
        <v>38</v>
      </c>
      <c r="C4537" s="10">
        <v>66</v>
      </c>
      <c r="D4537" s="10">
        <v>269</v>
      </c>
      <c r="E4537" s="10" t="s">
        <v>37</v>
      </c>
    </row>
    <row r="4538" spans="1:18" x14ac:dyDescent="0.35">
      <c r="A4538" s="2">
        <v>42860</v>
      </c>
      <c r="B4538" s="70" t="s">
        <v>38</v>
      </c>
      <c r="C4538" s="10">
        <v>65</v>
      </c>
      <c r="D4538" s="10">
        <v>241</v>
      </c>
      <c r="E4538" s="10" t="s">
        <v>159</v>
      </c>
    </row>
    <row r="4539" spans="1:18" x14ac:dyDescent="0.35">
      <c r="A4539" s="2">
        <v>42860</v>
      </c>
      <c r="B4539" s="70" t="s">
        <v>38</v>
      </c>
      <c r="C4539" s="10">
        <v>65</v>
      </c>
      <c r="D4539" s="10">
        <v>260</v>
      </c>
      <c r="E4539" s="10" t="s">
        <v>37</v>
      </c>
      <c r="O4539" t="s">
        <v>34</v>
      </c>
      <c r="P4539" t="s">
        <v>32</v>
      </c>
      <c r="Q4539" t="s">
        <v>37</v>
      </c>
      <c r="R4539" t="s">
        <v>159</v>
      </c>
    </row>
    <row r="4540" spans="1:18" x14ac:dyDescent="0.35">
      <c r="A4540" s="2">
        <v>42860</v>
      </c>
      <c r="B4540" s="70" t="s">
        <v>38</v>
      </c>
      <c r="C4540" s="10">
        <v>68</v>
      </c>
      <c r="D4540" s="10">
        <v>300</v>
      </c>
      <c r="E4540" s="10" t="s">
        <v>37</v>
      </c>
      <c r="O4540" s="5">
        <f>COUNTIF(E4490:E4544,"VIA3")</f>
        <v>1</v>
      </c>
      <c r="P4540" s="5">
        <f>COUNTIF(E4490:E4541,"VIA4")</f>
        <v>14</v>
      </c>
      <c r="Q4540" s="5">
        <f>COUNTIF(E4490:E4541,"VIB")</f>
        <v>17</v>
      </c>
      <c r="R4540" s="5">
        <f>COUNTIF(E4490:E4541,"VII")</f>
        <v>19</v>
      </c>
    </row>
    <row r="4541" spans="1:18" x14ac:dyDescent="0.35">
      <c r="A4541" s="2">
        <v>42860</v>
      </c>
      <c r="B4541" s="70" t="s">
        <v>38</v>
      </c>
      <c r="C4541" s="10">
        <v>89</v>
      </c>
      <c r="D4541" s="10">
        <v>970</v>
      </c>
      <c r="E4541" s="10" t="s">
        <v>98</v>
      </c>
      <c r="O4541" s="6">
        <f>O4540/51*100</f>
        <v>1.9607843137254901</v>
      </c>
      <c r="P4541" s="6">
        <f t="shared" ref="P4541:R4541" si="139">P4540/51*100</f>
        <v>27.450980392156865</v>
      </c>
      <c r="Q4541" s="6">
        <f t="shared" si="139"/>
        <v>33.333333333333329</v>
      </c>
      <c r="R4541" s="6">
        <f t="shared" si="139"/>
        <v>37.254901960784316</v>
      </c>
    </row>
    <row r="4542" spans="1:18" x14ac:dyDescent="0.35">
      <c r="A4542" s="2">
        <v>42860</v>
      </c>
      <c r="B4542" s="70" t="s">
        <v>38</v>
      </c>
      <c r="C4542" s="10">
        <v>125</v>
      </c>
      <c r="D4542" s="10">
        <v>2229</v>
      </c>
      <c r="E4542" s="10" t="s">
        <v>98</v>
      </c>
      <c r="I4542">
        <f>AVERAGE(C4490:C4540,C4433:C4482)</f>
        <v>69.158415841584159</v>
      </c>
      <c r="J4542">
        <f>AVERAGE(D4490:D4540,D4433:D4482)</f>
        <v>290.980198019802</v>
      </c>
      <c r="L4542" t="e">
        <f>AVERAGE(#REF!,#REF!)</f>
        <v>#REF!</v>
      </c>
    </row>
    <row r="4543" spans="1:18" x14ac:dyDescent="0.35">
      <c r="A4543" s="2">
        <v>42860</v>
      </c>
      <c r="B4543" s="70" t="s">
        <v>38</v>
      </c>
      <c r="C4543" s="10">
        <v>115</v>
      </c>
      <c r="D4543" s="10">
        <v>1579</v>
      </c>
      <c r="E4543" s="10" t="s">
        <v>98</v>
      </c>
      <c r="O4543" t="s">
        <v>34</v>
      </c>
      <c r="P4543" t="s">
        <v>32</v>
      </c>
      <c r="Q4543" t="s">
        <v>37</v>
      </c>
      <c r="R4543" t="s">
        <v>159</v>
      </c>
    </row>
    <row r="4544" spans="1:18" x14ac:dyDescent="0.35">
      <c r="A4544" s="2">
        <v>42860</v>
      </c>
      <c r="B4544" s="70" t="s">
        <v>38</v>
      </c>
      <c r="C4544" s="10">
        <v>101</v>
      </c>
      <c r="D4544" s="10">
        <v>1223</v>
      </c>
      <c r="E4544" s="10" t="s">
        <v>98</v>
      </c>
      <c r="I4544">
        <f>AVERAGE(C4541:C4548,C4483:C4489)</f>
        <v>123.66666666666667</v>
      </c>
      <c r="J4544">
        <f>AVERAGE(D4541:D4548,D4483:D4489)</f>
        <v>2545.1999999999998</v>
      </c>
      <c r="O4544" s="5">
        <f>COUNTIF(E4433:E4548,"VIA3")</f>
        <v>2</v>
      </c>
      <c r="P4544" s="5">
        <f>COUNTIF(E4433:E4545,"VIA4")</f>
        <v>26</v>
      </c>
      <c r="Q4544" s="5">
        <f>COUNTIF(E4433:E4545,"VIB")</f>
        <v>37</v>
      </c>
      <c r="R4544" s="5">
        <f>COUNTIF(E4433:E4545,"VII")</f>
        <v>36</v>
      </c>
    </row>
    <row r="4545" spans="1:18" x14ac:dyDescent="0.35">
      <c r="A4545" s="2">
        <v>42860</v>
      </c>
      <c r="B4545" s="70" t="s">
        <v>38</v>
      </c>
      <c r="C4545" s="10">
        <v>124</v>
      </c>
      <c r="D4545" s="10">
        <v>2249</v>
      </c>
      <c r="E4545" s="10" t="s">
        <v>98</v>
      </c>
      <c r="O4545" s="6">
        <f>O4544/101*100</f>
        <v>1.9801980198019802</v>
      </c>
      <c r="P4545" s="6">
        <f t="shared" ref="P4545:R4545" si="140">P4544/101*100</f>
        <v>25.742574257425744</v>
      </c>
      <c r="Q4545" s="6">
        <f t="shared" si="140"/>
        <v>36.633663366336634</v>
      </c>
      <c r="R4545" s="6">
        <f t="shared" si="140"/>
        <v>35.64356435643564</v>
      </c>
    </row>
    <row r="4546" spans="1:18" x14ac:dyDescent="0.35">
      <c r="A4546" s="2">
        <v>42860</v>
      </c>
      <c r="B4546" s="70" t="s">
        <v>38</v>
      </c>
      <c r="C4546" s="10">
        <v>146</v>
      </c>
      <c r="D4546" s="10">
        <v>3833</v>
      </c>
      <c r="E4546" s="10" t="s">
        <v>98</v>
      </c>
    </row>
    <row r="4547" spans="1:18" x14ac:dyDescent="0.35">
      <c r="A4547" s="2">
        <v>42860</v>
      </c>
      <c r="B4547" s="70" t="s">
        <v>38</v>
      </c>
      <c r="C4547" s="10">
        <v>116</v>
      </c>
      <c r="D4547" s="10">
        <v>1523</v>
      </c>
      <c r="E4547" s="10" t="s">
        <v>98</v>
      </c>
      <c r="I4547" s="42" t="e">
        <f>AVERAGE(#REF!)</f>
        <v>#REF!</v>
      </c>
      <c r="J4547" s="42" t="e">
        <f>AVERAGE(#REF!,#REF!)</f>
        <v>#REF!</v>
      </c>
    </row>
    <row r="4548" spans="1:18" s="4" customFormat="1" x14ac:dyDescent="0.35">
      <c r="A4548" s="3">
        <v>42860</v>
      </c>
      <c r="B4548" s="44" t="s">
        <v>38</v>
      </c>
      <c r="C4548" s="11">
        <v>138</v>
      </c>
      <c r="D4548" s="11">
        <v>3403</v>
      </c>
      <c r="E4548" s="11" t="s">
        <v>98</v>
      </c>
    </row>
    <row r="4549" spans="1:18" x14ac:dyDescent="0.35">
      <c r="A4549" s="2">
        <v>42860</v>
      </c>
      <c r="B4549" s="70" t="s">
        <v>114</v>
      </c>
      <c r="C4549" s="10">
        <v>67</v>
      </c>
      <c r="D4549" s="10">
        <v>328</v>
      </c>
      <c r="E4549" s="10" t="s">
        <v>37</v>
      </c>
    </row>
    <row r="4550" spans="1:18" x14ac:dyDescent="0.35">
      <c r="A4550" s="2">
        <v>42860</v>
      </c>
      <c r="B4550" s="70" t="s">
        <v>114</v>
      </c>
      <c r="C4550" s="10">
        <v>68</v>
      </c>
      <c r="D4550" s="10">
        <v>353</v>
      </c>
      <c r="E4550" s="10" t="s">
        <v>159</v>
      </c>
    </row>
    <row r="4551" spans="1:18" x14ac:dyDescent="0.35">
      <c r="A4551" s="2">
        <v>42860</v>
      </c>
      <c r="B4551" s="70" t="s">
        <v>114</v>
      </c>
      <c r="C4551" s="10">
        <v>200</v>
      </c>
      <c r="D4551" s="10">
        <v>8857</v>
      </c>
      <c r="E4551" s="10" t="s">
        <v>98</v>
      </c>
    </row>
    <row r="4552" spans="1:18" s="4" customFormat="1" x14ac:dyDescent="0.35">
      <c r="A4552" s="3">
        <v>42860</v>
      </c>
      <c r="B4552" s="44" t="s">
        <v>114</v>
      </c>
      <c r="C4552" s="11">
        <v>111</v>
      </c>
      <c r="D4552" s="11">
        <v>1283</v>
      </c>
      <c r="E4552" s="4" t="s">
        <v>98</v>
      </c>
    </row>
    <row r="4553" spans="1:18" x14ac:dyDescent="0.35">
      <c r="A4553" s="2">
        <v>42860</v>
      </c>
      <c r="B4553" s="70" t="s">
        <v>104</v>
      </c>
      <c r="C4553" s="10">
        <v>68</v>
      </c>
      <c r="D4553" s="10">
        <v>315</v>
      </c>
      <c r="E4553" s="10" t="s">
        <v>37</v>
      </c>
      <c r="F4553" t="s">
        <v>488</v>
      </c>
    </row>
    <row r="4554" spans="1:18" x14ac:dyDescent="0.35">
      <c r="A4554" s="2">
        <v>42860</v>
      </c>
      <c r="B4554" s="70" t="s">
        <v>104</v>
      </c>
      <c r="C4554" s="10">
        <v>62</v>
      </c>
      <c r="D4554" s="10">
        <v>232</v>
      </c>
      <c r="E4554" s="10" t="s">
        <v>32</v>
      </c>
      <c r="F4554" t="s">
        <v>489</v>
      </c>
    </row>
    <row r="4555" spans="1:18" x14ac:dyDescent="0.35">
      <c r="A4555" s="2">
        <v>42860</v>
      </c>
      <c r="B4555" s="70" t="s">
        <v>104</v>
      </c>
      <c r="C4555" s="10">
        <v>62</v>
      </c>
      <c r="D4555" s="10">
        <v>246</v>
      </c>
      <c r="E4555" s="10" t="s">
        <v>37</v>
      </c>
      <c r="F4555" t="s">
        <v>490</v>
      </c>
    </row>
    <row r="4556" spans="1:18" x14ac:dyDescent="0.35">
      <c r="A4556" s="2">
        <v>42860</v>
      </c>
      <c r="B4556" s="70" t="s">
        <v>104</v>
      </c>
      <c r="C4556" s="10">
        <v>63</v>
      </c>
      <c r="D4556" s="10">
        <v>249</v>
      </c>
      <c r="E4556" s="10" t="s">
        <v>159</v>
      </c>
      <c r="F4556" t="s">
        <v>491</v>
      </c>
    </row>
    <row r="4557" spans="1:18" x14ac:dyDescent="0.35">
      <c r="A4557" s="2">
        <v>42860</v>
      </c>
      <c r="B4557" s="70" t="s">
        <v>104</v>
      </c>
      <c r="C4557" s="10">
        <v>68</v>
      </c>
      <c r="D4557" s="10">
        <v>259</v>
      </c>
      <c r="E4557" s="10" t="s">
        <v>32</v>
      </c>
      <c r="F4557" t="s">
        <v>492</v>
      </c>
      <c r="H4557" t="s">
        <v>161</v>
      </c>
    </row>
    <row r="4558" spans="1:18" x14ac:dyDescent="0.35">
      <c r="A4558" s="2">
        <v>42860</v>
      </c>
      <c r="B4558" s="70" t="s">
        <v>104</v>
      </c>
      <c r="C4558" s="10">
        <v>71</v>
      </c>
      <c r="D4558" s="10">
        <v>371</v>
      </c>
      <c r="E4558" s="10" t="s">
        <v>159</v>
      </c>
    </row>
    <row r="4559" spans="1:18" x14ac:dyDescent="0.35">
      <c r="A4559" s="2">
        <v>42860</v>
      </c>
      <c r="B4559" s="70" t="s">
        <v>104</v>
      </c>
      <c r="C4559" s="10">
        <v>63</v>
      </c>
      <c r="D4559" s="10">
        <v>252</v>
      </c>
      <c r="E4559" s="10" t="s">
        <v>37</v>
      </c>
    </row>
    <row r="4560" spans="1:18" x14ac:dyDescent="0.35">
      <c r="A4560" s="2">
        <v>42860</v>
      </c>
      <c r="B4560" s="70" t="s">
        <v>104</v>
      </c>
      <c r="C4560" s="10">
        <v>65</v>
      </c>
      <c r="D4560" s="10">
        <v>272</v>
      </c>
      <c r="E4560" s="10" t="s">
        <v>159</v>
      </c>
    </row>
    <row r="4561" spans="1:6" x14ac:dyDescent="0.35">
      <c r="A4561" s="2">
        <v>42860</v>
      </c>
      <c r="B4561" s="70" t="s">
        <v>104</v>
      </c>
      <c r="C4561" s="10">
        <v>72</v>
      </c>
      <c r="D4561" s="10">
        <v>419</v>
      </c>
      <c r="E4561" s="10" t="s">
        <v>159</v>
      </c>
    </row>
    <row r="4562" spans="1:6" s="4" customFormat="1" x14ac:dyDescent="0.35">
      <c r="A4562" s="3">
        <v>42860</v>
      </c>
      <c r="B4562" s="44" t="s">
        <v>104</v>
      </c>
      <c r="C4562" s="11">
        <v>70</v>
      </c>
      <c r="D4562" s="11">
        <v>384</v>
      </c>
      <c r="E4562" s="11" t="s">
        <v>159</v>
      </c>
    </row>
    <row r="4563" spans="1:6" x14ac:dyDescent="0.35">
      <c r="A4563" s="2">
        <v>42860</v>
      </c>
      <c r="B4563" s="70" t="s">
        <v>103</v>
      </c>
      <c r="C4563" s="10">
        <v>69</v>
      </c>
      <c r="D4563" s="10">
        <v>325</v>
      </c>
      <c r="E4563" s="10" t="s">
        <v>159</v>
      </c>
    </row>
    <row r="4564" spans="1:6" x14ac:dyDescent="0.35">
      <c r="A4564" s="2">
        <v>42860</v>
      </c>
      <c r="B4564" s="70" t="s">
        <v>103</v>
      </c>
      <c r="C4564" s="10">
        <v>65</v>
      </c>
      <c r="D4564" s="10">
        <v>282</v>
      </c>
      <c r="E4564" s="10" t="s">
        <v>32</v>
      </c>
    </row>
    <row r="4565" spans="1:6" x14ac:dyDescent="0.35">
      <c r="A4565" s="2">
        <v>42860</v>
      </c>
      <c r="B4565" s="70" t="s">
        <v>103</v>
      </c>
      <c r="C4565" s="10">
        <v>117</v>
      </c>
      <c r="D4565" s="10">
        <v>1874</v>
      </c>
      <c r="E4565" s="10" t="s">
        <v>98</v>
      </c>
    </row>
    <row r="4566" spans="1:6" s="4" customFormat="1" x14ac:dyDescent="0.35">
      <c r="A4566" s="3">
        <v>42860</v>
      </c>
      <c r="B4566" s="44" t="s">
        <v>103</v>
      </c>
      <c r="C4566" s="11">
        <v>118</v>
      </c>
      <c r="D4566" s="11">
        <v>2046</v>
      </c>
      <c r="E4566" s="11" t="s">
        <v>98</v>
      </c>
    </row>
    <row r="4567" spans="1:6" x14ac:dyDescent="0.35">
      <c r="A4567" s="2">
        <v>42860</v>
      </c>
      <c r="B4567" s="70" t="s">
        <v>102</v>
      </c>
      <c r="C4567" s="10">
        <v>65</v>
      </c>
      <c r="D4567" s="10">
        <v>229</v>
      </c>
      <c r="E4567" s="10" t="s">
        <v>159</v>
      </c>
      <c r="F4567" t="s">
        <v>493</v>
      </c>
    </row>
    <row r="4568" spans="1:6" x14ac:dyDescent="0.35">
      <c r="A4568" s="2">
        <v>42860</v>
      </c>
      <c r="B4568" s="70" t="s">
        <v>102</v>
      </c>
      <c r="C4568" s="10">
        <v>68</v>
      </c>
      <c r="D4568" s="10">
        <v>284</v>
      </c>
      <c r="E4568" s="10" t="s">
        <v>159</v>
      </c>
      <c r="F4568" t="s">
        <v>494</v>
      </c>
    </row>
    <row r="4569" spans="1:6" x14ac:dyDescent="0.35">
      <c r="A4569" s="2">
        <v>42860</v>
      </c>
      <c r="B4569" s="70" t="s">
        <v>102</v>
      </c>
      <c r="C4569" s="10">
        <v>60</v>
      </c>
      <c r="D4569" s="10">
        <v>207</v>
      </c>
      <c r="E4569" s="10" t="s">
        <v>37</v>
      </c>
      <c r="F4569" t="s">
        <v>495</v>
      </c>
    </row>
    <row r="4570" spans="1:6" x14ac:dyDescent="0.35">
      <c r="A4570" s="2">
        <v>42860</v>
      </c>
      <c r="B4570" s="70" t="s">
        <v>102</v>
      </c>
      <c r="C4570" s="10">
        <v>72</v>
      </c>
      <c r="D4570" s="10">
        <v>330</v>
      </c>
      <c r="E4570" s="10" t="s">
        <v>159</v>
      </c>
      <c r="F4570" t="s">
        <v>496</v>
      </c>
    </row>
    <row r="4571" spans="1:6" x14ac:dyDescent="0.35">
      <c r="A4571" s="2">
        <v>42860</v>
      </c>
      <c r="B4571" s="70" t="s">
        <v>102</v>
      </c>
      <c r="C4571" s="10">
        <v>68</v>
      </c>
      <c r="D4571" s="10">
        <v>303</v>
      </c>
      <c r="E4571" s="10" t="s">
        <v>37</v>
      </c>
      <c r="F4571" t="s">
        <v>497</v>
      </c>
    </row>
    <row r="4572" spans="1:6" x14ac:dyDescent="0.35">
      <c r="A4572" s="2">
        <v>42860</v>
      </c>
      <c r="B4572" s="70" t="s">
        <v>102</v>
      </c>
      <c r="C4572" s="10">
        <v>62</v>
      </c>
      <c r="D4572" s="10">
        <v>234</v>
      </c>
      <c r="E4572" s="10" t="s">
        <v>37</v>
      </c>
    </row>
    <row r="4573" spans="1:6" x14ac:dyDescent="0.35">
      <c r="A4573" s="2">
        <v>42860</v>
      </c>
      <c r="B4573" s="70" t="s">
        <v>102</v>
      </c>
      <c r="C4573" s="10">
        <v>70</v>
      </c>
      <c r="D4573" s="10">
        <v>340</v>
      </c>
      <c r="E4573" s="10" t="s">
        <v>159</v>
      </c>
    </row>
    <row r="4574" spans="1:6" x14ac:dyDescent="0.35">
      <c r="A4574" s="2">
        <v>42860</v>
      </c>
      <c r="B4574" s="70" t="s">
        <v>102</v>
      </c>
      <c r="C4574" s="10">
        <v>73</v>
      </c>
      <c r="D4574" s="10">
        <v>338</v>
      </c>
      <c r="E4574" s="10" t="s">
        <v>159</v>
      </c>
    </row>
    <row r="4575" spans="1:6" x14ac:dyDescent="0.35">
      <c r="A4575" s="2">
        <v>42860</v>
      </c>
      <c r="B4575" s="70" t="s">
        <v>102</v>
      </c>
      <c r="C4575" s="10">
        <v>68</v>
      </c>
      <c r="D4575" s="10">
        <v>286</v>
      </c>
      <c r="E4575" s="10" t="s">
        <v>32</v>
      </c>
    </row>
    <row r="4576" spans="1:6" x14ac:dyDescent="0.35">
      <c r="A4576" s="2">
        <v>42860</v>
      </c>
      <c r="B4576" s="70" t="s">
        <v>102</v>
      </c>
      <c r="C4576" s="10">
        <v>71</v>
      </c>
      <c r="D4576" s="10">
        <v>334</v>
      </c>
      <c r="E4576" s="10" t="s">
        <v>159</v>
      </c>
    </row>
    <row r="4577" spans="1:5" x14ac:dyDescent="0.35">
      <c r="A4577" s="2">
        <v>42860</v>
      </c>
      <c r="B4577" s="70" t="s">
        <v>102</v>
      </c>
      <c r="C4577" s="10">
        <v>109</v>
      </c>
      <c r="D4577" s="10">
        <v>1545</v>
      </c>
      <c r="E4577" s="10" t="s">
        <v>98</v>
      </c>
    </row>
    <row r="4578" spans="1:5" x14ac:dyDescent="0.35">
      <c r="A4578" s="2">
        <v>42860</v>
      </c>
      <c r="B4578" s="70" t="s">
        <v>102</v>
      </c>
      <c r="C4578" s="10">
        <v>95</v>
      </c>
      <c r="D4578" s="10">
        <v>1339</v>
      </c>
      <c r="E4578" s="10" t="s">
        <v>98</v>
      </c>
    </row>
    <row r="4579" spans="1:5" s="4" customFormat="1" x14ac:dyDescent="0.35">
      <c r="A4579" s="3">
        <v>42860</v>
      </c>
      <c r="B4579" s="44" t="s">
        <v>102</v>
      </c>
      <c r="C4579" s="11">
        <v>94</v>
      </c>
      <c r="D4579" s="11">
        <v>1219</v>
      </c>
      <c r="E4579" s="4" t="s">
        <v>98</v>
      </c>
    </row>
    <row r="4580" spans="1:5" x14ac:dyDescent="0.35">
      <c r="A4580" s="2">
        <v>42860</v>
      </c>
      <c r="B4580" s="70" t="s">
        <v>113</v>
      </c>
      <c r="C4580" s="10">
        <v>71</v>
      </c>
      <c r="D4580" s="10">
        <v>406</v>
      </c>
      <c r="E4580" s="10" t="s">
        <v>159</v>
      </c>
    </row>
    <row r="4581" spans="1:5" x14ac:dyDescent="0.35">
      <c r="A4581" s="2">
        <v>42860</v>
      </c>
      <c r="B4581" s="70" t="s">
        <v>113</v>
      </c>
      <c r="C4581" s="10">
        <v>65</v>
      </c>
      <c r="D4581" s="10">
        <v>305</v>
      </c>
      <c r="E4581" s="10" t="s">
        <v>37</v>
      </c>
    </row>
    <row r="4582" spans="1:5" x14ac:dyDescent="0.35">
      <c r="A4582" s="2">
        <v>42860</v>
      </c>
      <c r="B4582" s="70" t="s">
        <v>113</v>
      </c>
      <c r="C4582" s="10">
        <v>74</v>
      </c>
      <c r="D4582" s="10">
        <v>401</v>
      </c>
      <c r="E4582" s="10" t="s">
        <v>159</v>
      </c>
    </row>
    <row r="4583" spans="1:5" x14ac:dyDescent="0.35">
      <c r="A4583" s="2">
        <v>42860</v>
      </c>
      <c r="B4583" s="70" t="s">
        <v>113</v>
      </c>
      <c r="C4583" s="10">
        <v>66</v>
      </c>
      <c r="D4583" s="10">
        <v>303</v>
      </c>
      <c r="E4583" s="10" t="s">
        <v>159</v>
      </c>
    </row>
    <row r="4584" spans="1:5" x14ac:dyDescent="0.35">
      <c r="A4584" s="2">
        <v>42860</v>
      </c>
      <c r="B4584" s="70" t="s">
        <v>113</v>
      </c>
      <c r="C4584" s="10">
        <v>67</v>
      </c>
      <c r="D4584" s="10">
        <v>335</v>
      </c>
      <c r="E4584" s="10" t="s">
        <v>159</v>
      </c>
    </row>
    <row r="4585" spans="1:5" x14ac:dyDescent="0.35">
      <c r="A4585" s="2">
        <v>42860</v>
      </c>
      <c r="B4585" s="70" t="s">
        <v>113</v>
      </c>
      <c r="C4585" s="10">
        <v>67</v>
      </c>
      <c r="D4585" s="10">
        <v>297</v>
      </c>
      <c r="E4585" s="10" t="s">
        <v>37</v>
      </c>
    </row>
    <row r="4586" spans="1:5" x14ac:dyDescent="0.35">
      <c r="A4586" s="2">
        <v>42860</v>
      </c>
      <c r="B4586" s="70" t="s">
        <v>113</v>
      </c>
      <c r="C4586" s="10">
        <v>66</v>
      </c>
      <c r="D4586" s="10">
        <v>248</v>
      </c>
      <c r="E4586" s="10" t="s">
        <v>159</v>
      </c>
    </row>
    <row r="4587" spans="1:5" x14ac:dyDescent="0.35">
      <c r="A4587" s="2">
        <v>42860</v>
      </c>
      <c r="B4587" s="70" t="s">
        <v>113</v>
      </c>
      <c r="C4587" s="10">
        <v>67</v>
      </c>
      <c r="D4587" s="10">
        <v>266</v>
      </c>
      <c r="E4587" s="10" t="s">
        <v>32</v>
      </c>
    </row>
    <row r="4588" spans="1:5" x14ac:dyDescent="0.35">
      <c r="A4588" s="2">
        <v>42860</v>
      </c>
      <c r="B4588" s="70" t="s">
        <v>113</v>
      </c>
      <c r="C4588" s="10">
        <v>63</v>
      </c>
      <c r="D4588" s="10">
        <v>216</v>
      </c>
      <c r="E4588" s="10" t="s">
        <v>159</v>
      </c>
    </row>
    <row r="4589" spans="1:5" x14ac:dyDescent="0.35">
      <c r="A4589" s="2">
        <v>42860</v>
      </c>
      <c r="B4589" s="70" t="s">
        <v>113</v>
      </c>
      <c r="C4589" s="10">
        <v>70</v>
      </c>
      <c r="D4589" s="10">
        <v>343</v>
      </c>
      <c r="E4589" s="10" t="s">
        <v>159</v>
      </c>
    </row>
    <row r="4590" spans="1:5" x14ac:dyDescent="0.35">
      <c r="A4590" s="2">
        <v>42860</v>
      </c>
      <c r="B4590" s="70" t="s">
        <v>113</v>
      </c>
      <c r="C4590" s="10">
        <v>71</v>
      </c>
      <c r="D4590" s="10">
        <v>351</v>
      </c>
      <c r="E4590" s="10" t="s">
        <v>159</v>
      </c>
    </row>
    <row r="4591" spans="1:5" x14ac:dyDescent="0.35">
      <c r="A4591" s="2">
        <v>42860</v>
      </c>
      <c r="B4591" s="70" t="s">
        <v>113</v>
      </c>
      <c r="C4591" s="10">
        <v>62</v>
      </c>
      <c r="D4591" s="10">
        <v>196</v>
      </c>
      <c r="E4591" s="10" t="s">
        <v>159</v>
      </c>
    </row>
    <row r="4592" spans="1:5" x14ac:dyDescent="0.35">
      <c r="A4592" s="2">
        <v>42860</v>
      </c>
      <c r="B4592" s="70" t="s">
        <v>113</v>
      </c>
      <c r="C4592" s="10">
        <v>70</v>
      </c>
      <c r="D4592" s="10">
        <v>336</v>
      </c>
      <c r="E4592" s="10" t="s">
        <v>159</v>
      </c>
    </row>
    <row r="4593" spans="1:6" x14ac:dyDescent="0.35">
      <c r="A4593" s="2">
        <v>42860</v>
      </c>
      <c r="B4593" s="70" t="s">
        <v>113</v>
      </c>
      <c r="C4593" s="10">
        <v>71</v>
      </c>
      <c r="D4593" s="10">
        <v>319</v>
      </c>
      <c r="E4593" s="10" t="s">
        <v>159</v>
      </c>
    </row>
    <row r="4594" spans="1:6" x14ac:dyDescent="0.35">
      <c r="A4594" s="2">
        <v>42860</v>
      </c>
      <c r="B4594" s="70" t="s">
        <v>113</v>
      </c>
      <c r="C4594" s="10">
        <v>71</v>
      </c>
      <c r="D4594" s="10">
        <v>289</v>
      </c>
      <c r="E4594" s="10" t="s">
        <v>32</v>
      </c>
    </row>
    <row r="4595" spans="1:6" x14ac:dyDescent="0.35">
      <c r="A4595" s="2">
        <v>42860</v>
      </c>
      <c r="B4595" s="70" t="s">
        <v>113</v>
      </c>
      <c r="C4595" s="10">
        <v>65</v>
      </c>
      <c r="D4595" s="10">
        <v>276</v>
      </c>
      <c r="E4595" s="10" t="s">
        <v>37</v>
      </c>
    </row>
    <row r="4596" spans="1:6" x14ac:dyDescent="0.35">
      <c r="A4596" s="2">
        <v>42860</v>
      </c>
      <c r="B4596" s="70" t="s">
        <v>113</v>
      </c>
      <c r="C4596" s="10">
        <v>66</v>
      </c>
      <c r="D4596" s="10">
        <v>243</v>
      </c>
      <c r="E4596" s="10" t="s">
        <v>37</v>
      </c>
    </row>
    <row r="4597" spans="1:6" x14ac:dyDescent="0.35">
      <c r="A4597" s="2">
        <v>42860</v>
      </c>
      <c r="B4597" s="70" t="s">
        <v>113</v>
      </c>
      <c r="C4597" s="10">
        <v>66</v>
      </c>
      <c r="D4597" s="10">
        <v>297</v>
      </c>
      <c r="E4597" s="10" t="s">
        <v>159</v>
      </c>
    </row>
    <row r="4598" spans="1:6" x14ac:dyDescent="0.35">
      <c r="A4598" s="2">
        <v>42860</v>
      </c>
      <c r="B4598" s="70" t="s">
        <v>113</v>
      </c>
      <c r="C4598" s="10">
        <v>69</v>
      </c>
      <c r="D4598" s="10">
        <v>289</v>
      </c>
      <c r="E4598" s="10" t="s">
        <v>34</v>
      </c>
      <c r="F4598" t="s">
        <v>293</v>
      </c>
    </row>
    <row r="4599" spans="1:6" x14ac:dyDescent="0.35">
      <c r="A4599" s="2">
        <v>42860</v>
      </c>
      <c r="B4599" s="70" t="s">
        <v>113</v>
      </c>
      <c r="C4599" s="10">
        <v>65</v>
      </c>
      <c r="D4599" s="10">
        <v>319</v>
      </c>
      <c r="E4599" s="10" t="s">
        <v>159</v>
      </c>
    </row>
    <row r="4600" spans="1:6" x14ac:dyDescent="0.35">
      <c r="A4600" s="2">
        <v>42860</v>
      </c>
      <c r="B4600" s="70" t="s">
        <v>113</v>
      </c>
      <c r="C4600" s="10">
        <v>94</v>
      </c>
      <c r="D4600" s="10">
        <v>1196</v>
      </c>
      <c r="E4600" s="10" t="s">
        <v>98</v>
      </c>
    </row>
    <row r="4601" spans="1:6" x14ac:dyDescent="0.35">
      <c r="A4601" s="2">
        <v>42860</v>
      </c>
      <c r="B4601" s="70" t="s">
        <v>113</v>
      </c>
      <c r="C4601" s="10">
        <v>102</v>
      </c>
      <c r="D4601" s="10">
        <v>1371</v>
      </c>
      <c r="E4601" s="10" t="s">
        <v>98</v>
      </c>
    </row>
    <row r="4602" spans="1:6" s="4" customFormat="1" x14ac:dyDescent="0.35">
      <c r="A4602" s="3">
        <v>42860</v>
      </c>
      <c r="B4602" s="44" t="s">
        <v>113</v>
      </c>
      <c r="C4602" s="11">
        <v>93</v>
      </c>
      <c r="D4602" s="11">
        <v>904</v>
      </c>
      <c r="E4602" s="11" t="s">
        <v>98</v>
      </c>
    </row>
    <row r="4603" spans="1:6" x14ac:dyDescent="0.35">
      <c r="A4603" s="2">
        <v>42860</v>
      </c>
      <c r="B4603" s="70" t="s">
        <v>66</v>
      </c>
      <c r="C4603" s="10">
        <v>68</v>
      </c>
      <c r="D4603" s="10">
        <v>300</v>
      </c>
      <c r="E4603" s="10" t="s">
        <v>37</v>
      </c>
    </row>
    <row r="4604" spans="1:6" x14ac:dyDescent="0.35">
      <c r="A4604" s="2">
        <v>42860</v>
      </c>
      <c r="B4604" s="70" t="s">
        <v>66</v>
      </c>
      <c r="C4604" s="10">
        <v>70</v>
      </c>
      <c r="D4604" s="10">
        <v>328</v>
      </c>
      <c r="E4604" s="10" t="s">
        <v>37</v>
      </c>
    </row>
    <row r="4605" spans="1:6" x14ac:dyDescent="0.35">
      <c r="A4605" s="2">
        <v>42860</v>
      </c>
      <c r="B4605" s="70" t="s">
        <v>66</v>
      </c>
      <c r="C4605" s="10">
        <v>69</v>
      </c>
      <c r="D4605" s="10">
        <v>359</v>
      </c>
      <c r="E4605" s="10" t="s">
        <v>159</v>
      </c>
    </row>
    <row r="4606" spans="1:6" x14ac:dyDescent="0.35">
      <c r="A4606" s="2">
        <v>42860</v>
      </c>
      <c r="B4606" s="70" t="s">
        <v>66</v>
      </c>
      <c r="C4606" s="10">
        <v>74</v>
      </c>
      <c r="D4606" s="10">
        <v>464</v>
      </c>
      <c r="E4606" s="10" t="s">
        <v>159</v>
      </c>
    </row>
    <row r="4607" spans="1:6" x14ac:dyDescent="0.35">
      <c r="A4607" s="2">
        <v>42860</v>
      </c>
      <c r="B4607" s="70" t="s">
        <v>66</v>
      </c>
      <c r="C4607" s="10">
        <v>67</v>
      </c>
      <c r="D4607" s="10">
        <v>359</v>
      </c>
      <c r="E4607" s="10" t="s">
        <v>159</v>
      </c>
    </row>
    <row r="4608" spans="1:6" x14ac:dyDescent="0.35">
      <c r="A4608" s="2">
        <v>42860</v>
      </c>
      <c r="B4608" s="70" t="s">
        <v>66</v>
      </c>
      <c r="C4608" s="10">
        <v>69</v>
      </c>
      <c r="D4608" s="10">
        <v>294</v>
      </c>
      <c r="E4608" s="10" t="s">
        <v>37</v>
      </c>
    </row>
    <row r="4609" spans="1:5" x14ac:dyDescent="0.35">
      <c r="A4609" s="2">
        <v>42860</v>
      </c>
      <c r="B4609" s="70" t="s">
        <v>66</v>
      </c>
      <c r="C4609" s="10">
        <v>72</v>
      </c>
      <c r="D4609" s="10">
        <v>246</v>
      </c>
      <c r="E4609" s="10" t="s">
        <v>32</v>
      </c>
    </row>
    <row r="4610" spans="1:5" x14ac:dyDescent="0.35">
      <c r="A4610" s="2">
        <v>42860</v>
      </c>
      <c r="B4610" s="70" t="s">
        <v>66</v>
      </c>
      <c r="C4610" s="10">
        <v>66</v>
      </c>
      <c r="D4610" s="10">
        <v>237</v>
      </c>
      <c r="E4610" s="10" t="s">
        <v>159</v>
      </c>
    </row>
    <row r="4611" spans="1:5" x14ac:dyDescent="0.35">
      <c r="A4611" s="2">
        <v>42860</v>
      </c>
      <c r="B4611" s="70" t="s">
        <v>66</v>
      </c>
      <c r="C4611" s="10">
        <v>74</v>
      </c>
      <c r="D4611" s="10">
        <v>401</v>
      </c>
      <c r="E4611" s="10" t="s">
        <v>159</v>
      </c>
    </row>
    <row r="4612" spans="1:5" x14ac:dyDescent="0.35">
      <c r="A4612" s="2">
        <v>42860</v>
      </c>
      <c r="B4612" s="70" t="s">
        <v>66</v>
      </c>
      <c r="C4612" s="10">
        <v>72</v>
      </c>
      <c r="D4612" s="10">
        <v>405</v>
      </c>
      <c r="E4612" s="10" t="s">
        <v>37</v>
      </c>
    </row>
    <row r="4613" spans="1:5" x14ac:dyDescent="0.35">
      <c r="A4613" s="2">
        <v>42860</v>
      </c>
      <c r="B4613" s="70" t="s">
        <v>66</v>
      </c>
      <c r="C4613" s="10">
        <v>116</v>
      </c>
      <c r="D4613" s="10">
        <v>2393</v>
      </c>
      <c r="E4613" s="10" t="s">
        <v>98</v>
      </c>
    </row>
    <row r="4614" spans="1:5" x14ac:dyDescent="0.35">
      <c r="A4614" s="2">
        <v>42860</v>
      </c>
      <c r="B4614" s="70" t="s">
        <v>66</v>
      </c>
      <c r="C4614" s="10">
        <v>101</v>
      </c>
      <c r="D4614" s="10">
        <v>1539</v>
      </c>
      <c r="E4614" s="10" t="s">
        <v>98</v>
      </c>
    </row>
    <row r="4615" spans="1:5" s="4" customFormat="1" x14ac:dyDescent="0.35">
      <c r="A4615" s="3">
        <v>42860</v>
      </c>
      <c r="B4615" s="44" t="s">
        <v>66</v>
      </c>
      <c r="C4615" s="11">
        <v>97</v>
      </c>
      <c r="D4615" s="11">
        <v>1485</v>
      </c>
      <c r="E4615" s="4" t="s">
        <v>98</v>
      </c>
    </row>
    <row r="4616" spans="1:5" x14ac:dyDescent="0.35">
      <c r="A4616" s="2">
        <v>42860</v>
      </c>
      <c r="B4616" s="70" t="s">
        <v>63</v>
      </c>
      <c r="C4616" s="10">
        <v>119</v>
      </c>
      <c r="D4616" s="10">
        <v>1940</v>
      </c>
      <c r="E4616" s="10" t="s">
        <v>98</v>
      </c>
    </row>
    <row r="4617" spans="1:5" x14ac:dyDescent="0.35">
      <c r="A4617" s="2">
        <v>42860</v>
      </c>
      <c r="B4617" s="70" t="s">
        <v>63</v>
      </c>
      <c r="C4617" s="10">
        <v>112</v>
      </c>
      <c r="D4617" s="10">
        <v>1966</v>
      </c>
      <c r="E4617" s="10" t="s">
        <v>98</v>
      </c>
    </row>
    <row r="4618" spans="1:5" x14ac:dyDescent="0.35">
      <c r="A4618" s="2">
        <v>42860</v>
      </c>
      <c r="B4618" s="70" t="s">
        <v>63</v>
      </c>
      <c r="C4618" s="10">
        <v>70</v>
      </c>
      <c r="D4618" s="10">
        <v>334</v>
      </c>
      <c r="E4618" s="10" t="s">
        <v>37</v>
      </c>
    </row>
    <row r="4619" spans="1:5" x14ac:dyDescent="0.35">
      <c r="A4619" s="2">
        <v>42860</v>
      </c>
      <c r="B4619" s="70" t="s">
        <v>63</v>
      </c>
      <c r="C4619" s="10">
        <v>73</v>
      </c>
      <c r="D4619" s="10">
        <v>433</v>
      </c>
      <c r="E4619" s="10" t="s">
        <v>159</v>
      </c>
    </row>
    <row r="4620" spans="1:5" x14ac:dyDescent="0.35">
      <c r="A4620" s="2">
        <v>42860</v>
      </c>
      <c r="B4620" s="70" t="s">
        <v>63</v>
      </c>
      <c r="C4620" s="10">
        <v>72</v>
      </c>
      <c r="D4620" s="10">
        <v>349</v>
      </c>
      <c r="E4620" s="10" t="s">
        <v>37</v>
      </c>
    </row>
    <row r="4621" spans="1:5" x14ac:dyDescent="0.35">
      <c r="A4621" s="2">
        <v>42860</v>
      </c>
      <c r="B4621" s="70" t="s">
        <v>63</v>
      </c>
      <c r="C4621" s="10">
        <v>68</v>
      </c>
      <c r="D4621" s="10">
        <v>326</v>
      </c>
      <c r="E4621" s="10" t="s">
        <v>159</v>
      </c>
    </row>
    <row r="4622" spans="1:5" x14ac:dyDescent="0.35">
      <c r="A4622" s="2">
        <v>42860</v>
      </c>
      <c r="B4622" s="70" t="s">
        <v>63</v>
      </c>
      <c r="C4622" s="10">
        <v>64</v>
      </c>
      <c r="D4622" s="10">
        <v>220</v>
      </c>
      <c r="E4622" s="10" t="s">
        <v>32</v>
      </c>
    </row>
    <row r="4623" spans="1:5" x14ac:dyDescent="0.35">
      <c r="A4623" s="2">
        <v>42860</v>
      </c>
      <c r="B4623" s="70" t="s">
        <v>63</v>
      </c>
      <c r="C4623" s="10">
        <v>71</v>
      </c>
      <c r="D4623" s="10">
        <v>338</v>
      </c>
      <c r="E4623" s="10" t="s">
        <v>32</v>
      </c>
    </row>
    <row r="4624" spans="1:5" x14ac:dyDescent="0.35">
      <c r="A4624" s="2">
        <v>42860</v>
      </c>
      <c r="B4624" s="70" t="s">
        <v>63</v>
      </c>
      <c r="C4624" s="10">
        <v>68</v>
      </c>
      <c r="D4624" s="10">
        <v>355</v>
      </c>
      <c r="E4624" s="10" t="s">
        <v>159</v>
      </c>
    </row>
    <row r="4625" spans="1:18" x14ac:dyDescent="0.35">
      <c r="A4625" s="2">
        <v>42860</v>
      </c>
      <c r="B4625" s="70" t="s">
        <v>63</v>
      </c>
      <c r="C4625" s="10">
        <v>72</v>
      </c>
      <c r="D4625" s="10">
        <v>286</v>
      </c>
      <c r="E4625" s="10" t="s">
        <v>32</v>
      </c>
    </row>
    <row r="4626" spans="1:18" x14ac:dyDescent="0.35">
      <c r="A4626" s="2">
        <v>42860</v>
      </c>
      <c r="B4626" s="70" t="s">
        <v>63</v>
      </c>
      <c r="C4626" s="10">
        <v>66</v>
      </c>
      <c r="D4626" s="10">
        <v>273</v>
      </c>
      <c r="E4626" s="10" t="s">
        <v>159</v>
      </c>
    </row>
    <row r="4627" spans="1:18" x14ac:dyDescent="0.35">
      <c r="A4627" s="2">
        <v>42860</v>
      </c>
      <c r="B4627" s="70" t="s">
        <v>63</v>
      </c>
      <c r="C4627" s="10">
        <v>68</v>
      </c>
      <c r="D4627" s="10">
        <v>340</v>
      </c>
      <c r="E4627" s="10" t="s">
        <v>37</v>
      </c>
    </row>
    <row r="4628" spans="1:18" x14ac:dyDescent="0.35">
      <c r="A4628" s="2">
        <v>42860</v>
      </c>
      <c r="B4628" s="70" t="s">
        <v>63</v>
      </c>
      <c r="C4628" s="10">
        <v>68</v>
      </c>
      <c r="D4628" s="10">
        <v>307</v>
      </c>
      <c r="E4628" s="10" t="s">
        <v>159</v>
      </c>
    </row>
    <row r="4629" spans="1:18" x14ac:dyDescent="0.35">
      <c r="A4629" s="2">
        <v>42860</v>
      </c>
      <c r="B4629" s="70" t="s">
        <v>63</v>
      </c>
      <c r="C4629" s="10">
        <v>70</v>
      </c>
      <c r="D4629" s="10">
        <v>366</v>
      </c>
      <c r="E4629" s="10" t="s">
        <v>159</v>
      </c>
    </row>
    <row r="4630" spans="1:18" x14ac:dyDescent="0.35">
      <c r="A4630" s="2">
        <v>42860</v>
      </c>
      <c r="B4630" s="70" t="s">
        <v>63</v>
      </c>
      <c r="C4630" s="10">
        <v>71</v>
      </c>
      <c r="D4630" s="10">
        <v>247</v>
      </c>
      <c r="E4630" s="10" t="s">
        <v>159</v>
      </c>
    </row>
    <row r="4631" spans="1:18" x14ac:dyDescent="0.35">
      <c r="A4631" s="2">
        <v>42860</v>
      </c>
      <c r="B4631" s="70" t="s">
        <v>63</v>
      </c>
      <c r="C4631" s="10">
        <v>67</v>
      </c>
      <c r="D4631" s="10">
        <v>285</v>
      </c>
      <c r="E4631" s="10" t="s">
        <v>37</v>
      </c>
    </row>
    <row r="4632" spans="1:18" x14ac:dyDescent="0.35">
      <c r="A4632" s="2">
        <v>42860</v>
      </c>
      <c r="B4632" s="70" t="s">
        <v>63</v>
      </c>
      <c r="C4632" s="10">
        <v>63</v>
      </c>
      <c r="D4632" s="10">
        <v>275</v>
      </c>
      <c r="E4632" s="10" t="s">
        <v>37</v>
      </c>
    </row>
    <row r="4633" spans="1:18" x14ac:dyDescent="0.35">
      <c r="A4633" s="2">
        <v>42860</v>
      </c>
      <c r="B4633" s="70" t="s">
        <v>63</v>
      </c>
      <c r="C4633" s="10">
        <v>70</v>
      </c>
      <c r="D4633" s="10">
        <v>239</v>
      </c>
      <c r="E4633" s="10" t="s">
        <v>32</v>
      </c>
      <c r="F4633" t="s">
        <v>287</v>
      </c>
      <c r="N4633" t="s">
        <v>33</v>
      </c>
      <c r="O4633" t="s">
        <v>34</v>
      </c>
      <c r="P4633" t="s">
        <v>32</v>
      </c>
      <c r="Q4633" t="s">
        <v>37</v>
      </c>
      <c r="R4633" t="s">
        <v>159</v>
      </c>
    </row>
    <row r="4634" spans="1:18" x14ac:dyDescent="0.35">
      <c r="A4634" s="2">
        <v>42860</v>
      </c>
      <c r="B4634" s="70" t="s">
        <v>63</v>
      </c>
      <c r="C4634" s="10">
        <v>73</v>
      </c>
      <c r="D4634" s="10">
        <v>340</v>
      </c>
      <c r="E4634" s="10" t="s">
        <v>33</v>
      </c>
      <c r="F4634" t="s">
        <v>498</v>
      </c>
      <c r="J4634" s="42" t="e">
        <f>AVERAGE(#REF!,#REF!,#REF!,#REF!,#REF!)</f>
        <v>#REF!</v>
      </c>
      <c r="N4634">
        <v>1</v>
      </c>
      <c r="O4634" s="5">
        <f>COUNTIF(E4553:E4638,"VIA3")</f>
        <v>1</v>
      </c>
      <c r="P4634" s="5">
        <f>COUNTIF(E4553:E4636,"VIA4")</f>
        <v>12</v>
      </c>
      <c r="Q4634" s="5">
        <f>COUNTIF(E4553:E4636,"VIB")</f>
        <v>20</v>
      </c>
      <c r="R4634" s="5">
        <f>COUNTIF(E4553:E4638,"VII")</f>
        <v>37</v>
      </c>
    </row>
    <row r="4635" spans="1:18" x14ac:dyDescent="0.35">
      <c r="A4635" s="2">
        <v>42860</v>
      </c>
      <c r="B4635" s="70" t="s">
        <v>63</v>
      </c>
      <c r="C4635" s="10">
        <v>65</v>
      </c>
      <c r="D4635" s="10">
        <v>251</v>
      </c>
      <c r="E4635" s="10" t="s">
        <v>37</v>
      </c>
      <c r="F4635" t="s">
        <v>498</v>
      </c>
      <c r="J4635" s="42" t="e">
        <f>AVERAGE(#REF!,#REF!,#REF!,#REF!,)</f>
        <v>#REF!</v>
      </c>
      <c r="N4635" s="6">
        <f>N4634/71*100</f>
        <v>1.4084507042253522</v>
      </c>
      <c r="O4635" s="6">
        <f>O4634/71*100</f>
        <v>1.4084507042253522</v>
      </c>
      <c r="P4635" s="6">
        <f t="shared" ref="P4635:R4635" si="141">P4634/71*100</f>
        <v>16.901408450704224</v>
      </c>
      <c r="Q4635" s="6">
        <f t="shared" si="141"/>
        <v>28.169014084507044</v>
      </c>
      <c r="R4635" s="6">
        <f t="shared" si="141"/>
        <v>52.112676056338024</v>
      </c>
    </row>
    <row r="4636" spans="1:18" s="4" customFormat="1" x14ac:dyDescent="0.35">
      <c r="A4636" s="3">
        <v>42860</v>
      </c>
      <c r="B4636" s="44" t="s">
        <v>63</v>
      </c>
      <c r="C4636" s="11">
        <v>68</v>
      </c>
      <c r="D4636" s="11">
        <v>283</v>
      </c>
      <c r="E4636" s="11" t="s">
        <v>32</v>
      </c>
    </row>
    <row r="4637" spans="1:18" x14ac:dyDescent="0.35">
      <c r="A4637" s="2">
        <v>42867</v>
      </c>
      <c r="B4637" s="70" t="s">
        <v>38</v>
      </c>
      <c r="C4637" s="10">
        <v>68</v>
      </c>
      <c r="D4637" s="10">
        <v>250</v>
      </c>
      <c r="E4637" s="10" t="s">
        <v>32</v>
      </c>
      <c r="F4637" s="10" t="s">
        <v>500</v>
      </c>
    </row>
    <row r="4638" spans="1:18" x14ac:dyDescent="0.35">
      <c r="A4638" s="2">
        <v>42867</v>
      </c>
      <c r="B4638" s="70" t="s">
        <v>38</v>
      </c>
      <c r="C4638" s="10">
        <v>64</v>
      </c>
      <c r="D4638" s="10">
        <v>220</v>
      </c>
      <c r="E4638" s="10" t="s">
        <v>37</v>
      </c>
      <c r="F4638" s="10" t="s">
        <v>501</v>
      </c>
    </row>
    <row r="4639" spans="1:18" x14ac:dyDescent="0.35">
      <c r="A4639" s="2">
        <v>42867</v>
      </c>
      <c r="B4639" s="70" t="s">
        <v>38</v>
      </c>
      <c r="C4639">
        <v>65</v>
      </c>
      <c r="D4639">
        <v>267</v>
      </c>
      <c r="E4639" s="10" t="s">
        <v>37</v>
      </c>
      <c r="F4639" s="10" t="s">
        <v>502</v>
      </c>
    </row>
    <row r="4640" spans="1:18" x14ac:dyDescent="0.35">
      <c r="A4640" s="2">
        <v>42867</v>
      </c>
      <c r="B4640" s="70" t="s">
        <v>38</v>
      </c>
      <c r="C4640">
        <v>68</v>
      </c>
      <c r="D4640">
        <v>291</v>
      </c>
      <c r="E4640" s="10" t="s">
        <v>159</v>
      </c>
      <c r="F4640" s="10" t="s">
        <v>503</v>
      </c>
    </row>
    <row r="4641" spans="1:6" x14ac:dyDescent="0.35">
      <c r="A4641" s="2">
        <v>42867</v>
      </c>
      <c r="B4641" s="70" t="s">
        <v>38</v>
      </c>
      <c r="C4641">
        <v>77</v>
      </c>
      <c r="D4641">
        <v>417</v>
      </c>
      <c r="E4641" s="10" t="s">
        <v>37</v>
      </c>
      <c r="F4641" s="10" t="s">
        <v>504</v>
      </c>
    </row>
    <row r="4642" spans="1:6" x14ac:dyDescent="0.35">
      <c r="A4642" s="2">
        <v>42867</v>
      </c>
      <c r="B4642" s="70" t="s">
        <v>38</v>
      </c>
      <c r="C4642">
        <v>67</v>
      </c>
      <c r="D4642">
        <v>233</v>
      </c>
      <c r="E4642" s="10" t="s">
        <v>37</v>
      </c>
    </row>
    <row r="4643" spans="1:6" x14ac:dyDescent="0.35">
      <c r="A4643" s="2">
        <v>42867</v>
      </c>
      <c r="B4643" s="70" t="s">
        <v>38</v>
      </c>
      <c r="C4643">
        <v>66</v>
      </c>
      <c r="D4643">
        <v>313</v>
      </c>
      <c r="E4643" s="10" t="s">
        <v>159</v>
      </c>
    </row>
    <row r="4644" spans="1:6" x14ac:dyDescent="0.35">
      <c r="A4644" s="2">
        <v>42867</v>
      </c>
      <c r="B4644" s="70" t="s">
        <v>38</v>
      </c>
      <c r="C4644">
        <v>66</v>
      </c>
      <c r="D4644">
        <v>286</v>
      </c>
      <c r="E4644" s="10" t="s">
        <v>159</v>
      </c>
    </row>
    <row r="4645" spans="1:6" x14ac:dyDescent="0.35">
      <c r="A4645" s="2">
        <v>42867</v>
      </c>
      <c r="B4645" s="70" t="s">
        <v>38</v>
      </c>
      <c r="C4645">
        <v>78</v>
      </c>
      <c r="D4645">
        <v>449</v>
      </c>
      <c r="E4645" s="10" t="s">
        <v>159</v>
      </c>
    </row>
    <row r="4646" spans="1:6" x14ac:dyDescent="0.35">
      <c r="A4646" s="2">
        <v>42867</v>
      </c>
      <c r="B4646" s="70" t="s">
        <v>38</v>
      </c>
      <c r="C4646">
        <v>73</v>
      </c>
      <c r="D4646">
        <v>370</v>
      </c>
      <c r="E4646" s="10" t="s">
        <v>159</v>
      </c>
    </row>
    <row r="4647" spans="1:6" x14ac:dyDescent="0.35">
      <c r="A4647" s="2">
        <v>42867</v>
      </c>
      <c r="B4647" s="70" t="s">
        <v>38</v>
      </c>
      <c r="C4647">
        <v>73</v>
      </c>
      <c r="D4647">
        <v>437</v>
      </c>
      <c r="E4647" s="10" t="s">
        <v>37</v>
      </c>
    </row>
    <row r="4648" spans="1:6" x14ac:dyDescent="0.35">
      <c r="A4648" s="2">
        <v>42867</v>
      </c>
      <c r="B4648" s="70" t="s">
        <v>38</v>
      </c>
      <c r="C4648">
        <v>70</v>
      </c>
      <c r="D4648">
        <v>265</v>
      </c>
      <c r="E4648" s="10" t="s">
        <v>37</v>
      </c>
    </row>
    <row r="4649" spans="1:6" x14ac:dyDescent="0.35">
      <c r="A4649" s="2">
        <v>42867</v>
      </c>
      <c r="B4649" s="70" t="s">
        <v>38</v>
      </c>
      <c r="C4649">
        <v>72</v>
      </c>
      <c r="D4649">
        <v>356</v>
      </c>
      <c r="E4649" s="10" t="s">
        <v>37</v>
      </c>
    </row>
    <row r="4650" spans="1:6" x14ac:dyDescent="0.35">
      <c r="A4650" s="2">
        <v>42867</v>
      </c>
      <c r="B4650" s="70" t="s">
        <v>38</v>
      </c>
      <c r="C4650">
        <v>67</v>
      </c>
      <c r="D4650">
        <v>328</v>
      </c>
      <c r="E4650" s="10" t="s">
        <v>159</v>
      </c>
    </row>
    <row r="4651" spans="1:6" x14ac:dyDescent="0.35">
      <c r="A4651" s="2">
        <v>42867</v>
      </c>
      <c r="B4651" s="70" t="s">
        <v>38</v>
      </c>
      <c r="C4651">
        <v>71</v>
      </c>
      <c r="D4651">
        <v>360</v>
      </c>
      <c r="E4651" s="10" t="s">
        <v>159</v>
      </c>
    </row>
    <row r="4652" spans="1:6" x14ac:dyDescent="0.35">
      <c r="A4652" s="2">
        <v>42867</v>
      </c>
      <c r="B4652" s="70" t="s">
        <v>38</v>
      </c>
      <c r="C4652">
        <v>71</v>
      </c>
      <c r="D4652">
        <v>334</v>
      </c>
      <c r="E4652" s="10" t="s">
        <v>32</v>
      </c>
      <c r="F4652" t="s">
        <v>293</v>
      </c>
    </row>
    <row r="4653" spans="1:6" x14ac:dyDescent="0.35">
      <c r="A4653" s="2">
        <v>42867</v>
      </c>
      <c r="B4653" s="70" t="s">
        <v>38</v>
      </c>
      <c r="C4653">
        <v>69</v>
      </c>
      <c r="D4653">
        <v>295</v>
      </c>
      <c r="E4653" s="10" t="s">
        <v>37</v>
      </c>
    </row>
    <row r="4654" spans="1:6" x14ac:dyDescent="0.35">
      <c r="A4654" s="2">
        <v>42867</v>
      </c>
      <c r="B4654" s="70" t="s">
        <v>38</v>
      </c>
      <c r="C4654">
        <v>74</v>
      </c>
      <c r="D4654">
        <v>422</v>
      </c>
      <c r="E4654" s="10" t="s">
        <v>159</v>
      </c>
    </row>
    <row r="4655" spans="1:6" x14ac:dyDescent="0.35">
      <c r="A4655" s="2">
        <v>42867</v>
      </c>
      <c r="B4655" s="70" t="s">
        <v>38</v>
      </c>
      <c r="C4655">
        <v>71</v>
      </c>
      <c r="D4655">
        <v>371</v>
      </c>
      <c r="E4655" s="10" t="s">
        <v>32</v>
      </c>
      <c r="F4655" t="s">
        <v>161</v>
      </c>
    </row>
    <row r="4656" spans="1:6" x14ac:dyDescent="0.35">
      <c r="A4656" s="2">
        <v>42867</v>
      </c>
      <c r="B4656" s="70" t="s">
        <v>38</v>
      </c>
      <c r="C4656">
        <v>76</v>
      </c>
      <c r="D4656">
        <v>383</v>
      </c>
      <c r="E4656" s="10" t="s">
        <v>32</v>
      </c>
    </row>
    <row r="4657" spans="1:7" x14ac:dyDescent="0.35">
      <c r="A4657" s="2">
        <v>42867</v>
      </c>
      <c r="B4657" s="70" t="s">
        <v>38</v>
      </c>
      <c r="C4657">
        <v>72</v>
      </c>
      <c r="D4657">
        <v>282</v>
      </c>
      <c r="E4657" s="10" t="s">
        <v>32</v>
      </c>
    </row>
    <row r="4658" spans="1:7" x14ac:dyDescent="0.35">
      <c r="A4658" s="2">
        <v>42867</v>
      </c>
      <c r="B4658" s="70" t="s">
        <v>38</v>
      </c>
      <c r="C4658">
        <v>74</v>
      </c>
      <c r="D4658">
        <v>327</v>
      </c>
      <c r="E4658" s="10" t="s">
        <v>159</v>
      </c>
    </row>
    <row r="4659" spans="1:7" x14ac:dyDescent="0.35">
      <c r="A4659" s="2">
        <v>42867</v>
      </c>
      <c r="B4659" s="70" t="s">
        <v>38</v>
      </c>
      <c r="C4659">
        <v>65</v>
      </c>
      <c r="D4659">
        <v>221</v>
      </c>
      <c r="E4659" s="10" t="s">
        <v>37</v>
      </c>
    </row>
    <row r="4660" spans="1:7" x14ac:dyDescent="0.35">
      <c r="A4660" s="2">
        <v>42867</v>
      </c>
      <c r="B4660" s="70" t="s">
        <v>38</v>
      </c>
      <c r="C4660">
        <v>65</v>
      </c>
      <c r="D4660">
        <v>274</v>
      </c>
      <c r="E4660" s="10" t="s">
        <v>159</v>
      </c>
    </row>
    <row r="4661" spans="1:7" x14ac:dyDescent="0.35">
      <c r="A4661" s="2">
        <v>42867</v>
      </c>
      <c r="B4661" s="70" t="s">
        <v>38</v>
      </c>
      <c r="C4661">
        <v>69</v>
      </c>
      <c r="D4661">
        <v>288</v>
      </c>
      <c r="E4661" s="10" t="s">
        <v>32</v>
      </c>
      <c r="F4661" t="s">
        <v>161</v>
      </c>
    </row>
    <row r="4662" spans="1:7" x14ac:dyDescent="0.35">
      <c r="A4662" s="2">
        <v>42867</v>
      </c>
      <c r="B4662" s="70" t="s">
        <v>38</v>
      </c>
      <c r="C4662">
        <v>73</v>
      </c>
      <c r="D4662">
        <v>341</v>
      </c>
      <c r="E4662" s="10" t="s">
        <v>159</v>
      </c>
    </row>
    <row r="4663" spans="1:7" x14ac:dyDescent="0.35">
      <c r="A4663" s="2">
        <v>42867</v>
      </c>
      <c r="B4663" s="70" t="s">
        <v>38</v>
      </c>
      <c r="C4663">
        <v>71</v>
      </c>
      <c r="D4663">
        <v>305</v>
      </c>
      <c r="E4663" s="10" t="s">
        <v>159</v>
      </c>
    </row>
    <row r="4664" spans="1:7" x14ac:dyDescent="0.35">
      <c r="A4664" s="2">
        <v>42867</v>
      </c>
      <c r="B4664" s="70" t="s">
        <v>38</v>
      </c>
      <c r="C4664">
        <v>68</v>
      </c>
      <c r="D4664">
        <v>317</v>
      </c>
      <c r="E4664" s="10" t="s">
        <v>32</v>
      </c>
      <c r="F4664" t="s">
        <v>161</v>
      </c>
    </row>
    <row r="4665" spans="1:7" x14ac:dyDescent="0.35">
      <c r="A4665" s="2">
        <v>42867</v>
      </c>
      <c r="B4665" s="70" t="s">
        <v>38</v>
      </c>
      <c r="C4665">
        <v>68</v>
      </c>
      <c r="D4665">
        <v>310</v>
      </c>
      <c r="E4665" s="10" t="s">
        <v>32</v>
      </c>
      <c r="F4665" t="s">
        <v>161</v>
      </c>
      <c r="G4665" t="s">
        <v>505</v>
      </c>
    </row>
    <row r="4666" spans="1:7" x14ac:dyDescent="0.35">
      <c r="A4666" s="2">
        <v>42867</v>
      </c>
      <c r="B4666" s="70" t="s">
        <v>38</v>
      </c>
      <c r="C4666">
        <v>67</v>
      </c>
      <c r="D4666">
        <v>288</v>
      </c>
      <c r="E4666" s="10" t="s">
        <v>32</v>
      </c>
    </row>
    <row r="4667" spans="1:7" x14ac:dyDescent="0.35">
      <c r="A4667" s="2">
        <v>42867</v>
      </c>
      <c r="B4667" s="70" t="s">
        <v>38</v>
      </c>
      <c r="C4667">
        <v>72</v>
      </c>
      <c r="D4667">
        <v>380</v>
      </c>
      <c r="E4667" s="10" t="s">
        <v>159</v>
      </c>
    </row>
    <row r="4668" spans="1:7" x14ac:dyDescent="0.35">
      <c r="A4668" s="2">
        <v>42867</v>
      </c>
      <c r="B4668" s="70" t="s">
        <v>38</v>
      </c>
      <c r="C4668">
        <v>71</v>
      </c>
      <c r="D4668">
        <v>363</v>
      </c>
      <c r="E4668" s="10" t="s">
        <v>159</v>
      </c>
    </row>
    <row r="4669" spans="1:7" x14ac:dyDescent="0.35">
      <c r="A4669" s="2">
        <v>42867</v>
      </c>
      <c r="B4669" s="70" t="s">
        <v>38</v>
      </c>
      <c r="C4669">
        <v>73</v>
      </c>
      <c r="D4669">
        <v>419</v>
      </c>
      <c r="E4669" s="10" t="s">
        <v>32</v>
      </c>
      <c r="F4669" t="s">
        <v>161</v>
      </c>
    </row>
    <row r="4670" spans="1:7" x14ac:dyDescent="0.35">
      <c r="A4670" s="2">
        <v>42867</v>
      </c>
      <c r="B4670" s="70" t="s">
        <v>38</v>
      </c>
      <c r="C4670">
        <v>61</v>
      </c>
      <c r="D4670">
        <v>250</v>
      </c>
      <c r="E4670" s="10" t="s">
        <v>37</v>
      </c>
      <c r="F4670" t="s">
        <v>161</v>
      </c>
    </row>
    <row r="4671" spans="1:7" x14ac:dyDescent="0.35">
      <c r="A4671" s="2">
        <v>42867</v>
      </c>
      <c r="B4671" s="70" t="s">
        <v>38</v>
      </c>
      <c r="C4671">
        <v>71</v>
      </c>
      <c r="D4671">
        <v>325</v>
      </c>
      <c r="E4671" s="10" t="s">
        <v>32</v>
      </c>
      <c r="F4671" t="s">
        <v>161</v>
      </c>
    </row>
    <row r="4672" spans="1:7" x14ac:dyDescent="0.35">
      <c r="A4672" s="2">
        <v>42867</v>
      </c>
      <c r="B4672" s="70" t="s">
        <v>38</v>
      </c>
      <c r="C4672">
        <v>65</v>
      </c>
      <c r="D4672">
        <v>243</v>
      </c>
      <c r="E4672" s="10" t="s">
        <v>37</v>
      </c>
    </row>
    <row r="4673" spans="1:18" x14ac:dyDescent="0.35">
      <c r="A4673" s="2">
        <v>42867</v>
      </c>
      <c r="B4673" s="70" t="s">
        <v>38</v>
      </c>
      <c r="C4673">
        <v>73</v>
      </c>
      <c r="D4673">
        <v>343</v>
      </c>
      <c r="E4673" s="10" t="s">
        <v>159</v>
      </c>
    </row>
    <row r="4674" spans="1:18" x14ac:dyDescent="0.35">
      <c r="A4674" s="2">
        <v>42867</v>
      </c>
      <c r="B4674" s="70" t="s">
        <v>38</v>
      </c>
      <c r="C4674">
        <v>61</v>
      </c>
      <c r="D4674">
        <v>226</v>
      </c>
      <c r="E4674" s="10" t="s">
        <v>37</v>
      </c>
      <c r="F4674" t="s">
        <v>506</v>
      </c>
    </row>
    <row r="4675" spans="1:18" x14ac:dyDescent="0.35">
      <c r="A4675" s="2">
        <v>42867</v>
      </c>
      <c r="B4675" s="70" t="s">
        <v>38</v>
      </c>
      <c r="C4675">
        <v>68</v>
      </c>
      <c r="D4675">
        <v>336</v>
      </c>
      <c r="E4675" s="10" t="s">
        <v>159</v>
      </c>
    </row>
    <row r="4676" spans="1:18" x14ac:dyDescent="0.35">
      <c r="A4676" s="2">
        <v>42867</v>
      </c>
      <c r="B4676" s="70" t="s">
        <v>38</v>
      </c>
      <c r="C4676">
        <v>72</v>
      </c>
      <c r="D4676">
        <v>336</v>
      </c>
      <c r="E4676" s="10" t="s">
        <v>37</v>
      </c>
      <c r="F4676" t="s">
        <v>161</v>
      </c>
    </row>
    <row r="4677" spans="1:18" x14ac:dyDescent="0.35">
      <c r="A4677" s="2">
        <v>42867</v>
      </c>
      <c r="B4677" s="70" t="s">
        <v>38</v>
      </c>
      <c r="C4677">
        <v>71</v>
      </c>
      <c r="D4677">
        <v>311</v>
      </c>
      <c r="E4677" s="10" t="s">
        <v>37</v>
      </c>
    </row>
    <row r="4678" spans="1:18" x14ac:dyDescent="0.35">
      <c r="A4678" s="2">
        <v>42867</v>
      </c>
      <c r="B4678" s="70" t="s">
        <v>38</v>
      </c>
      <c r="C4678">
        <v>71</v>
      </c>
      <c r="D4678">
        <v>400</v>
      </c>
      <c r="E4678" s="10" t="s">
        <v>159</v>
      </c>
    </row>
    <row r="4679" spans="1:18" x14ac:dyDescent="0.35">
      <c r="A4679" s="2">
        <v>42867</v>
      </c>
      <c r="B4679" s="70" t="s">
        <v>38</v>
      </c>
      <c r="C4679">
        <v>66</v>
      </c>
      <c r="D4679">
        <v>264</v>
      </c>
      <c r="E4679" s="10" t="s">
        <v>37</v>
      </c>
    </row>
    <row r="4680" spans="1:18" x14ac:dyDescent="0.35">
      <c r="A4680" s="2">
        <v>42867</v>
      </c>
      <c r="B4680" s="70" t="s">
        <v>38</v>
      </c>
      <c r="C4680">
        <v>67</v>
      </c>
      <c r="D4680">
        <v>300</v>
      </c>
      <c r="E4680" s="10" t="s">
        <v>159</v>
      </c>
    </row>
    <row r="4681" spans="1:18" x14ac:dyDescent="0.35">
      <c r="A4681" s="2">
        <v>42867</v>
      </c>
      <c r="B4681" s="70" t="s">
        <v>38</v>
      </c>
      <c r="C4681">
        <v>66</v>
      </c>
      <c r="D4681">
        <v>298</v>
      </c>
      <c r="E4681" s="10" t="s">
        <v>159</v>
      </c>
    </row>
    <row r="4682" spans="1:18" x14ac:dyDescent="0.35">
      <c r="A4682" s="2">
        <v>42867</v>
      </c>
      <c r="B4682" s="70" t="s">
        <v>38</v>
      </c>
      <c r="C4682">
        <v>67</v>
      </c>
      <c r="D4682">
        <v>272</v>
      </c>
      <c r="E4682" s="10" t="s">
        <v>32</v>
      </c>
    </row>
    <row r="4683" spans="1:18" x14ac:dyDescent="0.35">
      <c r="A4683" s="2">
        <v>42867</v>
      </c>
      <c r="B4683" s="70" t="s">
        <v>38</v>
      </c>
      <c r="C4683">
        <v>63</v>
      </c>
      <c r="D4683">
        <v>265</v>
      </c>
      <c r="E4683" s="10" t="s">
        <v>37</v>
      </c>
    </row>
    <row r="4684" spans="1:18" x14ac:dyDescent="0.35">
      <c r="A4684" s="2">
        <v>42867</v>
      </c>
      <c r="B4684" s="70" t="s">
        <v>38</v>
      </c>
      <c r="C4684">
        <v>65</v>
      </c>
      <c r="D4684">
        <v>286</v>
      </c>
      <c r="E4684" s="10" t="s">
        <v>159</v>
      </c>
    </row>
    <row r="4685" spans="1:18" x14ac:dyDescent="0.35">
      <c r="A4685" s="2">
        <v>42867</v>
      </c>
      <c r="B4685" s="70" t="s">
        <v>38</v>
      </c>
      <c r="C4685">
        <v>65</v>
      </c>
      <c r="D4685">
        <v>307</v>
      </c>
      <c r="E4685" s="10" t="s">
        <v>159</v>
      </c>
    </row>
    <row r="4686" spans="1:18" x14ac:dyDescent="0.35">
      <c r="A4686" s="2">
        <v>42867</v>
      </c>
      <c r="B4686" s="70" t="s">
        <v>38</v>
      </c>
      <c r="C4686">
        <v>72</v>
      </c>
      <c r="D4686">
        <v>318</v>
      </c>
      <c r="E4686" s="10" t="s">
        <v>37</v>
      </c>
      <c r="F4686" t="s">
        <v>161</v>
      </c>
      <c r="P4686" t="s">
        <v>32</v>
      </c>
      <c r="Q4686" t="s">
        <v>37</v>
      </c>
      <c r="R4686" t="s">
        <v>159</v>
      </c>
    </row>
    <row r="4687" spans="1:18" x14ac:dyDescent="0.35">
      <c r="A4687" s="2">
        <v>42867</v>
      </c>
      <c r="B4687" s="70" t="s">
        <v>38</v>
      </c>
      <c r="C4687">
        <v>83</v>
      </c>
      <c r="D4687">
        <v>843</v>
      </c>
      <c r="E4687" s="10" t="s">
        <v>98</v>
      </c>
      <c r="I4687" s="42" t="e">
        <f>AVERAGE(#REF!)</f>
        <v>#REF!</v>
      </c>
      <c r="P4687" s="5">
        <f>COUNTIF(E4637:E4689,"VIA4")</f>
        <v>12</v>
      </c>
      <c r="Q4687" s="5">
        <f>COUNTIF(E4637:E4689,"VIB")</f>
        <v>17</v>
      </c>
      <c r="R4687" s="5">
        <f>COUNTIF(E4637:E4689,"VII")</f>
        <v>21</v>
      </c>
    </row>
    <row r="4688" spans="1:18" x14ac:dyDescent="0.35">
      <c r="A4688" s="2">
        <v>42867</v>
      </c>
      <c r="B4688" s="70" t="s">
        <v>38</v>
      </c>
      <c r="C4688">
        <v>118</v>
      </c>
      <c r="D4688">
        <v>2087</v>
      </c>
      <c r="E4688" s="10" t="s">
        <v>98</v>
      </c>
      <c r="P4688" s="6">
        <f>P4687/50*100</f>
        <v>24</v>
      </c>
      <c r="Q4688" s="6">
        <f t="shared" ref="Q4688:R4688" si="142">Q4687/50*100</f>
        <v>34</v>
      </c>
      <c r="R4688" s="6">
        <f t="shared" si="142"/>
        <v>42</v>
      </c>
    </row>
    <row r="4689" spans="1:7" s="4" customFormat="1" x14ac:dyDescent="0.35">
      <c r="A4689" s="3">
        <v>42867</v>
      </c>
      <c r="B4689" s="44" t="s">
        <v>38</v>
      </c>
      <c r="C4689" s="4">
        <v>198</v>
      </c>
      <c r="D4689" s="4">
        <v>12535</v>
      </c>
      <c r="E4689" s="11" t="s">
        <v>98</v>
      </c>
    </row>
    <row r="4690" spans="1:7" x14ac:dyDescent="0.35">
      <c r="A4690" s="2">
        <v>42867</v>
      </c>
      <c r="B4690" s="70" t="s">
        <v>29</v>
      </c>
      <c r="C4690" s="10">
        <v>69</v>
      </c>
      <c r="D4690" s="10">
        <v>273</v>
      </c>
      <c r="E4690" s="10" t="s">
        <v>159</v>
      </c>
      <c r="F4690" t="s">
        <v>507</v>
      </c>
    </row>
    <row r="4691" spans="1:7" x14ac:dyDescent="0.35">
      <c r="A4691" s="2">
        <v>42867</v>
      </c>
      <c r="B4691" s="70" t="s">
        <v>29</v>
      </c>
      <c r="C4691">
        <v>71</v>
      </c>
      <c r="D4691">
        <v>357</v>
      </c>
      <c r="E4691" s="10" t="s">
        <v>159</v>
      </c>
      <c r="F4691" t="s">
        <v>508</v>
      </c>
    </row>
    <row r="4692" spans="1:7" x14ac:dyDescent="0.35">
      <c r="A4692" s="2">
        <v>42867</v>
      </c>
      <c r="B4692" s="70" t="s">
        <v>29</v>
      </c>
      <c r="C4692">
        <v>71</v>
      </c>
      <c r="D4692">
        <v>318</v>
      </c>
      <c r="E4692" s="10" t="s">
        <v>32</v>
      </c>
    </row>
    <row r="4693" spans="1:7" x14ac:dyDescent="0.35">
      <c r="A4693" s="2">
        <v>42867</v>
      </c>
      <c r="B4693" s="70" t="s">
        <v>29</v>
      </c>
      <c r="C4693">
        <v>64</v>
      </c>
      <c r="D4693">
        <v>238</v>
      </c>
      <c r="E4693" s="10" t="s">
        <v>159</v>
      </c>
      <c r="F4693" t="s">
        <v>509</v>
      </c>
    </row>
    <row r="4694" spans="1:7" x14ac:dyDescent="0.35">
      <c r="A4694" s="2">
        <v>42867</v>
      </c>
      <c r="B4694" s="70" t="s">
        <v>29</v>
      </c>
      <c r="C4694">
        <v>64</v>
      </c>
      <c r="D4694">
        <v>270</v>
      </c>
      <c r="E4694" s="10" t="s">
        <v>37</v>
      </c>
      <c r="F4694" t="s">
        <v>361</v>
      </c>
    </row>
    <row r="4695" spans="1:7" x14ac:dyDescent="0.35">
      <c r="A4695" s="2">
        <v>42867</v>
      </c>
      <c r="B4695" s="70" t="s">
        <v>29</v>
      </c>
      <c r="C4695">
        <v>67</v>
      </c>
      <c r="D4695">
        <v>279</v>
      </c>
      <c r="E4695" s="10" t="s">
        <v>37</v>
      </c>
      <c r="F4695" t="s">
        <v>510</v>
      </c>
    </row>
    <row r="4696" spans="1:7" x14ac:dyDescent="0.35">
      <c r="A4696" s="2">
        <v>42867</v>
      </c>
      <c r="B4696" s="70" t="s">
        <v>29</v>
      </c>
      <c r="C4696">
        <v>72</v>
      </c>
      <c r="D4696">
        <v>311</v>
      </c>
      <c r="E4696" s="10" t="s">
        <v>37</v>
      </c>
      <c r="F4696" t="s">
        <v>511</v>
      </c>
    </row>
    <row r="4697" spans="1:7" x14ac:dyDescent="0.35">
      <c r="A4697" s="2">
        <v>42867</v>
      </c>
      <c r="B4697" s="70" t="s">
        <v>29</v>
      </c>
      <c r="C4697">
        <v>68</v>
      </c>
      <c r="D4697">
        <v>239</v>
      </c>
      <c r="E4697" s="10" t="s">
        <v>37</v>
      </c>
    </row>
    <row r="4698" spans="1:7" x14ac:dyDescent="0.35">
      <c r="A4698" s="2">
        <v>42867</v>
      </c>
      <c r="B4698" s="70" t="s">
        <v>29</v>
      </c>
      <c r="C4698">
        <v>67</v>
      </c>
      <c r="D4698">
        <v>270</v>
      </c>
      <c r="E4698" s="10" t="s">
        <v>159</v>
      </c>
    </row>
    <row r="4699" spans="1:7" x14ac:dyDescent="0.35">
      <c r="A4699" s="2">
        <v>42867</v>
      </c>
      <c r="B4699" s="70" t="s">
        <v>29</v>
      </c>
      <c r="C4699">
        <v>66</v>
      </c>
      <c r="D4699">
        <v>290</v>
      </c>
      <c r="E4699" s="10" t="s">
        <v>37</v>
      </c>
    </row>
    <row r="4700" spans="1:7" x14ac:dyDescent="0.35">
      <c r="A4700" s="2">
        <v>42867</v>
      </c>
      <c r="B4700" s="70" t="s">
        <v>29</v>
      </c>
      <c r="C4700">
        <v>72</v>
      </c>
      <c r="D4700">
        <v>335</v>
      </c>
      <c r="E4700" s="10" t="s">
        <v>159</v>
      </c>
    </row>
    <row r="4701" spans="1:7" x14ac:dyDescent="0.35">
      <c r="A4701" s="2">
        <v>42867</v>
      </c>
      <c r="B4701" s="70" t="s">
        <v>29</v>
      </c>
      <c r="C4701">
        <v>69</v>
      </c>
      <c r="D4701">
        <v>268</v>
      </c>
      <c r="E4701" s="10" t="s">
        <v>37</v>
      </c>
    </row>
    <row r="4702" spans="1:7" x14ac:dyDescent="0.35">
      <c r="A4702" s="2">
        <v>42867</v>
      </c>
      <c r="B4702" s="70" t="s">
        <v>29</v>
      </c>
      <c r="C4702">
        <v>68</v>
      </c>
      <c r="D4702">
        <v>298</v>
      </c>
      <c r="E4702" s="10" t="s">
        <v>37</v>
      </c>
    </row>
    <row r="4703" spans="1:7" x14ac:dyDescent="0.35">
      <c r="A4703" s="2">
        <v>42867</v>
      </c>
      <c r="B4703" s="70" t="s">
        <v>29</v>
      </c>
      <c r="C4703">
        <v>67</v>
      </c>
      <c r="D4703">
        <v>247</v>
      </c>
      <c r="E4703" s="10" t="s">
        <v>32</v>
      </c>
      <c r="F4703" t="s">
        <v>161</v>
      </c>
    </row>
    <row r="4704" spans="1:7" x14ac:dyDescent="0.35">
      <c r="A4704" s="2">
        <v>42867</v>
      </c>
      <c r="B4704" s="70" t="s">
        <v>29</v>
      </c>
      <c r="C4704">
        <v>62</v>
      </c>
      <c r="D4704">
        <v>212</v>
      </c>
      <c r="E4704" s="10" t="s">
        <v>34</v>
      </c>
      <c r="F4704" t="s">
        <v>476</v>
      </c>
      <c r="G4704" t="s">
        <v>99</v>
      </c>
    </row>
    <row r="4705" spans="1:6" x14ac:dyDescent="0.35">
      <c r="A4705" s="2">
        <v>42867</v>
      </c>
      <c r="B4705" s="70" t="s">
        <v>29</v>
      </c>
      <c r="C4705">
        <v>66</v>
      </c>
      <c r="D4705">
        <v>239</v>
      </c>
      <c r="E4705" s="10" t="s">
        <v>159</v>
      </c>
    </row>
    <row r="4706" spans="1:6" x14ac:dyDescent="0.35">
      <c r="A4706" s="2">
        <v>42867</v>
      </c>
      <c r="B4706" s="70" t="s">
        <v>29</v>
      </c>
      <c r="C4706">
        <v>73</v>
      </c>
      <c r="D4706">
        <v>384</v>
      </c>
      <c r="E4706" s="10" t="s">
        <v>159</v>
      </c>
    </row>
    <row r="4707" spans="1:6" x14ac:dyDescent="0.35">
      <c r="A4707" s="2">
        <v>42867</v>
      </c>
      <c r="B4707" s="70" t="s">
        <v>29</v>
      </c>
      <c r="C4707">
        <v>70</v>
      </c>
      <c r="D4707">
        <v>290</v>
      </c>
      <c r="E4707" s="10" t="s">
        <v>159</v>
      </c>
    </row>
    <row r="4708" spans="1:6" x14ac:dyDescent="0.35">
      <c r="A4708" s="2">
        <v>42867</v>
      </c>
      <c r="B4708" s="70" t="s">
        <v>29</v>
      </c>
      <c r="C4708">
        <v>77</v>
      </c>
      <c r="D4708">
        <v>453</v>
      </c>
      <c r="E4708" s="10" t="s">
        <v>159</v>
      </c>
    </row>
    <row r="4709" spans="1:6" x14ac:dyDescent="0.35">
      <c r="A4709" s="2">
        <v>42867</v>
      </c>
      <c r="B4709" s="70" t="s">
        <v>29</v>
      </c>
      <c r="C4709">
        <v>67</v>
      </c>
      <c r="D4709">
        <v>323</v>
      </c>
      <c r="E4709" s="10" t="s">
        <v>159</v>
      </c>
    </row>
    <row r="4710" spans="1:6" x14ac:dyDescent="0.35">
      <c r="A4710" s="2">
        <v>42867</v>
      </c>
      <c r="B4710" s="70" t="s">
        <v>29</v>
      </c>
      <c r="C4710">
        <v>73</v>
      </c>
      <c r="D4710">
        <v>360</v>
      </c>
      <c r="E4710" s="10" t="s">
        <v>159</v>
      </c>
    </row>
    <row r="4711" spans="1:6" x14ac:dyDescent="0.35">
      <c r="A4711" s="2">
        <v>42867</v>
      </c>
      <c r="B4711" s="70" t="s">
        <v>29</v>
      </c>
      <c r="C4711">
        <v>68</v>
      </c>
      <c r="D4711">
        <v>342</v>
      </c>
      <c r="E4711" s="10" t="s">
        <v>159</v>
      </c>
    </row>
    <row r="4712" spans="1:6" x14ac:dyDescent="0.35">
      <c r="A4712" s="2">
        <v>42867</v>
      </c>
      <c r="B4712" s="70" t="s">
        <v>29</v>
      </c>
      <c r="C4712">
        <v>68</v>
      </c>
      <c r="D4712">
        <v>263</v>
      </c>
      <c r="E4712" s="10" t="s">
        <v>37</v>
      </c>
    </row>
    <row r="4713" spans="1:6" x14ac:dyDescent="0.35">
      <c r="A4713" s="2">
        <v>42867</v>
      </c>
      <c r="B4713" s="70" t="s">
        <v>29</v>
      </c>
      <c r="C4713">
        <v>73</v>
      </c>
      <c r="D4713">
        <v>340</v>
      </c>
      <c r="E4713" s="10" t="s">
        <v>32</v>
      </c>
      <c r="F4713" t="s">
        <v>161</v>
      </c>
    </row>
    <row r="4714" spans="1:6" x14ac:dyDescent="0.35">
      <c r="A4714" s="2">
        <v>42867</v>
      </c>
      <c r="B4714" s="70" t="s">
        <v>29</v>
      </c>
      <c r="C4714">
        <v>70</v>
      </c>
      <c r="D4714">
        <v>320</v>
      </c>
      <c r="E4714" s="10" t="s">
        <v>37</v>
      </c>
    </row>
    <row r="4715" spans="1:6" x14ac:dyDescent="0.35">
      <c r="A4715" s="2">
        <v>42867</v>
      </c>
      <c r="B4715" s="70" t="s">
        <v>29</v>
      </c>
      <c r="C4715">
        <v>66</v>
      </c>
      <c r="D4715">
        <v>274</v>
      </c>
      <c r="E4715" s="10" t="s">
        <v>37</v>
      </c>
    </row>
    <row r="4716" spans="1:6" x14ac:dyDescent="0.35">
      <c r="A4716" s="2">
        <v>42867</v>
      </c>
      <c r="B4716" s="70" t="s">
        <v>29</v>
      </c>
      <c r="C4716">
        <v>68</v>
      </c>
      <c r="D4716">
        <v>317</v>
      </c>
      <c r="E4716" s="10" t="s">
        <v>32</v>
      </c>
    </row>
    <row r="4717" spans="1:6" x14ac:dyDescent="0.35">
      <c r="A4717" s="2">
        <v>42867</v>
      </c>
      <c r="B4717" s="70" t="s">
        <v>29</v>
      </c>
      <c r="C4717">
        <v>68</v>
      </c>
      <c r="D4717">
        <v>231</v>
      </c>
      <c r="E4717" s="10" t="s">
        <v>37</v>
      </c>
    </row>
    <row r="4718" spans="1:6" x14ac:dyDescent="0.35">
      <c r="A4718" s="2">
        <v>42867</v>
      </c>
      <c r="B4718" s="70" t="s">
        <v>29</v>
      </c>
      <c r="C4718">
        <v>67</v>
      </c>
      <c r="D4718">
        <v>286</v>
      </c>
      <c r="E4718" s="10" t="s">
        <v>37</v>
      </c>
    </row>
    <row r="4719" spans="1:6" x14ac:dyDescent="0.35">
      <c r="A4719" s="2">
        <v>42867</v>
      </c>
      <c r="B4719" s="70" t="s">
        <v>29</v>
      </c>
      <c r="C4719">
        <v>66</v>
      </c>
      <c r="D4719">
        <v>251</v>
      </c>
      <c r="E4719" s="10" t="s">
        <v>159</v>
      </c>
    </row>
    <row r="4720" spans="1:6" x14ac:dyDescent="0.35">
      <c r="A4720" s="2">
        <v>42867</v>
      </c>
      <c r="B4720" s="70" t="s">
        <v>29</v>
      </c>
      <c r="C4720">
        <v>68</v>
      </c>
      <c r="D4720">
        <v>231</v>
      </c>
      <c r="E4720" s="10" t="s">
        <v>159</v>
      </c>
    </row>
    <row r="4721" spans="1:18" x14ac:dyDescent="0.35">
      <c r="A4721" s="2">
        <v>42867</v>
      </c>
      <c r="B4721" s="70" t="s">
        <v>29</v>
      </c>
      <c r="C4721">
        <v>67</v>
      </c>
      <c r="D4721">
        <v>208</v>
      </c>
      <c r="E4721" s="10" t="s">
        <v>32</v>
      </c>
      <c r="F4721" t="s">
        <v>161</v>
      </c>
    </row>
    <row r="4722" spans="1:18" x14ac:dyDescent="0.35">
      <c r="A4722" s="2">
        <v>42867</v>
      </c>
      <c r="B4722" s="70" t="s">
        <v>29</v>
      </c>
      <c r="C4722">
        <v>68</v>
      </c>
      <c r="D4722">
        <v>195</v>
      </c>
      <c r="E4722" s="10" t="s">
        <v>37</v>
      </c>
    </row>
    <row r="4723" spans="1:18" x14ac:dyDescent="0.35">
      <c r="A4723" s="2">
        <v>42867</v>
      </c>
      <c r="B4723" s="70" t="s">
        <v>29</v>
      </c>
      <c r="C4723">
        <v>69</v>
      </c>
      <c r="D4723">
        <v>272</v>
      </c>
      <c r="E4723" s="10" t="s">
        <v>37</v>
      </c>
    </row>
    <row r="4724" spans="1:18" x14ac:dyDescent="0.35">
      <c r="A4724" s="2">
        <v>42867</v>
      </c>
      <c r="B4724" s="70" t="s">
        <v>29</v>
      </c>
      <c r="C4724">
        <v>67</v>
      </c>
      <c r="D4724">
        <v>283</v>
      </c>
      <c r="E4724" s="10" t="s">
        <v>159</v>
      </c>
    </row>
    <row r="4725" spans="1:18" s="5" customFormat="1" x14ac:dyDescent="0.35">
      <c r="A4725" s="13">
        <v>42867</v>
      </c>
      <c r="B4725" s="40" t="s">
        <v>29</v>
      </c>
      <c r="C4725" s="5">
        <v>73</v>
      </c>
      <c r="D4725" s="5">
        <v>327</v>
      </c>
      <c r="E4725" s="10" t="s">
        <v>37</v>
      </c>
      <c r="I4725" s="54" t="e">
        <f>AVERAGE(#REF!)</f>
        <v>#REF!</v>
      </c>
    </row>
    <row r="4726" spans="1:18" x14ac:dyDescent="0.35">
      <c r="A4726" s="2">
        <v>42867</v>
      </c>
      <c r="B4726" s="70" t="s">
        <v>29</v>
      </c>
      <c r="C4726" s="10">
        <v>168</v>
      </c>
      <c r="D4726" s="10">
        <v>7355</v>
      </c>
      <c r="E4726" s="10" t="s">
        <v>98</v>
      </c>
    </row>
    <row r="4727" spans="1:18" x14ac:dyDescent="0.35">
      <c r="A4727" s="2">
        <v>42867</v>
      </c>
      <c r="B4727" s="70" t="s">
        <v>29</v>
      </c>
      <c r="C4727" s="10">
        <v>94</v>
      </c>
      <c r="D4727" s="10">
        <v>1155</v>
      </c>
      <c r="E4727" s="10" t="s">
        <v>98</v>
      </c>
      <c r="O4727" t="s">
        <v>34</v>
      </c>
      <c r="P4727" t="s">
        <v>32</v>
      </c>
      <c r="Q4727" t="s">
        <v>37</v>
      </c>
      <c r="R4727" t="s">
        <v>159</v>
      </c>
    </row>
    <row r="4728" spans="1:18" x14ac:dyDescent="0.35">
      <c r="A4728" s="2">
        <v>42867</v>
      </c>
      <c r="B4728" s="70" t="s">
        <v>29</v>
      </c>
      <c r="C4728" s="10">
        <v>142</v>
      </c>
      <c r="D4728" s="10">
        <v>5235</v>
      </c>
      <c r="E4728" s="10" t="s">
        <v>98</v>
      </c>
      <c r="O4728" s="5">
        <f>COUNTIF(E4690:E4732,"VIA3")</f>
        <v>1</v>
      </c>
      <c r="P4728" s="5">
        <f>COUNTIF(E4690:E4730,"VIA4")</f>
        <v>5</v>
      </c>
      <c r="Q4728" s="5">
        <f>COUNTIF(E4690:E4730,"VIB")</f>
        <v>15</v>
      </c>
      <c r="R4728" s="5">
        <f>COUNTIF(E4690:E4732,"VII")</f>
        <v>16</v>
      </c>
    </row>
    <row r="4729" spans="1:18" x14ac:dyDescent="0.35">
      <c r="A4729" s="2">
        <v>42867</v>
      </c>
      <c r="B4729" s="70" t="s">
        <v>29</v>
      </c>
      <c r="C4729" s="10">
        <v>155</v>
      </c>
      <c r="D4729" s="10">
        <v>4349</v>
      </c>
      <c r="E4729" s="10" t="s">
        <v>98</v>
      </c>
      <c r="O4729" s="6">
        <f>O4728/36*100</f>
        <v>2.7777777777777777</v>
      </c>
      <c r="P4729" s="6">
        <f t="shared" ref="P4729:R4729" si="143">P4728/36*100</f>
        <v>13.888888888888889</v>
      </c>
      <c r="Q4729" s="6">
        <f t="shared" si="143"/>
        <v>41.666666666666671</v>
      </c>
      <c r="R4729" s="6">
        <f t="shared" si="143"/>
        <v>44.444444444444443</v>
      </c>
    </row>
    <row r="4730" spans="1:18" s="4" customFormat="1" x14ac:dyDescent="0.35">
      <c r="A4730" s="3">
        <v>42867</v>
      </c>
      <c r="B4730" s="44" t="s">
        <v>29</v>
      </c>
      <c r="C4730" s="11">
        <v>152</v>
      </c>
      <c r="D4730" s="11">
        <v>4670</v>
      </c>
      <c r="E4730" s="11" t="s">
        <v>98</v>
      </c>
      <c r="I4730" s="51" t="e">
        <f>AVERAGE(#REF!,#REF!)</f>
        <v>#REF!</v>
      </c>
    </row>
    <row r="4731" spans="1:18" x14ac:dyDescent="0.35">
      <c r="A4731" s="2">
        <v>42867</v>
      </c>
      <c r="B4731" s="70" t="s">
        <v>104</v>
      </c>
      <c r="C4731" s="10">
        <v>65</v>
      </c>
      <c r="D4731" s="10">
        <v>335</v>
      </c>
      <c r="E4731" s="10" t="s">
        <v>37</v>
      </c>
      <c r="F4731" t="s">
        <v>515</v>
      </c>
    </row>
    <row r="4732" spans="1:18" x14ac:dyDescent="0.35">
      <c r="A4732" s="2">
        <v>42867</v>
      </c>
      <c r="B4732" s="70" t="s">
        <v>104</v>
      </c>
      <c r="C4732">
        <v>67</v>
      </c>
      <c r="D4732">
        <v>357</v>
      </c>
      <c r="E4732" s="10" t="s">
        <v>159</v>
      </c>
      <c r="F4732" t="s">
        <v>516</v>
      </c>
    </row>
    <row r="4733" spans="1:18" x14ac:dyDescent="0.35">
      <c r="A4733" s="2">
        <v>42867</v>
      </c>
      <c r="B4733" s="70" t="s">
        <v>104</v>
      </c>
      <c r="C4733">
        <v>73</v>
      </c>
      <c r="D4733">
        <v>383</v>
      </c>
      <c r="E4733" s="10" t="s">
        <v>37</v>
      </c>
      <c r="F4733" t="s">
        <v>517</v>
      </c>
      <c r="H4733" t="s">
        <v>161</v>
      </c>
    </row>
    <row r="4734" spans="1:18" x14ac:dyDescent="0.35">
      <c r="A4734" s="2">
        <v>42867</v>
      </c>
      <c r="B4734" s="70" t="s">
        <v>104</v>
      </c>
      <c r="C4734">
        <v>68</v>
      </c>
      <c r="D4734">
        <v>347</v>
      </c>
      <c r="E4734" s="10" t="s">
        <v>37</v>
      </c>
      <c r="F4734" t="s">
        <v>518</v>
      </c>
      <c r="H4734" t="s">
        <v>161</v>
      </c>
    </row>
    <row r="4735" spans="1:18" x14ac:dyDescent="0.35">
      <c r="A4735" s="2">
        <v>42867</v>
      </c>
      <c r="B4735" s="70" t="s">
        <v>104</v>
      </c>
      <c r="C4735">
        <v>67</v>
      </c>
      <c r="D4735">
        <v>322</v>
      </c>
      <c r="E4735" s="10" t="s">
        <v>159</v>
      </c>
      <c r="F4735" t="s">
        <v>519</v>
      </c>
    </row>
    <row r="4736" spans="1:18" x14ac:dyDescent="0.35">
      <c r="A4736" s="2">
        <v>42867</v>
      </c>
      <c r="B4736" s="70" t="s">
        <v>104</v>
      </c>
      <c r="C4736">
        <v>73</v>
      </c>
      <c r="D4736">
        <v>420</v>
      </c>
      <c r="E4736" s="10" t="s">
        <v>159</v>
      </c>
    </row>
    <row r="4737" spans="1:6" x14ac:dyDescent="0.35">
      <c r="A4737" s="2">
        <v>42867</v>
      </c>
      <c r="B4737" s="70" t="s">
        <v>104</v>
      </c>
      <c r="C4737">
        <v>68</v>
      </c>
      <c r="D4737">
        <v>341</v>
      </c>
      <c r="E4737" s="10" t="s">
        <v>37</v>
      </c>
    </row>
    <row r="4738" spans="1:6" x14ac:dyDescent="0.35">
      <c r="A4738" s="2">
        <v>42867</v>
      </c>
      <c r="B4738" s="70" t="s">
        <v>104</v>
      </c>
      <c r="C4738">
        <v>72</v>
      </c>
      <c r="D4738">
        <v>361</v>
      </c>
      <c r="E4738" s="10" t="s">
        <v>37</v>
      </c>
    </row>
    <row r="4739" spans="1:6" x14ac:dyDescent="0.35">
      <c r="A4739" s="2">
        <v>42867</v>
      </c>
      <c r="B4739" s="70" t="s">
        <v>104</v>
      </c>
      <c r="C4739">
        <v>74</v>
      </c>
      <c r="D4739">
        <v>462</v>
      </c>
      <c r="E4739" s="10" t="s">
        <v>159</v>
      </c>
    </row>
    <row r="4740" spans="1:6" x14ac:dyDescent="0.35">
      <c r="A4740" s="2">
        <v>42867</v>
      </c>
      <c r="B4740" s="70" t="s">
        <v>104</v>
      </c>
      <c r="C4740">
        <v>67</v>
      </c>
      <c r="D4740">
        <v>318</v>
      </c>
      <c r="E4740" s="10" t="s">
        <v>159</v>
      </c>
    </row>
    <row r="4741" spans="1:6" x14ac:dyDescent="0.35">
      <c r="A4741" s="2">
        <v>42867</v>
      </c>
      <c r="B4741" s="70" t="s">
        <v>104</v>
      </c>
      <c r="C4741">
        <v>68</v>
      </c>
      <c r="D4741">
        <v>274</v>
      </c>
      <c r="E4741" s="10" t="s">
        <v>37</v>
      </c>
    </row>
    <row r="4742" spans="1:6" x14ac:dyDescent="0.35">
      <c r="A4742" s="2">
        <v>42867</v>
      </c>
      <c r="B4742" s="70" t="s">
        <v>104</v>
      </c>
      <c r="C4742">
        <v>73</v>
      </c>
      <c r="D4742">
        <v>452</v>
      </c>
      <c r="E4742" s="10" t="s">
        <v>159</v>
      </c>
    </row>
    <row r="4743" spans="1:6" x14ac:dyDescent="0.35">
      <c r="A4743" s="2">
        <v>42867</v>
      </c>
      <c r="B4743" s="70" t="s">
        <v>104</v>
      </c>
      <c r="C4743">
        <v>66</v>
      </c>
      <c r="D4743">
        <v>297</v>
      </c>
      <c r="E4743" s="10" t="s">
        <v>159</v>
      </c>
    </row>
    <row r="4744" spans="1:6" x14ac:dyDescent="0.35">
      <c r="A4744" s="2">
        <v>42867</v>
      </c>
      <c r="B4744" s="70" t="s">
        <v>104</v>
      </c>
      <c r="C4744">
        <v>97</v>
      </c>
      <c r="D4744">
        <v>1267</v>
      </c>
      <c r="E4744" s="10" t="s">
        <v>98</v>
      </c>
    </row>
    <row r="4745" spans="1:6" x14ac:dyDescent="0.35">
      <c r="A4745" s="2">
        <v>42867</v>
      </c>
      <c r="B4745" s="70" t="s">
        <v>104</v>
      </c>
      <c r="C4745">
        <v>96</v>
      </c>
      <c r="D4745">
        <v>1260</v>
      </c>
      <c r="E4745" s="10" t="s">
        <v>98</v>
      </c>
    </row>
    <row r="4746" spans="1:6" s="4" customFormat="1" x14ac:dyDescent="0.35">
      <c r="A4746" s="3">
        <v>42867</v>
      </c>
      <c r="B4746" s="44" t="s">
        <v>104</v>
      </c>
      <c r="C4746" s="4">
        <v>122</v>
      </c>
      <c r="D4746" s="4">
        <v>2710</v>
      </c>
      <c r="E4746" s="11" t="s">
        <v>98</v>
      </c>
    </row>
    <row r="4747" spans="1:6" x14ac:dyDescent="0.35">
      <c r="A4747" s="2">
        <v>42867</v>
      </c>
      <c r="B4747" s="70" t="s">
        <v>103</v>
      </c>
      <c r="C4747" s="10">
        <v>68</v>
      </c>
      <c r="D4747" s="10">
        <v>346</v>
      </c>
      <c r="E4747" s="10" t="s">
        <v>37</v>
      </c>
      <c r="F4747" t="s">
        <v>161</v>
      </c>
    </row>
    <row r="4748" spans="1:6" x14ac:dyDescent="0.35">
      <c r="A4748" s="2">
        <v>42867</v>
      </c>
      <c r="B4748" s="70" t="s">
        <v>103</v>
      </c>
      <c r="C4748" s="10">
        <v>78</v>
      </c>
      <c r="D4748" s="10">
        <v>495</v>
      </c>
      <c r="E4748" s="10" t="s">
        <v>159</v>
      </c>
    </row>
    <row r="4749" spans="1:6" x14ac:dyDescent="0.35">
      <c r="A4749" s="2">
        <v>42867</v>
      </c>
      <c r="B4749" s="70" t="s">
        <v>103</v>
      </c>
      <c r="C4749" s="10">
        <v>64</v>
      </c>
      <c r="D4749" s="10">
        <v>224</v>
      </c>
      <c r="E4749" s="10" t="s">
        <v>37</v>
      </c>
    </row>
    <row r="4750" spans="1:6" x14ac:dyDescent="0.35">
      <c r="A4750" s="2">
        <v>42867</v>
      </c>
      <c r="B4750" s="70" t="s">
        <v>103</v>
      </c>
      <c r="C4750" s="10">
        <v>67</v>
      </c>
      <c r="D4750" s="10">
        <v>294</v>
      </c>
      <c r="E4750" s="10" t="s">
        <v>37</v>
      </c>
    </row>
    <row r="4751" spans="1:6" x14ac:dyDescent="0.35">
      <c r="A4751" s="2">
        <v>42867</v>
      </c>
      <c r="B4751" s="70" t="s">
        <v>103</v>
      </c>
      <c r="C4751" s="10">
        <v>68</v>
      </c>
      <c r="D4751" s="10">
        <v>325</v>
      </c>
      <c r="E4751" s="10" t="s">
        <v>32</v>
      </c>
    </row>
    <row r="4752" spans="1:6" x14ac:dyDescent="0.35">
      <c r="A4752" s="2">
        <v>42867</v>
      </c>
      <c r="B4752" s="70" t="s">
        <v>103</v>
      </c>
      <c r="C4752" s="10">
        <v>75</v>
      </c>
      <c r="D4752" s="10">
        <v>480</v>
      </c>
      <c r="E4752" s="10" t="s">
        <v>159</v>
      </c>
    </row>
    <row r="4753" spans="1:6" x14ac:dyDescent="0.35">
      <c r="A4753" s="2">
        <v>42867</v>
      </c>
      <c r="B4753" s="70" t="s">
        <v>103</v>
      </c>
      <c r="C4753" s="10">
        <v>62</v>
      </c>
      <c r="D4753" s="10">
        <v>247</v>
      </c>
      <c r="E4753" s="10" t="s">
        <v>32</v>
      </c>
      <c r="F4753" t="s">
        <v>161</v>
      </c>
    </row>
    <row r="4754" spans="1:6" x14ac:dyDescent="0.35">
      <c r="A4754" s="2">
        <v>42867</v>
      </c>
      <c r="B4754" s="70" t="s">
        <v>103</v>
      </c>
      <c r="C4754" s="10">
        <v>68</v>
      </c>
      <c r="D4754" s="10">
        <v>352</v>
      </c>
      <c r="E4754" s="10" t="s">
        <v>159</v>
      </c>
    </row>
    <row r="4755" spans="1:6" x14ac:dyDescent="0.35">
      <c r="A4755" s="2">
        <v>42867</v>
      </c>
      <c r="B4755" s="70" t="s">
        <v>103</v>
      </c>
      <c r="C4755" s="10">
        <v>67</v>
      </c>
      <c r="D4755" s="10">
        <v>268</v>
      </c>
      <c r="E4755" s="10" t="s">
        <v>37</v>
      </c>
    </row>
    <row r="4756" spans="1:6" x14ac:dyDescent="0.35">
      <c r="A4756" s="2">
        <v>42867</v>
      </c>
      <c r="B4756" s="70" t="s">
        <v>103</v>
      </c>
      <c r="C4756" s="10">
        <v>69</v>
      </c>
      <c r="D4756" s="10">
        <v>310</v>
      </c>
      <c r="E4756" s="10" t="s">
        <v>37</v>
      </c>
      <c r="F4756" t="s">
        <v>520</v>
      </c>
    </row>
    <row r="4757" spans="1:6" x14ac:dyDescent="0.35">
      <c r="A4757" s="2">
        <v>42867</v>
      </c>
      <c r="B4757" s="70" t="s">
        <v>103</v>
      </c>
      <c r="C4757" s="10">
        <v>67</v>
      </c>
      <c r="D4757" s="10">
        <v>354</v>
      </c>
      <c r="E4757" s="10" t="s">
        <v>37</v>
      </c>
    </row>
    <row r="4758" spans="1:6" x14ac:dyDescent="0.35">
      <c r="A4758" s="2">
        <v>42867</v>
      </c>
      <c r="B4758" s="70" t="s">
        <v>103</v>
      </c>
      <c r="C4758" s="10">
        <v>65</v>
      </c>
      <c r="D4758" s="10">
        <v>284</v>
      </c>
      <c r="E4758" s="10" t="s">
        <v>32</v>
      </c>
      <c r="F4758" t="s">
        <v>161</v>
      </c>
    </row>
    <row r="4759" spans="1:6" x14ac:dyDescent="0.35">
      <c r="A4759" s="2">
        <v>42867</v>
      </c>
      <c r="B4759" s="70" t="s">
        <v>103</v>
      </c>
      <c r="C4759" s="10">
        <v>67</v>
      </c>
      <c r="D4759" s="10">
        <v>295</v>
      </c>
      <c r="E4759" s="10" t="s">
        <v>37</v>
      </c>
    </row>
    <row r="4760" spans="1:6" x14ac:dyDescent="0.35">
      <c r="A4760" s="2">
        <v>42867</v>
      </c>
      <c r="B4760" s="70" t="s">
        <v>103</v>
      </c>
      <c r="C4760" s="10">
        <v>67</v>
      </c>
      <c r="D4760" s="10">
        <v>289</v>
      </c>
      <c r="E4760" s="10" t="s">
        <v>159</v>
      </c>
    </row>
    <row r="4761" spans="1:6" s="4" customFormat="1" x14ac:dyDescent="0.35">
      <c r="A4761" s="3">
        <v>42867</v>
      </c>
      <c r="B4761" s="44" t="s">
        <v>103</v>
      </c>
      <c r="C4761" s="11">
        <v>68</v>
      </c>
      <c r="D4761" s="11">
        <v>382</v>
      </c>
      <c r="E4761" s="11" t="s">
        <v>37</v>
      </c>
      <c r="F4761" s="4" t="s">
        <v>161</v>
      </c>
    </row>
    <row r="4762" spans="1:6" x14ac:dyDescent="0.35">
      <c r="A4762" s="2">
        <v>42867</v>
      </c>
      <c r="B4762" s="70" t="s">
        <v>102</v>
      </c>
      <c r="C4762" s="10">
        <v>73</v>
      </c>
      <c r="D4762" s="10">
        <v>372</v>
      </c>
      <c r="E4762" s="10" t="s">
        <v>159</v>
      </c>
      <c r="F4762" t="s">
        <v>522</v>
      </c>
    </row>
    <row r="4763" spans="1:6" x14ac:dyDescent="0.35">
      <c r="A4763" s="2">
        <v>42867</v>
      </c>
      <c r="B4763" s="70" t="s">
        <v>102</v>
      </c>
      <c r="C4763" s="10">
        <v>70</v>
      </c>
      <c r="D4763" s="10">
        <v>398</v>
      </c>
      <c r="E4763" s="10" t="s">
        <v>37</v>
      </c>
      <c r="F4763" t="s">
        <v>523</v>
      </c>
    </row>
    <row r="4764" spans="1:6" x14ac:dyDescent="0.35">
      <c r="A4764" s="2">
        <v>42867</v>
      </c>
      <c r="B4764" s="70" t="s">
        <v>102</v>
      </c>
      <c r="C4764" s="10">
        <v>71</v>
      </c>
      <c r="D4764" s="10">
        <v>428</v>
      </c>
      <c r="E4764" s="10" t="s">
        <v>159</v>
      </c>
      <c r="F4764" t="s">
        <v>524</v>
      </c>
    </row>
    <row r="4765" spans="1:6" x14ac:dyDescent="0.35">
      <c r="A4765" s="2">
        <v>42867</v>
      </c>
      <c r="B4765" s="70" t="s">
        <v>102</v>
      </c>
      <c r="C4765" s="10">
        <v>68</v>
      </c>
      <c r="D4765" s="10">
        <v>370</v>
      </c>
      <c r="E4765" s="10" t="s">
        <v>37</v>
      </c>
      <c r="F4765" t="s">
        <v>525</v>
      </c>
    </row>
    <row r="4766" spans="1:6" x14ac:dyDescent="0.35">
      <c r="A4766" s="2">
        <v>42867</v>
      </c>
      <c r="B4766" s="70" t="s">
        <v>102</v>
      </c>
      <c r="C4766" s="10">
        <v>75</v>
      </c>
      <c r="D4766" s="10">
        <v>385</v>
      </c>
      <c r="E4766" s="10" t="s">
        <v>37</v>
      </c>
      <c r="F4766" t="s">
        <v>526</v>
      </c>
    </row>
    <row r="4767" spans="1:6" x14ac:dyDescent="0.35">
      <c r="A4767" s="2">
        <v>42867</v>
      </c>
      <c r="B4767" s="70" t="s">
        <v>102</v>
      </c>
      <c r="C4767" s="10">
        <v>72</v>
      </c>
      <c r="D4767" s="10">
        <v>406</v>
      </c>
      <c r="E4767" s="10" t="s">
        <v>159</v>
      </c>
    </row>
    <row r="4768" spans="1:6" x14ac:dyDescent="0.35">
      <c r="A4768" s="2">
        <v>42867</v>
      </c>
      <c r="B4768" s="70" t="s">
        <v>102</v>
      </c>
      <c r="C4768" s="10">
        <v>69</v>
      </c>
      <c r="D4768" s="10">
        <v>316</v>
      </c>
      <c r="E4768" s="10" t="s">
        <v>37</v>
      </c>
    </row>
    <row r="4769" spans="1:6" x14ac:dyDescent="0.35">
      <c r="A4769" s="2">
        <v>42867</v>
      </c>
      <c r="B4769" s="70" t="s">
        <v>102</v>
      </c>
      <c r="C4769" s="10">
        <v>66</v>
      </c>
      <c r="D4769" s="10">
        <v>300</v>
      </c>
      <c r="E4769" s="10" t="s">
        <v>159</v>
      </c>
    </row>
    <row r="4770" spans="1:6" x14ac:dyDescent="0.35">
      <c r="A4770" s="2">
        <v>42867</v>
      </c>
      <c r="B4770" s="70" t="s">
        <v>102</v>
      </c>
      <c r="C4770" s="10">
        <v>61</v>
      </c>
      <c r="D4770" s="10">
        <v>217</v>
      </c>
      <c r="E4770" s="10" t="s">
        <v>32</v>
      </c>
    </row>
    <row r="4771" spans="1:6" x14ac:dyDescent="0.35">
      <c r="A4771" s="2">
        <v>42867</v>
      </c>
      <c r="B4771" s="70" t="s">
        <v>102</v>
      </c>
      <c r="C4771" s="10">
        <v>68</v>
      </c>
      <c r="D4771" s="10">
        <v>276</v>
      </c>
      <c r="E4771" s="10" t="s">
        <v>159</v>
      </c>
      <c r="F4771" t="s">
        <v>521</v>
      </c>
    </row>
    <row r="4772" spans="1:6" s="4" customFormat="1" x14ac:dyDescent="0.35">
      <c r="A4772" s="3">
        <v>42867</v>
      </c>
      <c r="B4772" s="44" t="s">
        <v>102</v>
      </c>
      <c r="C4772" s="11">
        <v>87</v>
      </c>
      <c r="D4772" s="11">
        <v>765</v>
      </c>
      <c r="E4772" s="11" t="s">
        <v>98</v>
      </c>
    </row>
    <row r="4773" spans="1:6" x14ac:dyDescent="0.35">
      <c r="A4773" s="2">
        <v>42867</v>
      </c>
      <c r="B4773" s="70" t="s">
        <v>113</v>
      </c>
      <c r="C4773" s="10">
        <v>68</v>
      </c>
      <c r="D4773" s="10">
        <v>359</v>
      </c>
      <c r="E4773" s="10" t="s">
        <v>37</v>
      </c>
    </row>
    <row r="4774" spans="1:6" x14ac:dyDescent="0.35">
      <c r="A4774" s="2">
        <v>42867</v>
      </c>
      <c r="B4774" s="70" t="s">
        <v>113</v>
      </c>
      <c r="C4774" s="10">
        <v>64</v>
      </c>
      <c r="D4774" s="10">
        <v>276</v>
      </c>
      <c r="E4774" s="10" t="s">
        <v>37</v>
      </c>
    </row>
    <row r="4775" spans="1:6" x14ac:dyDescent="0.35">
      <c r="A4775" s="2">
        <v>42867</v>
      </c>
      <c r="B4775" s="70" t="s">
        <v>113</v>
      </c>
      <c r="C4775" s="10">
        <v>70</v>
      </c>
      <c r="D4775" s="10">
        <v>398</v>
      </c>
      <c r="E4775" s="10" t="s">
        <v>37</v>
      </c>
    </row>
    <row r="4776" spans="1:6" x14ac:dyDescent="0.35">
      <c r="A4776" s="2">
        <v>42867</v>
      </c>
      <c r="B4776" s="70" t="s">
        <v>113</v>
      </c>
      <c r="C4776" s="10">
        <v>64</v>
      </c>
      <c r="D4776" s="10">
        <v>218</v>
      </c>
      <c r="E4776" s="10" t="s">
        <v>37</v>
      </c>
    </row>
    <row r="4777" spans="1:6" x14ac:dyDescent="0.35">
      <c r="A4777" s="2">
        <v>42867</v>
      </c>
      <c r="B4777" s="70" t="s">
        <v>113</v>
      </c>
      <c r="C4777" s="10">
        <v>117</v>
      </c>
      <c r="D4777" s="10">
        <v>1774</v>
      </c>
      <c r="E4777" s="10" t="s">
        <v>98</v>
      </c>
    </row>
    <row r="4778" spans="1:6" s="4" customFormat="1" x14ac:dyDescent="0.35">
      <c r="A4778" s="3">
        <v>42867</v>
      </c>
      <c r="B4778" s="44" t="s">
        <v>113</v>
      </c>
      <c r="C4778" s="11">
        <v>129</v>
      </c>
      <c r="D4778" s="11">
        <v>3047</v>
      </c>
      <c r="E4778" s="11" t="s">
        <v>98</v>
      </c>
    </row>
    <row r="4779" spans="1:6" x14ac:dyDescent="0.35">
      <c r="A4779" s="2">
        <v>42867</v>
      </c>
      <c r="B4779" s="70" t="s">
        <v>66</v>
      </c>
      <c r="C4779" s="10">
        <v>63</v>
      </c>
      <c r="D4779" s="10">
        <v>300</v>
      </c>
      <c r="E4779" s="10" t="s">
        <v>159</v>
      </c>
    </row>
    <row r="4780" spans="1:6" x14ac:dyDescent="0.35">
      <c r="A4780" s="2">
        <v>42867</v>
      </c>
      <c r="B4780" s="70" t="s">
        <v>66</v>
      </c>
      <c r="C4780" s="10">
        <v>70</v>
      </c>
      <c r="D4780" s="10">
        <v>332</v>
      </c>
      <c r="E4780" s="10" t="s">
        <v>37</v>
      </c>
    </row>
    <row r="4781" spans="1:6" x14ac:dyDescent="0.35">
      <c r="A4781" s="2">
        <v>42867</v>
      </c>
      <c r="B4781" s="70" t="s">
        <v>66</v>
      </c>
      <c r="C4781" s="10">
        <v>68</v>
      </c>
      <c r="D4781" s="10">
        <v>298</v>
      </c>
      <c r="E4781" s="10" t="s">
        <v>159</v>
      </c>
    </row>
    <row r="4782" spans="1:6" x14ac:dyDescent="0.35">
      <c r="A4782" s="2">
        <v>42867</v>
      </c>
      <c r="B4782" s="70" t="s">
        <v>66</v>
      </c>
      <c r="C4782" s="10">
        <v>63</v>
      </c>
      <c r="D4782" s="10">
        <v>269</v>
      </c>
      <c r="E4782" s="10" t="s">
        <v>159</v>
      </c>
    </row>
    <row r="4783" spans="1:6" x14ac:dyDescent="0.35">
      <c r="A4783" s="2">
        <v>42867</v>
      </c>
      <c r="B4783" s="70" t="s">
        <v>66</v>
      </c>
      <c r="C4783" s="10">
        <v>69</v>
      </c>
      <c r="D4783" s="10">
        <v>364</v>
      </c>
      <c r="E4783" s="10" t="s">
        <v>159</v>
      </c>
    </row>
    <row r="4784" spans="1:6" x14ac:dyDescent="0.35">
      <c r="A4784" s="2">
        <v>42867</v>
      </c>
      <c r="B4784" s="70" t="s">
        <v>66</v>
      </c>
      <c r="C4784" s="10">
        <v>72</v>
      </c>
      <c r="D4784" s="10">
        <v>340</v>
      </c>
      <c r="E4784" s="10" t="s">
        <v>37</v>
      </c>
    </row>
    <row r="4785" spans="1:5" x14ac:dyDescent="0.35">
      <c r="A4785" s="2">
        <v>42867</v>
      </c>
      <c r="B4785" s="70" t="s">
        <v>66</v>
      </c>
      <c r="C4785" s="10">
        <v>69</v>
      </c>
      <c r="D4785" s="10">
        <v>313</v>
      </c>
      <c r="E4785" s="10" t="s">
        <v>37</v>
      </c>
    </row>
    <row r="4786" spans="1:5" x14ac:dyDescent="0.35">
      <c r="A4786" s="2">
        <v>42867</v>
      </c>
      <c r="B4786" s="70" t="s">
        <v>66</v>
      </c>
      <c r="C4786" s="10">
        <v>67</v>
      </c>
      <c r="D4786" s="10">
        <v>287</v>
      </c>
      <c r="E4786" s="10" t="s">
        <v>37</v>
      </c>
    </row>
    <row r="4787" spans="1:5" x14ac:dyDescent="0.35">
      <c r="A4787" s="2">
        <v>42867</v>
      </c>
      <c r="B4787" s="70" t="s">
        <v>66</v>
      </c>
      <c r="C4787" s="10">
        <v>65</v>
      </c>
      <c r="D4787" s="10">
        <v>246</v>
      </c>
      <c r="E4787" s="10" t="s">
        <v>37</v>
      </c>
    </row>
    <row r="4788" spans="1:5" x14ac:dyDescent="0.35">
      <c r="A4788" s="2">
        <v>42867</v>
      </c>
      <c r="B4788" s="70" t="s">
        <v>66</v>
      </c>
      <c r="C4788" s="10">
        <v>68</v>
      </c>
      <c r="D4788" s="10">
        <v>325</v>
      </c>
      <c r="E4788" s="10" t="s">
        <v>159</v>
      </c>
    </row>
    <row r="4789" spans="1:5" x14ac:dyDescent="0.35">
      <c r="A4789" s="2">
        <v>42867</v>
      </c>
      <c r="B4789" s="70" t="s">
        <v>66</v>
      </c>
      <c r="C4789" s="10">
        <v>62</v>
      </c>
      <c r="D4789" s="10">
        <v>270</v>
      </c>
      <c r="E4789" s="10" t="s">
        <v>159</v>
      </c>
    </row>
    <row r="4790" spans="1:5" x14ac:dyDescent="0.35">
      <c r="A4790" s="2">
        <v>42867</v>
      </c>
      <c r="B4790" s="70" t="s">
        <v>66</v>
      </c>
      <c r="C4790" s="10">
        <v>68</v>
      </c>
      <c r="D4790" s="10">
        <v>282</v>
      </c>
      <c r="E4790" s="10" t="s">
        <v>37</v>
      </c>
    </row>
    <row r="4791" spans="1:5" x14ac:dyDescent="0.35">
      <c r="A4791" s="2">
        <v>42867</v>
      </c>
      <c r="B4791" s="70" t="s">
        <v>66</v>
      </c>
      <c r="C4791" s="10">
        <v>67</v>
      </c>
      <c r="D4791" s="10">
        <v>243</v>
      </c>
      <c r="E4791" s="10" t="s">
        <v>37</v>
      </c>
    </row>
    <row r="4792" spans="1:5" x14ac:dyDescent="0.35">
      <c r="A4792" s="2">
        <v>42867</v>
      </c>
      <c r="B4792" s="70" t="s">
        <v>66</v>
      </c>
      <c r="C4792" s="10">
        <v>97</v>
      </c>
      <c r="D4792" s="10">
        <v>1328</v>
      </c>
      <c r="E4792" s="10" t="s">
        <v>98</v>
      </c>
    </row>
    <row r="4793" spans="1:5" x14ac:dyDescent="0.35">
      <c r="A4793" s="2">
        <v>42867</v>
      </c>
      <c r="B4793" s="70" t="s">
        <v>66</v>
      </c>
      <c r="C4793" s="10">
        <v>97</v>
      </c>
      <c r="D4793" s="10">
        <v>1288</v>
      </c>
      <c r="E4793" s="10" t="s">
        <v>98</v>
      </c>
    </row>
    <row r="4794" spans="1:5" x14ac:dyDescent="0.35">
      <c r="A4794" s="2">
        <v>42867</v>
      </c>
      <c r="B4794" s="70" t="s">
        <v>66</v>
      </c>
      <c r="C4794" s="10">
        <v>124</v>
      </c>
      <c r="D4794" s="10">
        <v>3447</v>
      </c>
      <c r="E4794" s="10" t="s">
        <v>98</v>
      </c>
    </row>
    <row r="4795" spans="1:5" s="4" customFormat="1" x14ac:dyDescent="0.35">
      <c r="A4795" s="3">
        <v>42867</v>
      </c>
      <c r="B4795" s="44" t="s">
        <v>66</v>
      </c>
      <c r="C4795" s="11">
        <v>127</v>
      </c>
      <c r="D4795" s="11">
        <v>2861</v>
      </c>
      <c r="E4795" s="11" t="s">
        <v>98</v>
      </c>
    </row>
    <row r="4796" spans="1:5" x14ac:dyDescent="0.35">
      <c r="A4796" s="2">
        <v>42867</v>
      </c>
      <c r="B4796" s="70" t="s">
        <v>63</v>
      </c>
      <c r="C4796" s="10">
        <v>69</v>
      </c>
      <c r="D4796" s="10">
        <v>352</v>
      </c>
      <c r="E4796" s="10" t="s">
        <v>37</v>
      </c>
    </row>
    <row r="4797" spans="1:5" x14ac:dyDescent="0.35">
      <c r="A4797" s="2">
        <v>42867</v>
      </c>
      <c r="B4797" s="70" t="s">
        <v>63</v>
      </c>
      <c r="C4797" s="10">
        <v>72</v>
      </c>
      <c r="D4797" s="10">
        <v>364</v>
      </c>
      <c r="E4797" s="10" t="s">
        <v>37</v>
      </c>
    </row>
    <row r="4798" spans="1:5" x14ac:dyDescent="0.35">
      <c r="A4798" s="2">
        <v>42867</v>
      </c>
      <c r="B4798" s="70" t="s">
        <v>63</v>
      </c>
      <c r="C4798" s="10">
        <v>67</v>
      </c>
      <c r="D4798" s="10">
        <v>305</v>
      </c>
      <c r="E4798" s="10" t="s">
        <v>159</v>
      </c>
    </row>
    <row r="4799" spans="1:5" x14ac:dyDescent="0.35">
      <c r="A4799" s="2">
        <v>42867</v>
      </c>
      <c r="B4799" s="70" t="s">
        <v>63</v>
      </c>
      <c r="C4799" s="10">
        <v>63</v>
      </c>
      <c r="D4799" s="10">
        <v>365</v>
      </c>
      <c r="E4799" s="10" t="s">
        <v>159</v>
      </c>
    </row>
    <row r="4800" spans="1:5" x14ac:dyDescent="0.35">
      <c r="A4800" s="2">
        <v>42867</v>
      </c>
      <c r="B4800" s="70" t="s">
        <v>63</v>
      </c>
      <c r="C4800" s="10">
        <v>63</v>
      </c>
      <c r="D4800" s="10">
        <v>352</v>
      </c>
      <c r="E4800" s="10" t="s">
        <v>159</v>
      </c>
    </row>
    <row r="4801" spans="1:18" x14ac:dyDescent="0.35">
      <c r="A4801" s="2">
        <v>42867</v>
      </c>
      <c r="B4801" s="70" t="s">
        <v>63</v>
      </c>
      <c r="C4801" s="10">
        <v>72</v>
      </c>
      <c r="D4801" s="10">
        <v>350</v>
      </c>
      <c r="E4801" s="10" t="s">
        <v>159</v>
      </c>
    </row>
    <row r="4802" spans="1:18" x14ac:dyDescent="0.35">
      <c r="A4802" s="2">
        <v>42867</v>
      </c>
      <c r="B4802" s="70" t="s">
        <v>63</v>
      </c>
      <c r="C4802" s="10">
        <v>73</v>
      </c>
      <c r="D4802" s="10">
        <v>386</v>
      </c>
      <c r="E4802" s="10" t="s">
        <v>37</v>
      </c>
    </row>
    <row r="4803" spans="1:18" x14ac:dyDescent="0.35">
      <c r="A4803" s="2">
        <v>42867</v>
      </c>
      <c r="B4803" s="70" t="s">
        <v>63</v>
      </c>
      <c r="C4803" s="10">
        <v>77</v>
      </c>
      <c r="D4803" s="10">
        <v>374</v>
      </c>
      <c r="E4803" s="10" t="s">
        <v>159</v>
      </c>
    </row>
    <row r="4804" spans="1:18" x14ac:dyDescent="0.35">
      <c r="A4804" s="2">
        <v>42867</v>
      </c>
      <c r="B4804" s="70" t="s">
        <v>63</v>
      </c>
      <c r="C4804" s="10">
        <v>68</v>
      </c>
      <c r="D4804" s="10">
        <v>310</v>
      </c>
      <c r="E4804" s="10" t="s">
        <v>37</v>
      </c>
    </row>
    <row r="4805" spans="1:18" x14ac:dyDescent="0.35">
      <c r="A4805" s="2">
        <v>42867</v>
      </c>
      <c r="B4805" s="70" t="s">
        <v>63</v>
      </c>
      <c r="C4805" s="10">
        <v>67</v>
      </c>
      <c r="D4805" s="10">
        <v>305</v>
      </c>
      <c r="E4805" s="10" t="s">
        <v>37</v>
      </c>
    </row>
    <row r="4806" spans="1:18" x14ac:dyDescent="0.35">
      <c r="A4806" s="2">
        <v>42867</v>
      </c>
      <c r="B4806" s="70" t="s">
        <v>63</v>
      </c>
      <c r="C4806" s="10">
        <v>72</v>
      </c>
      <c r="D4806" s="10">
        <v>366</v>
      </c>
      <c r="E4806" s="10" t="s">
        <v>37</v>
      </c>
    </row>
    <row r="4807" spans="1:18" x14ac:dyDescent="0.35">
      <c r="A4807" s="2">
        <v>42867</v>
      </c>
      <c r="B4807" s="70" t="s">
        <v>63</v>
      </c>
      <c r="C4807" s="10">
        <v>62</v>
      </c>
      <c r="D4807" s="10">
        <v>193</v>
      </c>
      <c r="E4807" s="10" t="s">
        <v>32</v>
      </c>
    </row>
    <row r="4808" spans="1:18" x14ac:dyDescent="0.35">
      <c r="A4808" s="2">
        <v>42867</v>
      </c>
      <c r="B4808" s="70" t="s">
        <v>63</v>
      </c>
      <c r="C4808" s="10">
        <v>64</v>
      </c>
      <c r="D4808" s="10">
        <v>305</v>
      </c>
      <c r="E4808" s="10" t="s">
        <v>159</v>
      </c>
    </row>
    <row r="4809" spans="1:18" x14ac:dyDescent="0.35">
      <c r="A4809" s="2">
        <v>42867</v>
      </c>
      <c r="B4809" s="70" t="s">
        <v>63</v>
      </c>
      <c r="C4809" s="10">
        <v>65</v>
      </c>
      <c r="D4809" s="10">
        <v>286</v>
      </c>
      <c r="E4809" s="10" t="s">
        <v>37</v>
      </c>
    </row>
    <row r="4810" spans="1:18" x14ac:dyDescent="0.35">
      <c r="A4810" s="2">
        <v>42867</v>
      </c>
      <c r="B4810" s="70" t="s">
        <v>63</v>
      </c>
      <c r="C4810" s="10">
        <v>64</v>
      </c>
      <c r="D4810" s="10">
        <v>223</v>
      </c>
      <c r="E4810" s="10" t="s">
        <v>37</v>
      </c>
    </row>
    <row r="4811" spans="1:18" x14ac:dyDescent="0.35">
      <c r="A4811" s="2">
        <v>42867</v>
      </c>
      <c r="B4811" s="70" t="s">
        <v>63</v>
      </c>
      <c r="C4811" s="10">
        <v>68</v>
      </c>
      <c r="D4811" s="10">
        <v>340</v>
      </c>
      <c r="E4811" s="10" t="s">
        <v>37</v>
      </c>
    </row>
    <row r="4812" spans="1:18" x14ac:dyDescent="0.35">
      <c r="A4812" s="2">
        <v>42867</v>
      </c>
      <c r="B4812" s="70" t="s">
        <v>63</v>
      </c>
      <c r="C4812" s="10">
        <v>63</v>
      </c>
      <c r="D4812" s="10">
        <v>272</v>
      </c>
      <c r="E4812" s="10" t="s">
        <v>159</v>
      </c>
    </row>
    <row r="4813" spans="1:18" x14ac:dyDescent="0.35">
      <c r="A4813" s="2">
        <v>42867</v>
      </c>
      <c r="B4813" s="70" t="s">
        <v>63</v>
      </c>
      <c r="C4813" s="10">
        <v>63</v>
      </c>
      <c r="D4813" s="10">
        <v>236</v>
      </c>
      <c r="E4813" s="10" t="s">
        <v>37</v>
      </c>
    </row>
    <row r="4814" spans="1:18" x14ac:dyDescent="0.35">
      <c r="A4814" s="2">
        <v>42867</v>
      </c>
      <c r="B4814" s="70" t="s">
        <v>63</v>
      </c>
      <c r="C4814" s="10">
        <v>72</v>
      </c>
      <c r="D4814" s="10">
        <v>371</v>
      </c>
      <c r="E4814" s="10" t="s">
        <v>159</v>
      </c>
    </row>
    <row r="4815" spans="1:18" x14ac:dyDescent="0.35">
      <c r="A4815" s="2">
        <v>42867</v>
      </c>
      <c r="B4815" s="70" t="s">
        <v>63</v>
      </c>
      <c r="C4815" s="10">
        <v>67</v>
      </c>
      <c r="D4815" s="10">
        <v>304</v>
      </c>
      <c r="E4815" s="10" t="s">
        <v>159</v>
      </c>
    </row>
    <row r="4816" spans="1:18" x14ac:dyDescent="0.35">
      <c r="A4816" s="2">
        <v>42867</v>
      </c>
      <c r="B4816" s="70" t="s">
        <v>63</v>
      </c>
      <c r="C4816" s="10">
        <v>62</v>
      </c>
      <c r="D4816" s="10">
        <v>224</v>
      </c>
      <c r="E4816" s="10" t="s">
        <v>37</v>
      </c>
      <c r="H4816" s="42" t="e">
        <f>AVERAGE(#REF!,#REF!,#REF!,#REF!,#REF!)</f>
        <v>#REF!</v>
      </c>
      <c r="O4816" t="s">
        <v>34</v>
      </c>
      <c r="P4816" t="s">
        <v>32</v>
      </c>
      <c r="Q4816" t="s">
        <v>37</v>
      </c>
      <c r="R4816" t="s">
        <v>159</v>
      </c>
    </row>
    <row r="4817" spans="1:18" x14ac:dyDescent="0.35">
      <c r="A4817" s="2">
        <v>42867</v>
      </c>
      <c r="B4817" s="70" t="s">
        <v>63</v>
      </c>
      <c r="C4817" s="10">
        <v>155</v>
      </c>
      <c r="D4817" s="10">
        <v>5546</v>
      </c>
      <c r="E4817" s="10" t="s">
        <v>98</v>
      </c>
      <c r="H4817" s="42" t="e">
        <f>AVERAGE(#REF!,#REF!,#REF!,#REF!,#REF!)</f>
        <v>#REF!</v>
      </c>
      <c r="O4817" s="5">
        <f>COUNTIF(E4731:E4821,"VIA3")</f>
        <v>0</v>
      </c>
      <c r="P4817" s="5">
        <f>COUNTIF(E4731:E4819,"VIA4")</f>
        <v>5</v>
      </c>
      <c r="Q4817" s="5">
        <f>COUNTIF(E4731:E4819,"VIB")</f>
        <v>40</v>
      </c>
      <c r="R4817" s="5">
        <f>COUNTIF(E4731:E4821,"VII")</f>
        <v>31</v>
      </c>
    </row>
    <row r="4818" spans="1:18" x14ac:dyDescent="0.35">
      <c r="A4818" s="2">
        <v>42867</v>
      </c>
      <c r="B4818" s="70" t="s">
        <v>63</v>
      </c>
      <c r="C4818" s="10">
        <v>122</v>
      </c>
      <c r="D4818" s="10">
        <v>2694</v>
      </c>
      <c r="E4818" s="10" t="s">
        <v>98</v>
      </c>
      <c r="O4818" s="6">
        <f>O4817/76*100</f>
        <v>0</v>
      </c>
      <c r="P4818" s="6">
        <f t="shared" ref="P4818:R4818" si="144">P4817/76*100</f>
        <v>6.5789473684210522</v>
      </c>
      <c r="Q4818" s="6">
        <f t="shared" si="144"/>
        <v>52.631578947368418</v>
      </c>
      <c r="R4818" s="6">
        <f t="shared" si="144"/>
        <v>40.789473684210527</v>
      </c>
    </row>
    <row r="4819" spans="1:18" s="4" customFormat="1" x14ac:dyDescent="0.35">
      <c r="A4819" s="3">
        <v>42867</v>
      </c>
      <c r="B4819" s="44" t="s">
        <v>63</v>
      </c>
      <c r="C4819" s="11">
        <v>107</v>
      </c>
      <c r="D4819" s="11">
        <v>1701</v>
      </c>
      <c r="E4819" s="4" t="s">
        <v>98</v>
      </c>
    </row>
    <row r="4820" spans="1:18" s="22" customFormat="1" x14ac:dyDescent="0.35">
      <c r="A4820" s="19">
        <v>42867</v>
      </c>
      <c r="B4820" s="71" t="s">
        <v>114</v>
      </c>
      <c r="C4820" s="20">
        <v>97</v>
      </c>
      <c r="D4820" s="20">
        <v>724</v>
      </c>
      <c r="E4820" s="22" t="s">
        <v>98</v>
      </c>
    </row>
    <row r="4821" spans="1:18" x14ac:dyDescent="0.35">
      <c r="A4821" s="2">
        <v>42874</v>
      </c>
      <c r="B4821" s="70" t="s">
        <v>38</v>
      </c>
      <c r="C4821" s="10">
        <v>69</v>
      </c>
      <c r="D4821" s="10">
        <v>281</v>
      </c>
      <c r="E4821" s="10" t="s">
        <v>37</v>
      </c>
      <c r="F4821" t="s">
        <v>545</v>
      </c>
    </row>
    <row r="4822" spans="1:18" x14ac:dyDescent="0.35">
      <c r="A4822" s="2">
        <v>42874</v>
      </c>
      <c r="B4822" s="70" t="s">
        <v>38</v>
      </c>
      <c r="C4822" s="10">
        <v>72</v>
      </c>
      <c r="D4822" s="10">
        <v>310</v>
      </c>
      <c r="E4822" s="10" t="s">
        <v>159</v>
      </c>
      <c r="F4822" t="s">
        <v>546</v>
      </c>
    </row>
    <row r="4823" spans="1:18" x14ac:dyDescent="0.35">
      <c r="A4823" s="2">
        <v>42874</v>
      </c>
      <c r="B4823" s="70" t="s">
        <v>38</v>
      </c>
      <c r="C4823">
        <v>73</v>
      </c>
      <c r="D4823">
        <v>361</v>
      </c>
      <c r="E4823" s="10" t="s">
        <v>159</v>
      </c>
      <c r="F4823" t="s">
        <v>547</v>
      </c>
    </row>
    <row r="4824" spans="1:18" x14ac:dyDescent="0.35">
      <c r="A4824" s="2">
        <v>42874</v>
      </c>
      <c r="B4824" s="70" t="s">
        <v>38</v>
      </c>
      <c r="C4824">
        <v>72</v>
      </c>
      <c r="D4824">
        <v>327</v>
      </c>
      <c r="E4824" s="10" t="s">
        <v>159</v>
      </c>
      <c r="F4824" t="s">
        <v>548</v>
      </c>
    </row>
    <row r="4825" spans="1:18" x14ac:dyDescent="0.35">
      <c r="A4825" s="2">
        <v>42874</v>
      </c>
      <c r="B4825" s="70" t="s">
        <v>38</v>
      </c>
      <c r="C4825">
        <v>64</v>
      </c>
      <c r="D4825">
        <v>225</v>
      </c>
      <c r="E4825" s="10" t="s">
        <v>159</v>
      </c>
      <c r="F4825" t="s">
        <v>549</v>
      </c>
    </row>
    <row r="4826" spans="1:18" x14ac:dyDescent="0.35">
      <c r="A4826" s="2">
        <v>42874</v>
      </c>
      <c r="B4826" s="70" t="s">
        <v>38</v>
      </c>
      <c r="C4826">
        <v>75</v>
      </c>
      <c r="D4826">
        <v>299</v>
      </c>
      <c r="E4826" s="10" t="s">
        <v>159</v>
      </c>
    </row>
    <row r="4827" spans="1:18" x14ac:dyDescent="0.35">
      <c r="A4827" s="2">
        <v>42874</v>
      </c>
      <c r="B4827" s="70" t="s">
        <v>38</v>
      </c>
      <c r="C4827">
        <v>68</v>
      </c>
      <c r="D4827">
        <v>265</v>
      </c>
      <c r="E4827" s="10" t="s">
        <v>37</v>
      </c>
    </row>
    <row r="4828" spans="1:18" x14ac:dyDescent="0.35">
      <c r="A4828" s="2">
        <v>42874</v>
      </c>
      <c r="B4828" s="70" t="s">
        <v>38</v>
      </c>
      <c r="C4828">
        <v>66</v>
      </c>
      <c r="D4828">
        <v>252</v>
      </c>
      <c r="E4828" s="10" t="s">
        <v>37</v>
      </c>
    </row>
    <row r="4829" spans="1:18" x14ac:dyDescent="0.35">
      <c r="A4829" s="2">
        <v>42874</v>
      </c>
      <c r="B4829" s="70" t="s">
        <v>38</v>
      </c>
      <c r="C4829">
        <v>69</v>
      </c>
      <c r="D4829">
        <v>237</v>
      </c>
      <c r="E4829" s="10" t="s">
        <v>37</v>
      </c>
    </row>
    <row r="4830" spans="1:18" x14ac:dyDescent="0.35">
      <c r="A4830" s="2">
        <v>42874</v>
      </c>
      <c r="B4830" s="70" t="s">
        <v>38</v>
      </c>
      <c r="C4830">
        <v>72</v>
      </c>
      <c r="D4830">
        <v>348</v>
      </c>
      <c r="E4830" s="10" t="s">
        <v>159</v>
      </c>
    </row>
    <row r="4831" spans="1:18" x14ac:dyDescent="0.35">
      <c r="A4831" s="2">
        <v>42874</v>
      </c>
      <c r="B4831" s="70" t="s">
        <v>38</v>
      </c>
      <c r="C4831">
        <v>82</v>
      </c>
      <c r="D4831">
        <v>497</v>
      </c>
      <c r="E4831" s="10" t="s">
        <v>159</v>
      </c>
    </row>
    <row r="4832" spans="1:18" x14ac:dyDescent="0.35">
      <c r="A4832" s="2">
        <v>42874</v>
      </c>
      <c r="B4832" s="70" t="s">
        <v>38</v>
      </c>
      <c r="C4832">
        <v>66</v>
      </c>
      <c r="D4832">
        <v>308</v>
      </c>
      <c r="E4832" s="10" t="s">
        <v>159</v>
      </c>
    </row>
    <row r="4833" spans="1:6" x14ac:dyDescent="0.35">
      <c r="A4833" s="2">
        <v>42874</v>
      </c>
      <c r="B4833" s="70" t="s">
        <v>38</v>
      </c>
      <c r="C4833">
        <v>67</v>
      </c>
      <c r="D4833">
        <v>268</v>
      </c>
      <c r="E4833" s="10" t="s">
        <v>159</v>
      </c>
    </row>
    <row r="4834" spans="1:6" x14ac:dyDescent="0.35">
      <c r="A4834" s="2">
        <v>42874</v>
      </c>
      <c r="B4834" s="70" t="s">
        <v>38</v>
      </c>
      <c r="C4834">
        <v>68</v>
      </c>
      <c r="D4834">
        <v>255</v>
      </c>
      <c r="E4834" s="10" t="s">
        <v>159</v>
      </c>
    </row>
    <row r="4835" spans="1:6" x14ac:dyDescent="0.35">
      <c r="A4835" s="2">
        <v>42874</v>
      </c>
      <c r="B4835" s="70" t="s">
        <v>38</v>
      </c>
      <c r="C4835">
        <v>72</v>
      </c>
      <c r="D4835">
        <v>304</v>
      </c>
      <c r="E4835" s="10" t="s">
        <v>37</v>
      </c>
      <c r="F4835" t="s">
        <v>550</v>
      </c>
    </row>
    <row r="4836" spans="1:6" x14ac:dyDescent="0.35">
      <c r="A4836" s="2">
        <v>42874</v>
      </c>
      <c r="B4836" s="70" t="s">
        <v>38</v>
      </c>
      <c r="C4836">
        <v>72</v>
      </c>
      <c r="D4836">
        <v>349</v>
      </c>
      <c r="E4836" s="10" t="s">
        <v>159</v>
      </c>
    </row>
    <row r="4837" spans="1:6" x14ac:dyDescent="0.35">
      <c r="A4837" s="2">
        <v>42874</v>
      </c>
      <c r="B4837" s="70" t="s">
        <v>38</v>
      </c>
      <c r="C4837">
        <v>69</v>
      </c>
      <c r="D4837">
        <v>242</v>
      </c>
      <c r="E4837" s="10" t="s">
        <v>159</v>
      </c>
    </row>
    <row r="4838" spans="1:6" x14ac:dyDescent="0.35">
      <c r="A4838" s="2">
        <v>42874</v>
      </c>
      <c r="B4838" s="70" t="s">
        <v>38</v>
      </c>
      <c r="C4838">
        <v>65</v>
      </c>
      <c r="D4838">
        <v>208</v>
      </c>
      <c r="E4838" s="10" t="s">
        <v>32</v>
      </c>
    </row>
    <row r="4839" spans="1:6" x14ac:dyDescent="0.35">
      <c r="A4839" s="2">
        <v>42874</v>
      </c>
      <c r="B4839" s="70" t="s">
        <v>38</v>
      </c>
      <c r="C4839">
        <v>64</v>
      </c>
      <c r="D4839">
        <v>256</v>
      </c>
      <c r="E4839" s="10" t="s">
        <v>159</v>
      </c>
    </row>
    <row r="4840" spans="1:6" x14ac:dyDescent="0.35">
      <c r="A4840" s="2">
        <v>42874</v>
      </c>
      <c r="B4840" s="70" t="s">
        <v>38</v>
      </c>
      <c r="C4840">
        <v>67</v>
      </c>
      <c r="D4840">
        <v>270</v>
      </c>
      <c r="E4840" s="10" t="s">
        <v>37</v>
      </c>
    </row>
    <row r="4841" spans="1:6" x14ac:dyDescent="0.35">
      <c r="A4841" s="2">
        <v>42874</v>
      </c>
      <c r="B4841" s="70" t="s">
        <v>38</v>
      </c>
      <c r="C4841">
        <v>66</v>
      </c>
      <c r="D4841">
        <v>238</v>
      </c>
      <c r="E4841" s="10" t="s">
        <v>37</v>
      </c>
    </row>
    <row r="4842" spans="1:6" x14ac:dyDescent="0.35">
      <c r="A4842" s="2">
        <v>42874</v>
      </c>
      <c r="B4842" s="70" t="s">
        <v>38</v>
      </c>
      <c r="C4842">
        <v>67</v>
      </c>
      <c r="D4842">
        <v>309</v>
      </c>
      <c r="E4842" s="10" t="s">
        <v>159</v>
      </c>
    </row>
    <row r="4843" spans="1:6" x14ac:dyDescent="0.35">
      <c r="A4843" s="2">
        <v>42874</v>
      </c>
      <c r="B4843" s="70" t="s">
        <v>38</v>
      </c>
      <c r="C4843">
        <v>66</v>
      </c>
      <c r="D4843">
        <v>271</v>
      </c>
      <c r="E4843" s="10" t="s">
        <v>159</v>
      </c>
    </row>
    <row r="4844" spans="1:6" x14ac:dyDescent="0.35">
      <c r="A4844" s="2">
        <v>42874</v>
      </c>
      <c r="B4844" s="70" t="s">
        <v>38</v>
      </c>
      <c r="C4844">
        <v>67</v>
      </c>
      <c r="D4844">
        <v>270</v>
      </c>
      <c r="E4844" s="10" t="s">
        <v>159</v>
      </c>
    </row>
    <row r="4845" spans="1:6" x14ac:dyDescent="0.35">
      <c r="A4845" s="2">
        <v>42874</v>
      </c>
      <c r="B4845" s="70" t="s">
        <v>38</v>
      </c>
      <c r="C4845">
        <v>75</v>
      </c>
      <c r="D4845">
        <v>396</v>
      </c>
      <c r="E4845" s="10" t="s">
        <v>159</v>
      </c>
    </row>
    <row r="4846" spans="1:6" x14ac:dyDescent="0.35">
      <c r="A4846" s="2">
        <v>42874</v>
      </c>
      <c r="B4846" s="70" t="s">
        <v>38</v>
      </c>
      <c r="C4846">
        <v>72</v>
      </c>
      <c r="D4846">
        <v>357</v>
      </c>
      <c r="E4846" s="10" t="s">
        <v>159</v>
      </c>
    </row>
    <row r="4847" spans="1:6" x14ac:dyDescent="0.35">
      <c r="A4847" s="2">
        <v>42874</v>
      </c>
      <c r="B4847" s="70" t="s">
        <v>38</v>
      </c>
      <c r="C4847">
        <v>75</v>
      </c>
      <c r="D4847">
        <v>389</v>
      </c>
      <c r="E4847" s="10" t="s">
        <v>37</v>
      </c>
    </row>
    <row r="4848" spans="1:6" x14ac:dyDescent="0.35">
      <c r="A4848" s="2">
        <v>42874</v>
      </c>
      <c r="B4848" s="70" t="s">
        <v>38</v>
      </c>
      <c r="C4848">
        <v>65</v>
      </c>
      <c r="D4848">
        <v>225</v>
      </c>
      <c r="E4848" s="10" t="s">
        <v>32</v>
      </c>
    </row>
    <row r="4849" spans="1:6" x14ac:dyDescent="0.35">
      <c r="A4849" s="2">
        <v>42874</v>
      </c>
      <c r="B4849" s="70" t="s">
        <v>38</v>
      </c>
      <c r="C4849">
        <v>66</v>
      </c>
      <c r="D4849">
        <v>305</v>
      </c>
      <c r="E4849" s="10" t="s">
        <v>37</v>
      </c>
    </row>
    <row r="4850" spans="1:6" x14ac:dyDescent="0.35">
      <c r="A4850" s="2">
        <v>42874</v>
      </c>
      <c r="B4850" s="70" t="s">
        <v>38</v>
      </c>
      <c r="C4850">
        <v>71</v>
      </c>
      <c r="D4850">
        <v>365</v>
      </c>
      <c r="E4850" s="10" t="s">
        <v>159</v>
      </c>
    </row>
    <row r="4851" spans="1:6" x14ac:dyDescent="0.35">
      <c r="A4851" s="2">
        <v>42874</v>
      </c>
      <c r="B4851" s="70" t="s">
        <v>38</v>
      </c>
      <c r="C4851">
        <v>73</v>
      </c>
      <c r="D4851">
        <v>392</v>
      </c>
      <c r="E4851" s="10" t="s">
        <v>159</v>
      </c>
    </row>
    <row r="4852" spans="1:6" x14ac:dyDescent="0.35">
      <c r="A4852" s="2">
        <v>42874</v>
      </c>
      <c r="B4852" s="70" t="s">
        <v>38</v>
      </c>
      <c r="C4852">
        <v>68</v>
      </c>
      <c r="D4852">
        <v>282</v>
      </c>
      <c r="E4852" s="10" t="s">
        <v>159</v>
      </c>
    </row>
    <row r="4853" spans="1:6" x14ac:dyDescent="0.35">
      <c r="A4853" s="2">
        <v>42874</v>
      </c>
      <c r="B4853" s="70" t="s">
        <v>38</v>
      </c>
      <c r="C4853">
        <v>68</v>
      </c>
      <c r="D4853">
        <v>252</v>
      </c>
      <c r="E4853" s="10" t="s">
        <v>159</v>
      </c>
      <c r="F4853" t="s">
        <v>551</v>
      </c>
    </row>
    <row r="4854" spans="1:6" x14ac:dyDescent="0.35">
      <c r="A4854" s="2">
        <v>42874</v>
      </c>
      <c r="B4854" s="70" t="s">
        <v>38</v>
      </c>
      <c r="C4854">
        <v>66</v>
      </c>
      <c r="D4854">
        <v>285</v>
      </c>
      <c r="E4854" s="10" t="s">
        <v>159</v>
      </c>
    </row>
    <row r="4855" spans="1:6" x14ac:dyDescent="0.35">
      <c r="A4855" s="2">
        <v>42874</v>
      </c>
      <c r="B4855" s="70" t="s">
        <v>38</v>
      </c>
      <c r="C4855">
        <v>66</v>
      </c>
      <c r="D4855">
        <v>258</v>
      </c>
      <c r="E4855" s="10" t="s">
        <v>37</v>
      </c>
      <c r="F4855" t="s">
        <v>552</v>
      </c>
    </row>
    <row r="4856" spans="1:6" x14ac:dyDescent="0.35">
      <c r="A4856" s="2">
        <v>42874</v>
      </c>
      <c r="B4856" s="70" t="s">
        <v>38</v>
      </c>
      <c r="C4856">
        <v>64</v>
      </c>
      <c r="D4856">
        <v>220</v>
      </c>
      <c r="E4856" s="10" t="s">
        <v>37</v>
      </c>
      <c r="F4856" t="s">
        <v>552</v>
      </c>
    </row>
    <row r="4857" spans="1:6" x14ac:dyDescent="0.35">
      <c r="A4857" s="2">
        <v>42874</v>
      </c>
      <c r="B4857" s="70" t="s">
        <v>38</v>
      </c>
      <c r="C4857">
        <v>59</v>
      </c>
      <c r="D4857">
        <v>203</v>
      </c>
      <c r="E4857" s="10" t="s">
        <v>159</v>
      </c>
    </row>
    <row r="4858" spans="1:6" x14ac:dyDescent="0.35">
      <c r="A4858" s="2">
        <v>42874</v>
      </c>
      <c r="B4858" s="70" t="s">
        <v>38</v>
      </c>
      <c r="C4858">
        <v>63</v>
      </c>
      <c r="D4858">
        <v>225</v>
      </c>
      <c r="E4858" s="10" t="s">
        <v>159</v>
      </c>
    </row>
    <row r="4859" spans="1:6" x14ac:dyDescent="0.35">
      <c r="A4859" s="2">
        <v>42874</v>
      </c>
      <c r="B4859" s="70" t="s">
        <v>38</v>
      </c>
      <c r="C4859">
        <v>68</v>
      </c>
      <c r="D4859">
        <v>284</v>
      </c>
      <c r="E4859" s="10" t="s">
        <v>159</v>
      </c>
    </row>
    <row r="4860" spans="1:6" x14ac:dyDescent="0.35">
      <c r="A4860" s="2">
        <v>42874</v>
      </c>
      <c r="B4860" s="70" t="s">
        <v>38</v>
      </c>
      <c r="C4860">
        <v>73</v>
      </c>
      <c r="D4860">
        <v>345</v>
      </c>
      <c r="E4860" s="10" t="s">
        <v>159</v>
      </c>
    </row>
    <row r="4861" spans="1:6" x14ac:dyDescent="0.35">
      <c r="A4861" s="2">
        <v>42874</v>
      </c>
      <c r="B4861" s="70" t="s">
        <v>38</v>
      </c>
      <c r="C4861">
        <v>67</v>
      </c>
      <c r="D4861">
        <v>259</v>
      </c>
      <c r="E4861" s="10" t="s">
        <v>159</v>
      </c>
    </row>
    <row r="4862" spans="1:6" x14ac:dyDescent="0.35">
      <c r="A4862" s="2">
        <v>42874</v>
      </c>
      <c r="B4862" s="70" t="s">
        <v>38</v>
      </c>
      <c r="C4862">
        <v>64</v>
      </c>
      <c r="D4862">
        <v>183</v>
      </c>
      <c r="E4862" s="10" t="s">
        <v>37</v>
      </c>
    </row>
    <row r="4863" spans="1:6" x14ac:dyDescent="0.35">
      <c r="A4863" s="2">
        <v>42874</v>
      </c>
      <c r="B4863" s="70" t="s">
        <v>38</v>
      </c>
      <c r="C4863">
        <v>73</v>
      </c>
      <c r="D4863">
        <v>317</v>
      </c>
      <c r="E4863" s="10" t="s">
        <v>37</v>
      </c>
    </row>
    <row r="4864" spans="1:6" x14ac:dyDescent="0.35">
      <c r="A4864" s="2">
        <v>42874</v>
      </c>
      <c r="B4864" s="70" t="s">
        <v>38</v>
      </c>
      <c r="C4864">
        <v>63</v>
      </c>
      <c r="D4864">
        <v>174</v>
      </c>
      <c r="E4864" s="10" t="s">
        <v>32</v>
      </c>
    </row>
    <row r="4865" spans="1:18" x14ac:dyDescent="0.35">
      <c r="A4865" s="2">
        <v>42874</v>
      </c>
      <c r="B4865" s="70" t="s">
        <v>38</v>
      </c>
      <c r="C4865">
        <v>66</v>
      </c>
      <c r="D4865">
        <v>267</v>
      </c>
      <c r="E4865" s="10" t="s">
        <v>159</v>
      </c>
    </row>
    <row r="4866" spans="1:18" x14ac:dyDescent="0.35">
      <c r="A4866" s="2">
        <v>42874</v>
      </c>
      <c r="B4866" s="70" t="s">
        <v>38</v>
      </c>
      <c r="C4866">
        <v>68</v>
      </c>
      <c r="D4866">
        <v>307</v>
      </c>
      <c r="E4866" s="10" t="s">
        <v>159</v>
      </c>
    </row>
    <row r="4867" spans="1:18" x14ac:dyDescent="0.35">
      <c r="A4867" s="2">
        <v>42874</v>
      </c>
      <c r="B4867" s="70" t="s">
        <v>38</v>
      </c>
      <c r="C4867">
        <v>66</v>
      </c>
      <c r="D4867">
        <v>284</v>
      </c>
      <c r="E4867" s="10" t="s">
        <v>159</v>
      </c>
    </row>
    <row r="4868" spans="1:18" x14ac:dyDescent="0.35">
      <c r="A4868" s="2">
        <v>42874</v>
      </c>
      <c r="B4868" s="70" t="s">
        <v>38</v>
      </c>
      <c r="C4868">
        <v>71</v>
      </c>
      <c r="D4868">
        <v>323</v>
      </c>
      <c r="E4868" s="10" t="s">
        <v>159</v>
      </c>
    </row>
    <row r="4869" spans="1:18" x14ac:dyDescent="0.35">
      <c r="A4869" s="2">
        <v>42874</v>
      </c>
      <c r="B4869" s="70" t="s">
        <v>38</v>
      </c>
      <c r="C4869">
        <v>76</v>
      </c>
      <c r="D4869">
        <v>340</v>
      </c>
      <c r="E4869" s="10" t="s">
        <v>37</v>
      </c>
    </row>
    <row r="4870" spans="1:18" x14ac:dyDescent="0.35">
      <c r="A4870" s="2">
        <v>42874</v>
      </c>
      <c r="B4870" s="70" t="s">
        <v>38</v>
      </c>
      <c r="C4870">
        <v>66</v>
      </c>
      <c r="D4870">
        <v>299</v>
      </c>
      <c r="E4870" s="10" t="s">
        <v>159</v>
      </c>
      <c r="H4870">
        <f>AVERAGE(C4821:C4870)</f>
        <v>68.599999999999994</v>
      </c>
      <c r="I4870">
        <f>AVERAGE(D4821:D4870)</f>
        <v>289.72000000000003</v>
      </c>
      <c r="K4870" t="e">
        <f>AVERAGE(#REF!)</f>
        <v>#REF!</v>
      </c>
      <c r="P4870" t="s">
        <v>32</v>
      </c>
      <c r="Q4870" t="s">
        <v>37</v>
      </c>
      <c r="R4870" t="s">
        <v>159</v>
      </c>
    </row>
    <row r="4871" spans="1:18" x14ac:dyDescent="0.35">
      <c r="A4871" s="2">
        <v>42874</v>
      </c>
      <c r="B4871" s="70" t="s">
        <v>38</v>
      </c>
      <c r="C4871">
        <v>153</v>
      </c>
      <c r="D4871">
        <v>5564</v>
      </c>
      <c r="E4871" s="10" t="s">
        <v>98</v>
      </c>
      <c r="P4871" s="5">
        <f>COUNTIF(E4821:E4873,"VIA4")</f>
        <v>3</v>
      </c>
      <c r="Q4871" s="5">
        <f>COUNTIF(E4821:E4873,"VIB")</f>
        <v>14</v>
      </c>
      <c r="R4871" s="5">
        <f>COUNTIF(E4821:E4875,"VII")</f>
        <v>33</v>
      </c>
    </row>
    <row r="4872" spans="1:18" x14ac:dyDescent="0.35">
      <c r="A4872" s="2">
        <v>42874</v>
      </c>
      <c r="B4872" s="70" t="s">
        <v>38</v>
      </c>
      <c r="C4872">
        <v>94</v>
      </c>
      <c r="D4872">
        <v>1071</v>
      </c>
      <c r="E4872" s="10" t="s">
        <v>98</v>
      </c>
      <c r="P4872" s="6">
        <f>P4871/50*100</f>
        <v>6</v>
      </c>
      <c r="Q4872" s="6">
        <f t="shared" ref="Q4872:R4872" si="145">Q4871/50*100</f>
        <v>28.000000000000004</v>
      </c>
      <c r="R4872" s="6">
        <f t="shared" si="145"/>
        <v>66</v>
      </c>
    </row>
    <row r="4873" spans="1:18" x14ac:dyDescent="0.35">
      <c r="A4873" s="2">
        <v>42874</v>
      </c>
      <c r="B4873" s="70" t="s">
        <v>38</v>
      </c>
      <c r="C4873">
        <v>132</v>
      </c>
      <c r="D4873">
        <v>3094</v>
      </c>
      <c r="E4873" s="10" t="s">
        <v>98</v>
      </c>
    </row>
    <row r="4874" spans="1:18" x14ac:dyDescent="0.35">
      <c r="A4874" s="2">
        <v>42874</v>
      </c>
      <c r="B4874" s="70" t="s">
        <v>38</v>
      </c>
      <c r="C4874">
        <v>162</v>
      </c>
      <c r="D4874">
        <v>5949</v>
      </c>
      <c r="E4874" s="10" t="s">
        <v>98</v>
      </c>
    </row>
    <row r="4875" spans="1:18" s="4" customFormat="1" x14ac:dyDescent="0.35">
      <c r="A4875" s="3">
        <v>42874</v>
      </c>
      <c r="B4875" s="44" t="s">
        <v>38</v>
      </c>
      <c r="C4875" s="4">
        <v>86</v>
      </c>
      <c r="D4875" s="4">
        <v>879</v>
      </c>
      <c r="E4875" s="11" t="s">
        <v>98</v>
      </c>
    </row>
    <row r="4876" spans="1:18" x14ac:dyDescent="0.35">
      <c r="A4876" s="2">
        <v>42874</v>
      </c>
      <c r="B4876" s="70" t="s">
        <v>29</v>
      </c>
      <c r="C4876" s="10">
        <v>68</v>
      </c>
      <c r="D4876" s="10">
        <v>229</v>
      </c>
      <c r="E4876" s="10" t="s">
        <v>37</v>
      </c>
      <c r="F4876" t="s">
        <v>553</v>
      </c>
    </row>
    <row r="4877" spans="1:18" x14ac:dyDescent="0.35">
      <c r="A4877" s="2">
        <v>42874</v>
      </c>
      <c r="B4877" s="70" t="s">
        <v>29</v>
      </c>
      <c r="C4877" s="10">
        <v>79</v>
      </c>
      <c r="D4877" s="10">
        <v>292</v>
      </c>
      <c r="E4877" s="10" t="s">
        <v>32</v>
      </c>
      <c r="F4877" t="s">
        <v>554</v>
      </c>
      <c r="H4877" t="s">
        <v>293</v>
      </c>
    </row>
    <row r="4878" spans="1:18" x14ac:dyDescent="0.35">
      <c r="A4878" s="2">
        <v>42874</v>
      </c>
      <c r="B4878" s="70" t="s">
        <v>29</v>
      </c>
      <c r="C4878" s="10">
        <v>67</v>
      </c>
      <c r="D4878" s="10">
        <v>197</v>
      </c>
      <c r="E4878" s="10" t="s">
        <v>37</v>
      </c>
      <c r="F4878" t="s">
        <v>555</v>
      </c>
    </row>
    <row r="4879" spans="1:18" x14ac:dyDescent="0.35">
      <c r="A4879" s="2">
        <v>42874</v>
      </c>
      <c r="B4879" s="70" t="s">
        <v>29</v>
      </c>
      <c r="C4879" s="10">
        <v>78</v>
      </c>
      <c r="D4879" s="10">
        <v>315</v>
      </c>
      <c r="E4879" s="10" t="s">
        <v>37</v>
      </c>
      <c r="F4879" t="s">
        <v>556</v>
      </c>
    </row>
    <row r="4880" spans="1:18" x14ac:dyDescent="0.35">
      <c r="A4880" s="2">
        <v>42874</v>
      </c>
      <c r="B4880" s="70" t="s">
        <v>29</v>
      </c>
      <c r="C4880" s="10">
        <v>67</v>
      </c>
      <c r="D4880" s="10">
        <v>232</v>
      </c>
      <c r="E4880" s="10" t="s">
        <v>159</v>
      </c>
      <c r="F4880" t="s">
        <v>557</v>
      </c>
    </row>
    <row r="4881" spans="1:8" x14ac:dyDescent="0.35">
      <c r="A4881" s="2">
        <v>42874</v>
      </c>
      <c r="B4881" s="70" t="s">
        <v>29</v>
      </c>
      <c r="C4881" s="10">
        <v>65</v>
      </c>
      <c r="D4881" s="10">
        <v>185</v>
      </c>
      <c r="E4881" s="10" t="s">
        <v>159</v>
      </c>
    </row>
    <row r="4882" spans="1:8" x14ac:dyDescent="0.35">
      <c r="A4882" s="2">
        <v>42874</v>
      </c>
      <c r="B4882" s="70" t="s">
        <v>29</v>
      </c>
      <c r="C4882" s="10">
        <v>78</v>
      </c>
      <c r="D4882" s="10">
        <v>275</v>
      </c>
      <c r="E4882" s="10" t="s">
        <v>32</v>
      </c>
      <c r="H4882" t="s">
        <v>293</v>
      </c>
    </row>
    <row r="4883" spans="1:8" x14ac:dyDescent="0.35">
      <c r="A4883" s="2">
        <v>42874</v>
      </c>
      <c r="B4883" s="70" t="s">
        <v>29</v>
      </c>
      <c r="C4883" s="10">
        <v>68</v>
      </c>
      <c r="D4883" s="10">
        <v>334</v>
      </c>
      <c r="E4883" s="10" t="s">
        <v>159</v>
      </c>
    </row>
    <row r="4884" spans="1:8" x14ac:dyDescent="0.35">
      <c r="A4884" s="2">
        <v>42874</v>
      </c>
      <c r="B4884" s="70" t="s">
        <v>29</v>
      </c>
      <c r="C4884" s="10">
        <v>66</v>
      </c>
      <c r="D4884" s="10">
        <v>244</v>
      </c>
      <c r="E4884" s="10" t="s">
        <v>37</v>
      </c>
    </row>
    <row r="4885" spans="1:8" x14ac:dyDescent="0.35">
      <c r="A4885" s="2">
        <v>42874</v>
      </c>
      <c r="B4885" s="70" t="s">
        <v>29</v>
      </c>
      <c r="C4885" s="10">
        <v>69</v>
      </c>
      <c r="D4885" s="10">
        <v>294</v>
      </c>
      <c r="E4885" s="10" t="s">
        <v>37</v>
      </c>
    </row>
    <row r="4886" spans="1:8" x14ac:dyDescent="0.35">
      <c r="A4886" s="2">
        <v>42874</v>
      </c>
      <c r="B4886" s="70" t="s">
        <v>29</v>
      </c>
      <c r="C4886" s="10">
        <v>62</v>
      </c>
      <c r="D4886" s="10">
        <v>199</v>
      </c>
      <c r="E4886" s="10" t="s">
        <v>37</v>
      </c>
    </row>
    <row r="4887" spans="1:8" x14ac:dyDescent="0.35">
      <c r="A4887" s="2">
        <v>42874</v>
      </c>
      <c r="B4887" s="70" t="s">
        <v>29</v>
      </c>
      <c r="C4887" s="10">
        <v>71</v>
      </c>
      <c r="D4887" s="10">
        <v>316</v>
      </c>
      <c r="E4887" s="10" t="s">
        <v>32</v>
      </c>
      <c r="H4887" t="s">
        <v>161</v>
      </c>
    </row>
    <row r="4888" spans="1:8" x14ac:dyDescent="0.35">
      <c r="A4888" s="2">
        <v>42874</v>
      </c>
      <c r="B4888" s="70" t="s">
        <v>29</v>
      </c>
      <c r="C4888" s="10">
        <v>70</v>
      </c>
      <c r="D4888" s="10">
        <v>288</v>
      </c>
      <c r="E4888" s="10" t="s">
        <v>159</v>
      </c>
    </row>
    <row r="4889" spans="1:8" x14ac:dyDescent="0.35">
      <c r="A4889" s="2">
        <v>42874</v>
      </c>
      <c r="B4889" s="70" t="s">
        <v>29</v>
      </c>
      <c r="C4889" s="10">
        <v>73</v>
      </c>
      <c r="D4889" s="10">
        <v>363</v>
      </c>
      <c r="E4889" s="10" t="s">
        <v>159</v>
      </c>
    </row>
    <row r="4890" spans="1:8" x14ac:dyDescent="0.35">
      <c r="A4890" s="2">
        <v>42874</v>
      </c>
      <c r="B4890" s="70" t="s">
        <v>29</v>
      </c>
      <c r="C4890" s="10">
        <v>65</v>
      </c>
      <c r="D4890" s="10">
        <v>223</v>
      </c>
      <c r="E4890" s="10" t="s">
        <v>159</v>
      </c>
    </row>
    <row r="4891" spans="1:8" x14ac:dyDescent="0.35">
      <c r="A4891" s="2">
        <v>42874</v>
      </c>
      <c r="B4891" s="70" t="s">
        <v>29</v>
      </c>
      <c r="C4891" s="10">
        <v>62</v>
      </c>
      <c r="D4891" s="10">
        <v>180</v>
      </c>
      <c r="E4891" s="10" t="s">
        <v>37</v>
      </c>
    </row>
    <row r="4892" spans="1:8" x14ac:dyDescent="0.35">
      <c r="A4892" s="2">
        <v>42874</v>
      </c>
      <c r="B4892" s="70" t="s">
        <v>29</v>
      </c>
      <c r="C4892" s="10">
        <v>66</v>
      </c>
      <c r="D4892" s="10">
        <v>237</v>
      </c>
      <c r="E4892" s="10" t="s">
        <v>159</v>
      </c>
    </row>
    <row r="4893" spans="1:8" x14ac:dyDescent="0.35">
      <c r="A4893" s="2">
        <v>42874</v>
      </c>
      <c r="B4893" s="70" t="s">
        <v>29</v>
      </c>
      <c r="C4893" s="10">
        <v>63</v>
      </c>
      <c r="D4893" s="10">
        <v>252</v>
      </c>
      <c r="E4893" s="10" t="s">
        <v>32</v>
      </c>
    </row>
    <row r="4894" spans="1:8" x14ac:dyDescent="0.35">
      <c r="A4894" s="2">
        <v>42874</v>
      </c>
      <c r="B4894" s="70" t="s">
        <v>29</v>
      </c>
      <c r="C4894" s="10">
        <v>62</v>
      </c>
      <c r="D4894" s="10">
        <v>207</v>
      </c>
      <c r="E4894" s="10" t="s">
        <v>37</v>
      </c>
    </row>
    <row r="4895" spans="1:8" x14ac:dyDescent="0.35">
      <c r="A4895" s="2">
        <v>42874</v>
      </c>
      <c r="B4895" s="70" t="s">
        <v>29</v>
      </c>
      <c r="C4895" s="10">
        <v>68</v>
      </c>
      <c r="D4895" s="10">
        <v>367</v>
      </c>
      <c r="E4895" s="10" t="s">
        <v>159</v>
      </c>
    </row>
    <row r="4896" spans="1:8" x14ac:dyDescent="0.35">
      <c r="A4896" s="2">
        <v>42874</v>
      </c>
      <c r="B4896" s="70" t="s">
        <v>29</v>
      </c>
      <c r="C4896" s="10">
        <v>71</v>
      </c>
      <c r="D4896" s="10">
        <v>349</v>
      </c>
      <c r="E4896" s="10" t="s">
        <v>159</v>
      </c>
    </row>
    <row r="4897" spans="1:5" x14ac:dyDescent="0.35">
      <c r="A4897" s="2">
        <v>42874</v>
      </c>
      <c r="B4897" s="70" t="s">
        <v>29</v>
      </c>
      <c r="C4897" s="10">
        <v>78</v>
      </c>
      <c r="D4897" s="10">
        <v>376</v>
      </c>
      <c r="E4897" s="10" t="s">
        <v>159</v>
      </c>
    </row>
    <row r="4898" spans="1:5" x14ac:dyDescent="0.35">
      <c r="A4898" s="2">
        <v>42874</v>
      </c>
      <c r="B4898" s="70" t="s">
        <v>29</v>
      </c>
      <c r="C4898" s="10">
        <v>68</v>
      </c>
      <c r="D4898" s="10">
        <v>259</v>
      </c>
      <c r="E4898" s="10" t="s">
        <v>37</v>
      </c>
    </row>
    <row r="4899" spans="1:5" x14ac:dyDescent="0.35">
      <c r="A4899" s="2">
        <v>42874</v>
      </c>
      <c r="B4899" s="70" t="s">
        <v>29</v>
      </c>
      <c r="C4899" s="10">
        <v>67</v>
      </c>
      <c r="D4899" s="10">
        <v>334</v>
      </c>
      <c r="E4899" s="10" t="s">
        <v>159</v>
      </c>
    </row>
    <row r="4900" spans="1:5" x14ac:dyDescent="0.35">
      <c r="A4900" s="2">
        <v>42874</v>
      </c>
      <c r="B4900" s="70" t="s">
        <v>29</v>
      </c>
      <c r="C4900" s="10">
        <v>67</v>
      </c>
      <c r="D4900" s="10">
        <v>257</v>
      </c>
      <c r="E4900" s="10" t="s">
        <v>37</v>
      </c>
    </row>
    <row r="4901" spans="1:5" x14ac:dyDescent="0.35">
      <c r="A4901" s="2">
        <v>42874</v>
      </c>
      <c r="B4901" s="70" t="s">
        <v>29</v>
      </c>
      <c r="C4901" s="10">
        <v>70</v>
      </c>
      <c r="D4901" s="10">
        <v>294</v>
      </c>
      <c r="E4901" s="10" t="s">
        <v>37</v>
      </c>
    </row>
    <row r="4902" spans="1:5" x14ac:dyDescent="0.35">
      <c r="A4902" s="2">
        <v>42874</v>
      </c>
      <c r="B4902" s="70" t="s">
        <v>29</v>
      </c>
      <c r="C4902" s="10">
        <v>73</v>
      </c>
      <c r="D4902" s="10">
        <v>330</v>
      </c>
      <c r="E4902" s="10" t="s">
        <v>159</v>
      </c>
    </row>
    <row r="4903" spans="1:5" x14ac:dyDescent="0.35">
      <c r="A4903" s="2">
        <v>42874</v>
      </c>
      <c r="B4903" s="70" t="s">
        <v>29</v>
      </c>
      <c r="C4903" s="10">
        <v>68</v>
      </c>
      <c r="D4903" s="10">
        <v>292</v>
      </c>
      <c r="E4903" s="10" t="s">
        <v>159</v>
      </c>
    </row>
    <row r="4904" spans="1:5" x14ac:dyDescent="0.35">
      <c r="A4904" s="2">
        <v>42874</v>
      </c>
      <c r="B4904" s="70" t="s">
        <v>29</v>
      </c>
      <c r="C4904" s="10">
        <v>74</v>
      </c>
      <c r="D4904" s="10">
        <v>334</v>
      </c>
      <c r="E4904" s="10" t="s">
        <v>32</v>
      </c>
    </row>
    <row r="4905" spans="1:5" x14ac:dyDescent="0.35">
      <c r="A4905" s="2">
        <v>42874</v>
      </c>
      <c r="B4905" s="70" t="s">
        <v>29</v>
      </c>
      <c r="C4905" s="10">
        <v>68</v>
      </c>
      <c r="D4905" s="10">
        <v>238</v>
      </c>
      <c r="E4905" s="10" t="s">
        <v>37</v>
      </c>
    </row>
    <row r="4906" spans="1:5" x14ac:dyDescent="0.35">
      <c r="A4906" s="2">
        <v>42874</v>
      </c>
      <c r="B4906" s="70" t="s">
        <v>29</v>
      </c>
      <c r="C4906" s="10">
        <v>66</v>
      </c>
      <c r="D4906" s="10">
        <v>224</v>
      </c>
      <c r="E4906" s="10" t="s">
        <v>37</v>
      </c>
    </row>
    <row r="4907" spans="1:5" x14ac:dyDescent="0.35">
      <c r="A4907" s="2">
        <v>42874</v>
      </c>
      <c r="B4907" s="70" t="s">
        <v>29</v>
      </c>
      <c r="C4907" s="10">
        <v>66</v>
      </c>
      <c r="D4907" s="10">
        <v>243</v>
      </c>
      <c r="E4907" s="10" t="s">
        <v>159</v>
      </c>
    </row>
    <row r="4908" spans="1:5" x14ac:dyDescent="0.35">
      <c r="A4908" s="2">
        <v>42874</v>
      </c>
      <c r="B4908" s="70" t="s">
        <v>29</v>
      </c>
      <c r="C4908" s="10">
        <v>72</v>
      </c>
      <c r="D4908" s="10">
        <v>353</v>
      </c>
      <c r="E4908" s="10" t="s">
        <v>37</v>
      </c>
    </row>
    <row r="4909" spans="1:5" x14ac:dyDescent="0.35">
      <c r="A4909" s="2">
        <v>42874</v>
      </c>
      <c r="B4909" s="70" t="s">
        <v>29</v>
      </c>
      <c r="C4909" s="10">
        <v>63</v>
      </c>
      <c r="D4909" s="10">
        <v>268</v>
      </c>
      <c r="E4909" s="10" t="s">
        <v>37</v>
      </c>
    </row>
    <row r="4910" spans="1:5" x14ac:dyDescent="0.35">
      <c r="A4910" s="2">
        <v>42874</v>
      </c>
      <c r="B4910" s="70" t="s">
        <v>29</v>
      </c>
      <c r="C4910" s="10">
        <v>68</v>
      </c>
      <c r="D4910" s="10">
        <v>285</v>
      </c>
      <c r="E4910" s="10" t="s">
        <v>37</v>
      </c>
    </row>
    <row r="4911" spans="1:5" x14ac:dyDescent="0.35">
      <c r="A4911" s="2">
        <v>42874</v>
      </c>
      <c r="B4911" s="70" t="s">
        <v>29</v>
      </c>
      <c r="C4911" s="10">
        <v>73</v>
      </c>
      <c r="D4911" s="10">
        <v>326</v>
      </c>
      <c r="E4911" s="10" t="s">
        <v>159</v>
      </c>
    </row>
    <row r="4912" spans="1:5" x14ac:dyDescent="0.35">
      <c r="A4912" s="2">
        <v>42874</v>
      </c>
      <c r="B4912" s="70" t="s">
        <v>29</v>
      </c>
      <c r="C4912" s="10">
        <v>66</v>
      </c>
      <c r="D4912" s="10">
        <v>237</v>
      </c>
      <c r="E4912" s="10" t="s">
        <v>37</v>
      </c>
    </row>
    <row r="4913" spans="1:17" x14ac:dyDescent="0.35">
      <c r="A4913" s="2">
        <v>42874</v>
      </c>
      <c r="B4913" s="70" t="s">
        <v>29</v>
      </c>
      <c r="C4913" s="10">
        <v>66</v>
      </c>
      <c r="D4913" s="10">
        <v>256</v>
      </c>
      <c r="E4913" s="10" t="s">
        <v>37</v>
      </c>
    </row>
    <row r="4914" spans="1:17" x14ac:dyDescent="0.35">
      <c r="A4914" s="2">
        <v>42874</v>
      </c>
      <c r="B4914" s="70" t="s">
        <v>29</v>
      </c>
      <c r="C4914" s="10">
        <v>68</v>
      </c>
      <c r="D4914" s="10">
        <v>218</v>
      </c>
      <c r="E4914" s="10" t="s">
        <v>159</v>
      </c>
    </row>
    <row r="4915" spans="1:17" x14ac:dyDescent="0.35">
      <c r="A4915" s="2">
        <v>42874</v>
      </c>
      <c r="B4915" s="70" t="s">
        <v>29</v>
      </c>
      <c r="C4915" s="10">
        <v>63</v>
      </c>
      <c r="D4915" s="10">
        <v>155</v>
      </c>
      <c r="E4915" s="10" t="s">
        <v>32</v>
      </c>
      <c r="F4915" t="s">
        <v>293</v>
      </c>
    </row>
    <row r="4916" spans="1:17" x14ac:dyDescent="0.35">
      <c r="A4916" s="2">
        <v>42874</v>
      </c>
      <c r="B4916" s="70" t="s">
        <v>29</v>
      </c>
      <c r="C4916" s="10">
        <v>68</v>
      </c>
      <c r="D4916" s="10">
        <v>249</v>
      </c>
      <c r="E4916" s="10" t="s">
        <v>37</v>
      </c>
    </row>
    <row r="4917" spans="1:17" x14ac:dyDescent="0.35">
      <c r="A4917" s="2">
        <v>42874</v>
      </c>
      <c r="B4917" s="70" t="s">
        <v>29</v>
      </c>
      <c r="C4917" s="10">
        <v>73</v>
      </c>
      <c r="D4917" s="10">
        <v>355</v>
      </c>
      <c r="E4917" s="10" t="s">
        <v>159</v>
      </c>
    </row>
    <row r="4918" spans="1:17" x14ac:dyDescent="0.35">
      <c r="A4918" s="2">
        <v>42874</v>
      </c>
      <c r="B4918" s="70" t="s">
        <v>29</v>
      </c>
      <c r="C4918" s="10">
        <v>64</v>
      </c>
      <c r="D4918" s="10">
        <v>252</v>
      </c>
      <c r="E4918" s="10" t="s">
        <v>159</v>
      </c>
    </row>
    <row r="4919" spans="1:17" x14ac:dyDescent="0.35">
      <c r="A4919" s="2">
        <v>42874</v>
      </c>
      <c r="B4919" s="70" t="s">
        <v>29</v>
      </c>
      <c r="C4919" s="10">
        <v>68</v>
      </c>
      <c r="D4919" s="10">
        <v>286</v>
      </c>
      <c r="E4919" s="10" t="s">
        <v>159</v>
      </c>
    </row>
    <row r="4920" spans="1:17" x14ac:dyDescent="0.35">
      <c r="A4920" s="2">
        <v>42874</v>
      </c>
      <c r="B4920" s="70" t="s">
        <v>29</v>
      </c>
      <c r="C4920" s="10">
        <v>65</v>
      </c>
      <c r="D4920" s="10">
        <v>220</v>
      </c>
      <c r="E4920" s="10" t="s">
        <v>37</v>
      </c>
    </row>
    <row r="4921" spans="1:17" x14ac:dyDescent="0.35">
      <c r="A4921" s="2">
        <v>42874</v>
      </c>
      <c r="B4921" s="70" t="s">
        <v>29</v>
      </c>
      <c r="C4921" s="10">
        <v>67</v>
      </c>
      <c r="D4921" s="10">
        <v>262</v>
      </c>
      <c r="E4921" s="10" t="s">
        <v>159</v>
      </c>
    </row>
    <row r="4922" spans="1:17" x14ac:dyDescent="0.35">
      <c r="A4922" s="2">
        <v>42874</v>
      </c>
      <c r="B4922" s="70" t="s">
        <v>29</v>
      </c>
      <c r="C4922" s="10">
        <v>62</v>
      </c>
      <c r="D4922" s="10">
        <v>237</v>
      </c>
      <c r="E4922" s="10" t="s">
        <v>37</v>
      </c>
    </row>
    <row r="4923" spans="1:17" x14ac:dyDescent="0.35">
      <c r="A4923" s="2">
        <v>42874</v>
      </c>
      <c r="B4923" s="70" t="s">
        <v>29</v>
      </c>
      <c r="C4923" s="10">
        <v>62</v>
      </c>
      <c r="D4923" s="10">
        <v>196</v>
      </c>
      <c r="E4923" s="10" t="s">
        <v>159</v>
      </c>
    </row>
    <row r="4924" spans="1:17" x14ac:dyDescent="0.35">
      <c r="A4924" s="2">
        <v>42874</v>
      </c>
      <c r="B4924" s="70" t="s">
        <v>29</v>
      </c>
      <c r="C4924" s="10">
        <v>69</v>
      </c>
      <c r="D4924" s="10">
        <v>318</v>
      </c>
      <c r="E4924" s="10" t="s">
        <v>159</v>
      </c>
    </row>
    <row r="4925" spans="1:17" x14ac:dyDescent="0.35">
      <c r="A4925" s="2">
        <v>42874</v>
      </c>
      <c r="B4925" s="70" t="s">
        <v>29</v>
      </c>
      <c r="C4925" s="10">
        <v>63</v>
      </c>
      <c r="D4925" s="10">
        <v>237</v>
      </c>
      <c r="E4925" s="10" t="s">
        <v>159</v>
      </c>
    </row>
    <row r="4926" spans="1:17" x14ac:dyDescent="0.35">
      <c r="A4926" s="2">
        <v>42874</v>
      </c>
      <c r="B4926" s="70" t="s">
        <v>29</v>
      </c>
      <c r="C4926" s="10">
        <v>66</v>
      </c>
      <c r="D4926" s="10">
        <v>255</v>
      </c>
      <c r="E4926" s="10" t="s">
        <v>159</v>
      </c>
      <c r="G4926">
        <f>AVERAGE(C4876:C4926)</f>
        <v>68.019607843137251</v>
      </c>
      <c r="H4926">
        <f>AVERAGE(D4876:D4926)</f>
        <v>269.0980392156863</v>
      </c>
      <c r="J4926" t="e">
        <f>AVERAGE(#REF!)</f>
        <v>#REF!</v>
      </c>
      <c r="O4926" t="s">
        <v>32</v>
      </c>
      <c r="P4926" t="s">
        <v>37</v>
      </c>
      <c r="Q4926" t="s">
        <v>159</v>
      </c>
    </row>
    <row r="4927" spans="1:17" x14ac:dyDescent="0.35">
      <c r="A4927" s="2">
        <v>42874</v>
      </c>
      <c r="B4927" s="70" t="s">
        <v>29</v>
      </c>
      <c r="C4927" s="10">
        <v>148</v>
      </c>
      <c r="D4927" s="10">
        <v>4356</v>
      </c>
      <c r="E4927" s="10" t="s">
        <v>98</v>
      </c>
      <c r="G4927">
        <f>AVERAGE(C4927:C4936)</f>
        <v>130.19999999999999</v>
      </c>
      <c r="H4927">
        <f>AVERAGE(D4927:D4936)</f>
        <v>3503</v>
      </c>
      <c r="O4927" s="5">
        <f>COUNTIF(E4876:E4929,"VIA4")</f>
        <v>6</v>
      </c>
      <c r="P4927" s="5">
        <f>COUNTIF(E4876:E4929,"VIB")</f>
        <v>21</v>
      </c>
      <c r="Q4927" s="5">
        <f>COUNTIF(E4876:E4931,"VII")</f>
        <v>24</v>
      </c>
    </row>
    <row r="4928" spans="1:17" x14ac:dyDescent="0.35">
      <c r="A4928" s="2">
        <v>42874</v>
      </c>
      <c r="B4928" s="70" t="s">
        <v>29</v>
      </c>
      <c r="C4928" s="10">
        <v>187</v>
      </c>
      <c r="D4928" s="10">
        <v>8025</v>
      </c>
      <c r="E4928" s="10" t="s">
        <v>98</v>
      </c>
      <c r="O4928" s="6">
        <f>O4927/51*100</f>
        <v>11.76470588235294</v>
      </c>
      <c r="P4928" s="6">
        <f t="shared" ref="P4928:Q4928" si="146">P4927/51*100</f>
        <v>41.17647058823529</v>
      </c>
      <c r="Q4928" s="6">
        <f t="shared" si="146"/>
        <v>47.058823529411761</v>
      </c>
    </row>
    <row r="4929" spans="1:9" x14ac:dyDescent="0.35">
      <c r="A4929" s="2">
        <v>42874</v>
      </c>
      <c r="B4929" s="70" t="s">
        <v>29</v>
      </c>
      <c r="C4929" s="10">
        <v>94</v>
      </c>
      <c r="D4929" s="10">
        <v>772</v>
      </c>
      <c r="E4929" s="10" t="s">
        <v>98</v>
      </c>
    </row>
    <row r="4930" spans="1:9" x14ac:dyDescent="0.35">
      <c r="A4930" s="2">
        <v>42874</v>
      </c>
      <c r="B4930" s="70" t="s">
        <v>29</v>
      </c>
      <c r="C4930" s="10">
        <v>110</v>
      </c>
      <c r="D4930" s="10">
        <v>1808</v>
      </c>
      <c r="E4930" s="10" t="s">
        <v>98</v>
      </c>
      <c r="G4930">
        <f>AVERAGE(C4927:C4936,C4871:C4875)</f>
        <v>128.6</v>
      </c>
      <c r="H4930">
        <f>AVERAGE(D4927:D4936,D4871:D4875)</f>
        <v>3439.1333333333332</v>
      </c>
    </row>
    <row r="4931" spans="1:9" x14ac:dyDescent="0.35">
      <c r="A4931" s="2">
        <v>42874</v>
      </c>
      <c r="B4931" s="70" t="s">
        <v>29</v>
      </c>
      <c r="C4931" s="10">
        <v>185</v>
      </c>
      <c r="D4931" s="10">
        <v>9056</v>
      </c>
      <c r="E4931" s="10" t="s">
        <v>98</v>
      </c>
    </row>
    <row r="4932" spans="1:9" x14ac:dyDescent="0.35">
      <c r="A4932" s="2">
        <v>42874</v>
      </c>
      <c r="B4932" s="70" t="s">
        <v>29</v>
      </c>
      <c r="C4932" s="10">
        <v>135</v>
      </c>
      <c r="D4932" s="10">
        <v>3213</v>
      </c>
      <c r="E4932" s="10" t="s">
        <v>98</v>
      </c>
    </row>
    <row r="4933" spans="1:9" x14ac:dyDescent="0.35">
      <c r="A4933" s="2">
        <v>42874</v>
      </c>
      <c r="B4933" s="70" t="s">
        <v>29</v>
      </c>
      <c r="C4933" s="10">
        <v>130</v>
      </c>
      <c r="D4933" s="10">
        <v>2394</v>
      </c>
      <c r="E4933" s="10" t="s">
        <v>98</v>
      </c>
    </row>
    <row r="4934" spans="1:9" x14ac:dyDescent="0.35">
      <c r="A4934" s="2">
        <v>42874</v>
      </c>
      <c r="B4934" s="70" t="s">
        <v>29</v>
      </c>
      <c r="C4934" s="10">
        <v>133</v>
      </c>
      <c r="D4934" s="10">
        <v>3432</v>
      </c>
      <c r="E4934" s="10" t="s">
        <v>98</v>
      </c>
    </row>
    <row r="4935" spans="1:9" x14ac:dyDescent="0.35">
      <c r="A4935" s="2">
        <v>42874</v>
      </c>
      <c r="B4935" s="70" t="s">
        <v>29</v>
      </c>
      <c r="C4935" s="10">
        <v>93</v>
      </c>
      <c r="D4935" s="10">
        <v>1067</v>
      </c>
      <c r="E4935" s="10" t="s">
        <v>98</v>
      </c>
      <c r="H4935" s="42" t="e">
        <f>AVERAGE(#REF!)</f>
        <v>#REF!</v>
      </c>
      <c r="I4935" s="42" t="e">
        <f>AVERAGE(#REF!,F4871:F4875)</f>
        <v>#REF!</v>
      </c>
    </row>
    <row r="4936" spans="1:9" s="4" customFormat="1" x14ac:dyDescent="0.35">
      <c r="A4936" s="3">
        <v>42874</v>
      </c>
      <c r="B4936" s="44" t="s">
        <v>29</v>
      </c>
      <c r="C4936" s="11">
        <v>87</v>
      </c>
      <c r="D4936" s="11">
        <v>907</v>
      </c>
      <c r="E4936" s="11" t="s">
        <v>98</v>
      </c>
    </row>
    <row r="4937" spans="1:9" x14ac:dyDescent="0.35">
      <c r="A4937" s="2">
        <v>42874</v>
      </c>
      <c r="B4937" s="70" t="s">
        <v>63</v>
      </c>
      <c r="C4937" s="10">
        <v>68</v>
      </c>
      <c r="D4937" s="10">
        <v>296</v>
      </c>
      <c r="E4937" s="10" t="s">
        <v>159</v>
      </c>
    </row>
    <row r="4938" spans="1:9" x14ac:dyDescent="0.35">
      <c r="A4938" s="2">
        <v>42874</v>
      </c>
      <c r="B4938" s="70" t="s">
        <v>63</v>
      </c>
      <c r="C4938" s="10">
        <v>68</v>
      </c>
      <c r="D4938" s="10">
        <v>387</v>
      </c>
      <c r="E4938" s="10" t="s">
        <v>159</v>
      </c>
    </row>
    <row r="4939" spans="1:9" x14ac:dyDescent="0.35">
      <c r="A4939" s="2">
        <v>42874</v>
      </c>
      <c r="B4939" s="70" t="s">
        <v>63</v>
      </c>
      <c r="C4939" s="10">
        <v>74</v>
      </c>
      <c r="D4939" s="10">
        <v>399</v>
      </c>
      <c r="E4939" s="10" t="s">
        <v>159</v>
      </c>
    </row>
    <row r="4940" spans="1:9" x14ac:dyDescent="0.35">
      <c r="A4940" s="2">
        <v>42874</v>
      </c>
      <c r="B4940" s="70" t="s">
        <v>63</v>
      </c>
      <c r="C4940" s="10">
        <v>107</v>
      </c>
      <c r="D4940" s="10">
        <v>1993</v>
      </c>
      <c r="E4940" s="10" t="s">
        <v>98</v>
      </c>
    </row>
    <row r="4941" spans="1:9" s="4" customFormat="1" x14ac:dyDescent="0.35">
      <c r="A4941" s="3">
        <v>42874</v>
      </c>
      <c r="B4941" s="44" t="s">
        <v>63</v>
      </c>
      <c r="C4941" s="11">
        <v>122</v>
      </c>
      <c r="D4941" s="4">
        <v>2416</v>
      </c>
      <c r="E4941" s="4" t="s">
        <v>98</v>
      </c>
    </row>
    <row r="4942" spans="1:9" x14ac:dyDescent="0.35">
      <c r="A4942" s="2">
        <v>42874</v>
      </c>
      <c r="B4942" s="70" t="s">
        <v>103</v>
      </c>
      <c r="C4942" s="10">
        <v>63</v>
      </c>
      <c r="D4942" s="10">
        <v>262</v>
      </c>
      <c r="E4942" s="10" t="s">
        <v>159</v>
      </c>
      <c r="F4942" t="s">
        <v>564</v>
      </c>
    </row>
    <row r="4943" spans="1:9" x14ac:dyDescent="0.35">
      <c r="A4943" s="2">
        <v>42874</v>
      </c>
      <c r="B4943" s="70" t="s">
        <v>103</v>
      </c>
      <c r="C4943" s="10">
        <v>77</v>
      </c>
      <c r="D4943" s="10">
        <v>466</v>
      </c>
      <c r="E4943" s="10" t="s">
        <v>159</v>
      </c>
      <c r="F4943" t="s">
        <v>559</v>
      </c>
    </row>
    <row r="4944" spans="1:9" x14ac:dyDescent="0.35">
      <c r="A4944" s="2">
        <v>42874</v>
      </c>
      <c r="B4944" s="70" t="s">
        <v>103</v>
      </c>
      <c r="C4944" s="10">
        <v>75</v>
      </c>
      <c r="D4944" s="10">
        <v>529</v>
      </c>
      <c r="E4944" s="10" t="s">
        <v>159</v>
      </c>
      <c r="F4944" t="s">
        <v>560</v>
      </c>
    </row>
    <row r="4945" spans="1:6" x14ac:dyDescent="0.35">
      <c r="A4945" s="2">
        <v>42874</v>
      </c>
      <c r="B4945" s="70" t="s">
        <v>103</v>
      </c>
      <c r="C4945" s="10">
        <v>67</v>
      </c>
      <c r="D4945" s="10">
        <v>375</v>
      </c>
      <c r="E4945" s="10" t="s">
        <v>159</v>
      </c>
      <c r="F4945" t="s">
        <v>561</v>
      </c>
    </row>
    <row r="4946" spans="1:6" x14ac:dyDescent="0.35">
      <c r="A4946" s="2">
        <v>42874</v>
      </c>
      <c r="B4946" s="70" t="s">
        <v>103</v>
      </c>
      <c r="C4946" s="10">
        <v>68</v>
      </c>
      <c r="D4946" s="10">
        <v>339</v>
      </c>
      <c r="E4946" s="10" t="s">
        <v>159</v>
      </c>
      <c r="F4946" t="s">
        <v>562</v>
      </c>
    </row>
    <row r="4947" spans="1:6" x14ac:dyDescent="0.35">
      <c r="A4947" s="2">
        <v>42874</v>
      </c>
      <c r="B4947" s="70" t="s">
        <v>103</v>
      </c>
      <c r="C4947" s="10">
        <v>72</v>
      </c>
      <c r="D4947" s="10">
        <v>420</v>
      </c>
      <c r="E4947" s="10" t="s">
        <v>159</v>
      </c>
      <c r="F4947" t="s">
        <v>563</v>
      </c>
    </row>
    <row r="4948" spans="1:6" x14ac:dyDescent="0.35">
      <c r="A4948" s="2">
        <v>42874</v>
      </c>
      <c r="B4948" s="70" t="s">
        <v>103</v>
      </c>
      <c r="C4948" s="10">
        <v>70</v>
      </c>
      <c r="D4948" s="10">
        <v>416</v>
      </c>
      <c r="E4948" s="10" t="s">
        <v>159</v>
      </c>
    </row>
    <row r="4949" spans="1:6" x14ac:dyDescent="0.35">
      <c r="A4949" s="2">
        <v>42874</v>
      </c>
      <c r="B4949" s="70" t="s">
        <v>103</v>
      </c>
      <c r="C4949" s="10">
        <v>64</v>
      </c>
      <c r="D4949" s="10">
        <v>300</v>
      </c>
      <c r="E4949" s="10" t="s">
        <v>37</v>
      </c>
    </row>
    <row r="4950" spans="1:6" x14ac:dyDescent="0.35">
      <c r="A4950" s="2">
        <v>42874</v>
      </c>
      <c r="B4950" s="70" t="s">
        <v>103</v>
      </c>
      <c r="C4950" s="10">
        <v>72</v>
      </c>
      <c r="D4950" s="10">
        <v>475</v>
      </c>
      <c r="E4950" s="10" t="s">
        <v>159</v>
      </c>
    </row>
    <row r="4951" spans="1:6" x14ac:dyDescent="0.35">
      <c r="A4951" s="2">
        <v>42874</v>
      </c>
      <c r="B4951" s="70" t="s">
        <v>103</v>
      </c>
      <c r="C4951" s="10">
        <v>73</v>
      </c>
      <c r="D4951" s="10">
        <v>436</v>
      </c>
      <c r="E4951" s="10" t="s">
        <v>159</v>
      </c>
    </row>
    <row r="4952" spans="1:6" x14ac:dyDescent="0.35">
      <c r="A4952" s="2">
        <v>42874</v>
      </c>
      <c r="B4952" s="70" t="s">
        <v>103</v>
      </c>
      <c r="C4952" s="10">
        <v>67</v>
      </c>
      <c r="D4952" s="10">
        <v>325</v>
      </c>
      <c r="E4952" s="10" t="s">
        <v>159</v>
      </c>
    </row>
    <row r="4953" spans="1:6" x14ac:dyDescent="0.35">
      <c r="A4953" s="2">
        <v>42874</v>
      </c>
      <c r="B4953" s="70" t="s">
        <v>103</v>
      </c>
      <c r="C4953" s="10">
        <v>76</v>
      </c>
      <c r="D4953" s="10">
        <v>493</v>
      </c>
      <c r="E4953" s="10" t="s">
        <v>159</v>
      </c>
    </row>
    <row r="4954" spans="1:6" s="4" customFormat="1" x14ac:dyDescent="0.35">
      <c r="A4954" s="3">
        <v>42874</v>
      </c>
      <c r="B4954" s="44" t="s">
        <v>103</v>
      </c>
      <c r="C4954" s="11">
        <v>118</v>
      </c>
      <c r="D4954" s="11">
        <v>2554</v>
      </c>
      <c r="E4954" s="11" t="s">
        <v>98</v>
      </c>
    </row>
    <row r="4955" spans="1:6" x14ac:dyDescent="0.35">
      <c r="A4955" s="2">
        <v>42874</v>
      </c>
      <c r="B4955" s="70" t="s">
        <v>102</v>
      </c>
      <c r="C4955" s="10">
        <v>68</v>
      </c>
      <c r="D4955" s="10">
        <v>368</v>
      </c>
      <c r="E4955" s="10" t="s">
        <v>159</v>
      </c>
      <c r="F4955" t="s">
        <v>565</v>
      </c>
    </row>
    <row r="4956" spans="1:6" x14ac:dyDescent="0.35">
      <c r="A4956" s="2">
        <v>42874</v>
      </c>
      <c r="B4956" s="70" t="s">
        <v>102</v>
      </c>
      <c r="C4956" s="10">
        <v>67</v>
      </c>
      <c r="D4956" s="10">
        <v>362</v>
      </c>
      <c r="E4956" s="10" t="s">
        <v>37</v>
      </c>
      <c r="F4956" t="s">
        <v>566</v>
      </c>
    </row>
    <row r="4957" spans="1:6" x14ac:dyDescent="0.35">
      <c r="A4957" s="2">
        <v>42874</v>
      </c>
      <c r="B4957" s="70" t="s">
        <v>102</v>
      </c>
      <c r="C4957" s="10">
        <v>73</v>
      </c>
      <c r="D4957" s="10">
        <v>406</v>
      </c>
      <c r="E4957" s="10" t="s">
        <v>159</v>
      </c>
      <c r="F4957" t="s">
        <v>567</v>
      </c>
    </row>
    <row r="4958" spans="1:6" x14ac:dyDescent="0.35">
      <c r="A4958" s="2">
        <v>42874</v>
      </c>
      <c r="B4958" s="70" t="s">
        <v>102</v>
      </c>
      <c r="C4958" s="10">
        <v>68</v>
      </c>
      <c r="D4958" s="10">
        <v>409</v>
      </c>
      <c r="E4958" s="10" t="s">
        <v>159</v>
      </c>
      <c r="F4958" t="s">
        <v>568</v>
      </c>
    </row>
    <row r="4959" spans="1:6" x14ac:dyDescent="0.35">
      <c r="A4959" s="2">
        <v>42874</v>
      </c>
      <c r="B4959" s="70" t="s">
        <v>102</v>
      </c>
      <c r="C4959" s="10">
        <v>72</v>
      </c>
      <c r="D4959" s="10">
        <v>483</v>
      </c>
      <c r="E4959" s="10" t="s">
        <v>159</v>
      </c>
      <c r="F4959" t="s">
        <v>569</v>
      </c>
    </row>
    <row r="4960" spans="1:6" x14ac:dyDescent="0.35">
      <c r="A4960" s="2">
        <v>42874</v>
      </c>
      <c r="B4960" s="70" t="s">
        <v>102</v>
      </c>
      <c r="C4960" s="10">
        <v>78</v>
      </c>
      <c r="D4960" s="10">
        <v>530</v>
      </c>
      <c r="E4960" s="10" t="s">
        <v>159</v>
      </c>
      <c r="F4960" t="s">
        <v>564</v>
      </c>
    </row>
    <row r="4961" spans="1:5" x14ac:dyDescent="0.35">
      <c r="A4961" s="2">
        <v>42874</v>
      </c>
      <c r="B4961" s="70" t="s">
        <v>102</v>
      </c>
      <c r="C4961" s="10">
        <v>74</v>
      </c>
      <c r="D4961" s="10">
        <v>456</v>
      </c>
      <c r="E4961" s="10" t="s">
        <v>159</v>
      </c>
    </row>
    <row r="4962" spans="1:5" x14ac:dyDescent="0.35">
      <c r="A4962" s="2">
        <v>42874</v>
      </c>
      <c r="B4962" s="70" t="s">
        <v>102</v>
      </c>
      <c r="C4962" s="10">
        <v>67</v>
      </c>
      <c r="D4962" s="10">
        <v>292</v>
      </c>
      <c r="E4962" s="10" t="s">
        <v>159</v>
      </c>
    </row>
    <row r="4963" spans="1:5" x14ac:dyDescent="0.35">
      <c r="A4963" s="2">
        <v>42874</v>
      </c>
      <c r="B4963" s="70" t="s">
        <v>102</v>
      </c>
      <c r="C4963" s="10">
        <v>72</v>
      </c>
      <c r="D4963" s="10">
        <v>402</v>
      </c>
      <c r="E4963" s="10" t="s">
        <v>37</v>
      </c>
    </row>
    <row r="4964" spans="1:5" x14ac:dyDescent="0.35">
      <c r="A4964" s="2">
        <v>42874</v>
      </c>
      <c r="B4964" s="70" t="s">
        <v>102</v>
      </c>
      <c r="C4964" s="10">
        <v>66</v>
      </c>
      <c r="D4964" s="10">
        <v>313</v>
      </c>
      <c r="E4964" s="10" t="s">
        <v>159</v>
      </c>
    </row>
    <row r="4965" spans="1:5" s="4" customFormat="1" x14ac:dyDescent="0.35">
      <c r="A4965" s="3">
        <v>42874</v>
      </c>
      <c r="B4965" s="44" t="s">
        <v>102</v>
      </c>
      <c r="C4965" s="11">
        <v>115</v>
      </c>
      <c r="D4965" s="11">
        <v>1938</v>
      </c>
      <c r="E4965" s="11" t="s">
        <v>98</v>
      </c>
    </row>
    <row r="4966" spans="1:5" x14ac:dyDescent="0.35">
      <c r="A4966" s="2">
        <v>42874</v>
      </c>
      <c r="B4966" s="70" t="s">
        <v>113</v>
      </c>
      <c r="C4966" s="10">
        <v>70</v>
      </c>
      <c r="D4966" s="10">
        <v>462</v>
      </c>
      <c r="E4966" s="10" t="s">
        <v>159</v>
      </c>
    </row>
    <row r="4967" spans="1:5" x14ac:dyDescent="0.35">
      <c r="A4967" s="2">
        <v>42874</v>
      </c>
      <c r="B4967" s="70" t="s">
        <v>113</v>
      </c>
      <c r="C4967" s="10">
        <v>68</v>
      </c>
      <c r="D4967" s="10">
        <v>319</v>
      </c>
      <c r="E4967" s="10" t="s">
        <v>159</v>
      </c>
    </row>
    <row r="4968" spans="1:5" x14ac:dyDescent="0.35">
      <c r="A4968" s="2">
        <v>42874</v>
      </c>
      <c r="B4968" s="70" t="s">
        <v>113</v>
      </c>
      <c r="C4968" s="10">
        <v>69</v>
      </c>
      <c r="D4968" s="10">
        <v>312</v>
      </c>
      <c r="E4968" s="10" t="s">
        <v>159</v>
      </c>
    </row>
    <row r="4969" spans="1:5" x14ac:dyDescent="0.35">
      <c r="A4969" s="2">
        <v>42874</v>
      </c>
      <c r="B4969" s="70" t="s">
        <v>113</v>
      </c>
      <c r="C4969" s="10">
        <v>66</v>
      </c>
      <c r="D4969" s="10">
        <v>352</v>
      </c>
      <c r="E4969" s="10" t="s">
        <v>159</v>
      </c>
    </row>
    <row r="4970" spans="1:5" x14ac:dyDescent="0.35">
      <c r="A4970" s="2">
        <v>42874</v>
      </c>
      <c r="B4970" s="70" t="s">
        <v>113</v>
      </c>
      <c r="C4970" s="10">
        <v>68</v>
      </c>
      <c r="D4970" s="10">
        <v>424</v>
      </c>
      <c r="E4970" s="10" t="s">
        <v>159</v>
      </c>
    </row>
    <row r="4971" spans="1:5" x14ac:dyDescent="0.35">
      <c r="A4971" s="2">
        <v>42874</v>
      </c>
      <c r="B4971" s="70" t="s">
        <v>113</v>
      </c>
      <c r="C4971" s="10">
        <v>74</v>
      </c>
      <c r="D4971" s="10">
        <v>466</v>
      </c>
      <c r="E4971" s="10" t="s">
        <v>159</v>
      </c>
    </row>
    <row r="4972" spans="1:5" x14ac:dyDescent="0.35">
      <c r="A4972" s="2">
        <v>42874</v>
      </c>
      <c r="B4972" s="70" t="s">
        <v>113</v>
      </c>
      <c r="C4972" s="10">
        <v>68</v>
      </c>
      <c r="D4972" s="10">
        <v>278</v>
      </c>
      <c r="E4972" s="10" t="s">
        <v>32</v>
      </c>
    </row>
    <row r="4973" spans="1:5" x14ac:dyDescent="0.35">
      <c r="A4973" s="2">
        <v>42874</v>
      </c>
      <c r="B4973" s="70" t="s">
        <v>113</v>
      </c>
      <c r="C4973" s="10">
        <v>73</v>
      </c>
      <c r="D4973" s="10">
        <v>412</v>
      </c>
      <c r="E4973" s="10" t="s">
        <v>159</v>
      </c>
    </row>
    <row r="4974" spans="1:5" x14ac:dyDescent="0.35">
      <c r="A4974" s="2">
        <v>42874</v>
      </c>
      <c r="B4974" s="70" t="s">
        <v>113</v>
      </c>
      <c r="C4974" s="10">
        <v>72</v>
      </c>
      <c r="D4974" s="10">
        <v>434</v>
      </c>
      <c r="E4974" s="10" t="s">
        <v>159</v>
      </c>
    </row>
    <row r="4975" spans="1:5" x14ac:dyDescent="0.35">
      <c r="A4975" s="2">
        <v>42874</v>
      </c>
      <c r="B4975" s="70" t="s">
        <v>113</v>
      </c>
      <c r="C4975" s="10">
        <v>67</v>
      </c>
      <c r="D4975" s="10">
        <v>395</v>
      </c>
      <c r="E4975" s="10" t="s">
        <v>159</v>
      </c>
    </row>
    <row r="4976" spans="1:5" s="4" customFormat="1" x14ac:dyDescent="0.35">
      <c r="A4976" s="3">
        <v>42874</v>
      </c>
      <c r="B4976" s="44" t="s">
        <v>113</v>
      </c>
      <c r="C4976" s="11">
        <v>109</v>
      </c>
      <c r="D4976" s="11">
        <v>1973</v>
      </c>
      <c r="E4976" s="11" t="s">
        <v>98</v>
      </c>
    </row>
    <row r="4977" spans="1:6" x14ac:dyDescent="0.35">
      <c r="A4977" s="2">
        <v>42874</v>
      </c>
      <c r="B4977" s="70" t="s">
        <v>66</v>
      </c>
      <c r="C4977" s="10">
        <v>67</v>
      </c>
      <c r="D4977" s="10">
        <v>305</v>
      </c>
      <c r="E4977" s="10" t="s">
        <v>159</v>
      </c>
    </row>
    <row r="4978" spans="1:6" x14ac:dyDescent="0.35">
      <c r="A4978" s="2">
        <v>42874</v>
      </c>
      <c r="B4978" s="70" t="s">
        <v>66</v>
      </c>
      <c r="C4978" s="10">
        <v>62</v>
      </c>
      <c r="D4978" s="10">
        <v>173</v>
      </c>
      <c r="E4978" s="10" t="s">
        <v>37</v>
      </c>
    </row>
    <row r="4979" spans="1:6" x14ac:dyDescent="0.35">
      <c r="A4979" s="2">
        <v>42874</v>
      </c>
      <c r="B4979" s="70" t="s">
        <v>66</v>
      </c>
      <c r="C4979" s="10">
        <v>68</v>
      </c>
      <c r="D4979" s="10">
        <v>358</v>
      </c>
      <c r="E4979" s="10" t="s">
        <v>159</v>
      </c>
    </row>
    <row r="4980" spans="1:6" x14ac:dyDescent="0.35">
      <c r="A4980" s="2">
        <v>42874</v>
      </c>
      <c r="B4980" s="70" t="s">
        <v>66</v>
      </c>
      <c r="C4980" s="10">
        <v>67</v>
      </c>
      <c r="D4980" s="10">
        <v>272</v>
      </c>
      <c r="E4980" s="10" t="s">
        <v>159</v>
      </c>
    </row>
    <row r="4981" spans="1:6" x14ac:dyDescent="0.35">
      <c r="A4981" s="2">
        <v>42874</v>
      </c>
      <c r="B4981" s="70" t="s">
        <v>66</v>
      </c>
      <c r="C4981" s="10">
        <v>76</v>
      </c>
      <c r="D4981" s="10">
        <v>467</v>
      </c>
      <c r="E4981" s="10" t="s">
        <v>159</v>
      </c>
    </row>
    <row r="4982" spans="1:6" x14ac:dyDescent="0.35">
      <c r="A4982" s="2">
        <v>42874</v>
      </c>
      <c r="B4982" s="70" t="s">
        <v>66</v>
      </c>
      <c r="C4982" s="10">
        <v>72</v>
      </c>
      <c r="D4982" s="10">
        <v>372</v>
      </c>
      <c r="E4982" s="10" t="s">
        <v>37</v>
      </c>
    </row>
    <row r="4983" spans="1:6" x14ac:dyDescent="0.35">
      <c r="A4983" s="2">
        <v>42874</v>
      </c>
      <c r="B4983" s="70" t="s">
        <v>66</v>
      </c>
      <c r="C4983" s="10">
        <v>67</v>
      </c>
      <c r="D4983" s="10">
        <v>292</v>
      </c>
      <c r="E4983" s="10" t="s">
        <v>159</v>
      </c>
    </row>
    <row r="4984" spans="1:6" x14ac:dyDescent="0.35">
      <c r="A4984" s="2">
        <v>42874</v>
      </c>
      <c r="B4984" s="70" t="s">
        <v>66</v>
      </c>
      <c r="C4984" s="10">
        <v>76</v>
      </c>
      <c r="D4984" s="10">
        <v>493</v>
      </c>
      <c r="E4984" s="10" t="s">
        <v>159</v>
      </c>
    </row>
    <row r="4985" spans="1:6" x14ac:dyDescent="0.35">
      <c r="A4985" s="2">
        <v>42874</v>
      </c>
      <c r="B4985" s="70" t="s">
        <v>66</v>
      </c>
      <c r="C4985" s="10">
        <v>72</v>
      </c>
      <c r="D4985" s="10">
        <v>392</v>
      </c>
      <c r="E4985" s="10" t="s">
        <v>159</v>
      </c>
    </row>
    <row r="4986" spans="1:6" x14ac:dyDescent="0.35">
      <c r="A4986" s="2">
        <v>42874</v>
      </c>
      <c r="B4986" s="70" t="s">
        <v>66</v>
      </c>
      <c r="C4986" s="10">
        <v>68</v>
      </c>
      <c r="D4986" s="10">
        <v>415</v>
      </c>
      <c r="E4986" s="10" t="s">
        <v>159</v>
      </c>
    </row>
    <row r="4987" spans="1:6" x14ac:dyDescent="0.35">
      <c r="A4987" s="2">
        <v>42874</v>
      </c>
      <c r="B4987" s="70" t="s">
        <v>66</v>
      </c>
      <c r="C4987" s="10">
        <v>97</v>
      </c>
      <c r="D4987" s="10">
        <v>1295</v>
      </c>
      <c r="E4987" s="10" t="s">
        <v>98</v>
      </c>
      <c r="F4987" t="s">
        <v>564</v>
      </c>
    </row>
    <row r="4988" spans="1:6" x14ac:dyDescent="0.35">
      <c r="A4988" s="2">
        <v>42874</v>
      </c>
      <c r="B4988" s="70" t="s">
        <v>66</v>
      </c>
      <c r="C4988" s="10">
        <v>110</v>
      </c>
      <c r="D4988" s="10">
        <v>2220</v>
      </c>
      <c r="E4988" s="10" t="s">
        <v>98</v>
      </c>
    </row>
    <row r="4989" spans="1:6" x14ac:dyDescent="0.35">
      <c r="A4989" s="2">
        <v>42874</v>
      </c>
      <c r="B4989" s="70" t="s">
        <v>66</v>
      </c>
      <c r="C4989" s="10">
        <v>132</v>
      </c>
      <c r="D4989" s="10">
        <v>3102</v>
      </c>
      <c r="E4989" s="10" t="s">
        <v>98</v>
      </c>
    </row>
    <row r="4990" spans="1:6" x14ac:dyDescent="0.35">
      <c r="A4990" s="2">
        <v>42874</v>
      </c>
      <c r="B4990" s="70" t="s">
        <v>66</v>
      </c>
      <c r="C4990" s="10">
        <v>107</v>
      </c>
      <c r="D4990" s="10">
        <v>1724</v>
      </c>
      <c r="E4990" s="10" t="s">
        <v>98</v>
      </c>
    </row>
    <row r="4991" spans="1:6" x14ac:dyDescent="0.35">
      <c r="A4991" s="2">
        <v>42874</v>
      </c>
      <c r="B4991" s="70" t="s">
        <v>66</v>
      </c>
      <c r="C4991" s="10">
        <v>93</v>
      </c>
      <c r="D4991" s="10">
        <v>1300</v>
      </c>
      <c r="E4991" s="10" t="s">
        <v>98</v>
      </c>
    </row>
    <row r="4992" spans="1:6" x14ac:dyDescent="0.35">
      <c r="A4992" s="2">
        <v>42874</v>
      </c>
      <c r="B4992" s="70" t="s">
        <v>66</v>
      </c>
      <c r="C4992" s="10">
        <v>92</v>
      </c>
      <c r="D4992" s="10">
        <v>1242</v>
      </c>
      <c r="E4992" s="10" t="s">
        <v>98</v>
      </c>
    </row>
    <row r="4993" spans="1:6" x14ac:dyDescent="0.35">
      <c r="A4993" s="2">
        <v>42874</v>
      </c>
      <c r="B4993" s="70" t="s">
        <v>66</v>
      </c>
      <c r="C4993" s="10">
        <v>117</v>
      </c>
      <c r="D4993" s="10">
        <v>2242</v>
      </c>
      <c r="E4993" s="10" t="s">
        <v>98</v>
      </c>
    </row>
    <row r="4994" spans="1:6" s="4" customFormat="1" x14ac:dyDescent="0.35">
      <c r="A4994" s="3">
        <v>42874</v>
      </c>
      <c r="B4994" s="44" t="s">
        <v>66</v>
      </c>
      <c r="C4994" s="11">
        <v>102</v>
      </c>
      <c r="D4994" s="11">
        <v>1484</v>
      </c>
      <c r="E4994" s="11" t="s">
        <v>98</v>
      </c>
    </row>
    <row r="4995" spans="1:6" x14ac:dyDescent="0.35">
      <c r="A4995" s="2">
        <v>42874</v>
      </c>
      <c r="B4995" s="70" t="s">
        <v>104</v>
      </c>
      <c r="C4995" s="10">
        <v>75</v>
      </c>
      <c r="D4995" s="10">
        <v>482</v>
      </c>
      <c r="E4995" s="10" t="s">
        <v>159</v>
      </c>
    </row>
    <row r="4996" spans="1:6" x14ac:dyDescent="0.35">
      <c r="A4996" s="2">
        <v>42874</v>
      </c>
      <c r="B4996" s="70" t="s">
        <v>104</v>
      </c>
      <c r="C4996" s="10">
        <v>69</v>
      </c>
      <c r="D4996" s="10">
        <v>429</v>
      </c>
      <c r="E4996" s="10" t="s">
        <v>37</v>
      </c>
    </row>
    <row r="4997" spans="1:6" x14ac:dyDescent="0.35">
      <c r="A4997" s="2">
        <v>42874</v>
      </c>
      <c r="B4997" s="70" t="s">
        <v>104</v>
      </c>
      <c r="C4997" s="10">
        <v>64</v>
      </c>
      <c r="D4997" s="10">
        <v>276</v>
      </c>
      <c r="E4997" s="10" t="s">
        <v>37</v>
      </c>
    </row>
    <row r="4998" spans="1:6" x14ac:dyDescent="0.35">
      <c r="A4998" s="2">
        <v>42874</v>
      </c>
      <c r="B4998" s="70" t="s">
        <v>104</v>
      </c>
      <c r="C4998" s="10">
        <v>68</v>
      </c>
      <c r="D4998" s="10">
        <v>413</v>
      </c>
      <c r="E4998" s="10" t="s">
        <v>159</v>
      </c>
    </row>
    <row r="4999" spans="1:6" x14ac:dyDescent="0.35">
      <c r="A4999" s="2">
        <v>42874</v>
      </c>
      <c r="B4999" s="70" t="s">
        <v>104</v>
      </c>
      <c r="C4999" s="10">
        <v>76</v>
      </c>
      <c r="D4999" s="10">
        <v>494</v>
      </c>
      <c r="E4999" s="10" t="s">
        <v>159</v>
      </c>
    </row>
    <row r="5000" spans="1:6" x14ac:dyDescent="0.35">
      <c r="A5000" s="2">
        <v>42874</v>
      </c>
      <c r="B5000" s="70" t="s">
        <v>104</v>
      </c>
      <c r="C5000" s="10">
        <v>73</v>
      </c>
      <c r="D5000" s="10">
        <v>498</v>
      </c>
      <c r="E5000" s="10" t="s">
        <v>159</v>
      </c>
    </row>
    <row r="5001" spans="1:6" x14ac:dyDescent="0.35">
      <c r="A5001" s="2">
        <v>42874</v>
      </c>
      <c r="B5001" s="70" t="s">
        <v>104</v>
      </c>
      <c r="C5001" s="10">
        <v>72</v>
      </c>
      <c r="D5001" s="10">
        <v>379</v>
      </c>
      <c r="E5001" s="10" t="s">
        <v>37</v>
      </c>
    </row>
    <row r="5002" spans="1:6" x14ac:dyDescent="0.35">
      <c r="A5002" s="2">
        <v>42874</v>
      </c>
      <c r="B5002" s="70" t="s">
        <v>104</v>
      </c>
      <c r="C5002" s="10">
        <v>73</v>
      </c>
      <c r="D5002" s="10">
        <v>451</v>
      </c>
      <c r="E5002" s="10" t="s">
        <v>159</v>
      </c>
    </row>
    <row r="5003" spans="1:6" x14ac:dyDescent="0.35">
      <c r="A5003" s="2">
        <v>42874</v>
      </c>
      <c r="B5003" s="70" t="s">
        <v>104</v>
      </c>
      <c r="C5003" s="10">
        <v>76</v>
      </c>
      <c r="D5003" s="10">
        <v>541</v>
      </c>
      <c r="E5003" s="10" t="s">
        <v>159</v>
      </c>
    </row>
    <row r="5004" spans="1:6" x14ac:dyDescent="0.35">
      <c r="A5004" s="2">
        <v>42874</v>
      </c>
      <c r="B5004" s="70" t="s">
        <v>104</v>
      </c>
      <c r="C5004" s="10">
        <v>72</v>
      </c>
      <c r="D5004" s="10">
        <v>428</v>
      </c>
      <c r="E5004" s="10" t="s">
        <v>159</v>
      </c>
      <c r="F5004" t="s">
        <v>570</v>
      </c>
    </row>
    <row r="5005" spans="1:6" x14ac:dyDescent="0.35">
      <c r="A5005" s="2">
        <v>42874</v>
      </c>
      <c r="B5005" s="70" t="s">
        <v>104</v>
      </c>
      <c r="C5005" s="10">
        <v>70</v>
      </c>
      <c r="D5005" s="10">
        <v>310</v>
      </c>
      <c r="E5005" s="10" t="s">
        <v>37</v>
      </c>
    </row>
    <row r="5006" spans="1:6" x14ac:dyDescent="0.35">
      <c r="A5006" s="2">
        <v>42874</v>
      </c>
      <c r="B5006" s="70" t="s">
        <v>104</v>
      </c>
      <c r="C5006" s="10">
        <v>70</v>
      </c>
      <c r="D5006" s="10">
        <v>471</v>
      </c>
      <c r="E5006" s="10" t="s">
        <v>159</v>
      </c>
    </row>
    <row r="5007" spans="1:6" x14ac:dyDescent="0.35">
      <c r="A5007" s="2">
        <v>42874</v>
      </c>
      <c r="B5007" s="70" t="s">
        <v>104</v>
      </c>
      <c r="C5007" s="10">
        <v>73</v>
      </c>
      <c r="D5007" s="10">
        <v>441</v>
      </c>
      <c r="E5007" s="10" t="s">
        <v>159</v>
      </c>
    </row>
    <row r="5008" spans="1:6" x14ac:dyDescent="0.35">
      <c r="A5008" s="2">
        <v>42874</v>
      </c>
      <c r="B5008" s="70" t="s">
        <v>104</v>
      </c>
      <c r="C5008" s="10">
        <v>69</v>
      </c>
      <c r="D5008" s="10">
        <v>470</v>
      </c>
      <c r="E5008" s="10" t="s">
        <v>159</v>
      </c>
    </row>
    <row r="5009" spans="1:17" x14ac:dyDescent="0.35">
      <c r="A5009" s="2">
        <v>42874</v>
      </c>
      <c r="B5009" s="70" t="s">
        <v>104</v>
      </c>
      <c r="C5009" s="10">
        <v>70</v>
      </c>
      <c r="D5009" s="10">
        <v>436</v>
      </c>
      <c r="E5009" s="10" t="s">
        <v>159</v>
      </c>
      <c r="G5009">
        <f>AVERAGE(C4995:C5012,C4977:C4986,C4966:C4975,C4955:C4964,C4942:C4953,C4937:C4939)</f>
        <v>70.365079365079367</v>
      </c>
      <c r="H5009">
        <f>AVERAGE(D4995:D5012,D4977:D4986,D4966:D4975,D4955:D4964,D4942:D4953,D4937:D4939)</f>
        <v>399</v>
      </c>
      <c r="J5009" t="e">
        <f>AVERAGE(#REF!,#REF!,#REF!,#REF!,#REF!,#REF!)</f>
        <v>#REF!</v>
      </c>
      <c r="O5009" t="s">
        <v>32</v>
      </c>
      <c r="P5009" t="s">
        <v>37</v>
      </c>
      <c r="Q5009" t="s">
        <v>159</v>
      </c>
    </row>
    <row r="5010" spans="1:17" x14ac:dyDescent="0.35">
      <c r="A5010" s="2">
        <v>42874</v>
      </c>
      <c r="B5010" s="70" t="s">
        <v>104</v>
      </c>
      <c r="C5010" s="10">
        <v>72</v>
      </c>
      <c r="D5010" s="10">
        <v>430</v>
      </c>
      <c r="E5010" s="10" t="s">
        <v>159</v>
      </c>
      <c r="G5010" s="42" t="e">
        <f>AVERAGE(#REF!,#REF!,#REF!,#REF!,#REF!)</f>
        <v>#REF!</v>
      </c>
      <c r="H5010">
        <f>AVERAGE(C4987:C4994,C4976,C4965,C4954,C4940:C4941)</f>
        <v>109.30769230769231</v>
      </c>
      <c r="I5010">
        <f>AVERAGE(D4987:D4994,D4976,D4965,D4954,D4940:D4941)</f>
        <v>1960.2307692307693</v>
      </c>
      <c r="O5010" s="5">
        <f>COUNTIF(E4937:E5012,"VIA4")</f>
        <v>1</v>
      </c>
      <c r="P5010" s="5">
        <f>COUNTIF(E4937:E5012,"VIB")</f>
        <v>9</v>
      </c>
      <c r="Q5010" s="5">
        <f>COUNTIF(E4937:E5012,"VII")</f>
        <v>53</v>
      </c>
    </row>
    <row r="5011" spans="1:17" x14ac:dyDescent="0.35">
      <c r="A5011" s="2">
        <v>42874</v>
      </c>
      <c r="B5011" s="70" t="s">
        <v>104</v>
      </c>
      <c r="C5011" s="10">
        <v>72</v>
      </c>
      <c r="D5011" s="10">
        <v>446</v>
      </c>
      <c r="E5011" s="10" t="s">
        <v>159</v>
      </c>
      <c r="O5011" s="6">
        <f>O5010/63*100</f>
        <v>1.5873015873015872</v>
      </c>
      <c r="P5011" s="6">
        <f t="shared" ref="P5011:Q5011" si="147">P5010/63*100</f>
        <v>14.285714285714285</v>
      </c>
      <c r="Q5011" s="6">
        <f t="shared" si="147"/>
        <v>84.126984126984127</v>
      </c>
    </row>
    <row r="5012" spans="1:17" s="4" customFormat="1" x14ac:dyDescent="0.35">
      <c r="A5012" s="3">
        <v>42874</v>
      </c>
      <c r="B5012" s="44" t="s">
        <v>104</v>
      </c>
      <c r="C5012" s="11">
        <v>70</v>
      </c>
      <c r="D5012" s="11">
        <v>410</v>
      </c>
      <c r="E5012" s="11" t="s">
        <v>159</v>
      </c>
    </row>
    <row r="5013" spans="1:17" x14ac:dyDescent="0.35">
      <c r="A5013" s="2">
        <v>42874</v>
      </c>
      <c r="B5013" s="36" t="s">
        <v>114</v>
      </c>
      <c r="C5013" s="10">
        <v>69</v>
      </c>
      <c r="D5013">
        <v>424</v>
      </c>
      <c r="E5013" s="10" t="s">
        <v>159</v>
      </c>
    </row>
    <row r="5014" spans="1:17" x14ac:dyDescent="0.35">
      <c r="A5014" s="2">
        <v>42874</v>
      </c>
      <c r="B5014" s="36" t="s">
        <v>114</v>
      </c>
      <c r="C5014" s="10">
        <v>89</v>
      </c>
      <c r="D5014">
        <v>1380</v>
      </c>
      <c r="E5014" s="10" t="s">
        <v>98</v>
      </c>
    </row>
    <row r="5015" spans="1:17" s="4" customFormat="1" x14ac:dyDescent="0.35">
      <c r="A5015" s="3">
        <v>42874</v>
      </c>
      <c r="B5015" s="26" t="s">
        <v>114</v>
      </c>
      <c r="C5015" s="11">
        <v>127</v>
      </c>
      <c r="D5015" s="4">
        <v>3009</v>
      </c>
      <c r="E5015" s="11" t="s">
        <v>98</v>
      </c>
    </row>
    <row r="5016" spans="1:17" x14ac:dyDescent="0.35">
      <c r="A5016" s="2">
        <v>42879</v>
      </c>
      <c r="B5016" s="70" t="s">
        <v>29</v>
      </c>
      <c r="C5016" s="10">
        <v>67</v>
      </c>
      <c r="D5016" s="10">
        <v>261</v>
      </c>
      <c r="E5016" s="10" t="s">
        <v>159</v>
      </c>
      <c r="G5016" s="23" t="s">
        <v>559</v>
      </c>
    </row>
    <row r="5017" spans="1:17" x14ac:dyDescent="0.35">
      <c r="A5017" s="2">
        <v>42879</v>
      </c>
      <c r="B5017" s="70" t="s">
        <v>29</v>
      </c>
      <c r="C5017" s="10">
        <v>69</v>
      </c>
      <c r="D5017" s="10">
        <v>264</v>
      </c>
      <c r="E5017" s="10" t="s">
        <v>37</v>
      </c>
      <c r="G5017" s="23" t="s">
        <v>560</v>
      </c>
    </row>
    <row r="5018" spans="1:17" x14ac:dyDescent="0.35">
      <c r="A5018" s="2">
        <v>42879</v>
      </c>
      <c r="B5018" s="70" t="s">
        <v>29</v>
      </c>
      <c r="C5018" s="10">
        <v>74</v>
      </c>
      <c r="D5018" s="10">
        <v>334</v>
      </c>
      <c r="E5018" s="10" t="s">
        <v>159</v>
      </c>
      <c r="G5018" s="23" t="s">
        <v>561</v>
      </c>
    </row>
    <row r="5019" spans="1:17" x14ac:dyDescent="0.35">
      <c r="A5019" s="2">
        <v>42879</v>
      </c>
      <c r="B5019" s="70" t="s">
        <v>29</v>
      </c>
      <c r="C5019" s="10">
        <v>75</v>
      </c>
      <c r="D5019" s="10">
        <v>300</v>
      </c>
      <c r="E5019" s="10" t="s">
        <v>159</v>
      </c>
      <c r="G5019" s="23" t="s">
        <v>562</v>
      </c>
    </row>
    <row r="5020" spans="1:17" x14ac:dyDescent="0.35">
      <c r="A5020" s="2">
        <v>42879</v>
      </c>
      <c r="B5020" s="70" t="s">
        <v>29</v>
      </c>
      <c r="C5020" s="10">
        <v>69</v>
      </c>
      <c r="D5020" s="10">
        <v>287</v>
      </c>
      <c r="E5020" s="10" t="s">
        <v>159</v>
      </c>
      <c r="G5020" s="23" t="s">
        <v>563</v>
      </c>
    </row>
    <row r="5021" spans="1:17" x14ac:dyDescent="0.35">
      <c r="A5021" s="2">
        <v>42879</v>
      </c>
      <c r="B5021" s="70" t="s">
        <v>29</v>
      </c>
      <c r="C5021" s="10">
        <v>75</v>
      </c>
      <c r="D5021" s="10">
        <v>227</v>
      </c>
      <c r="E5021" s="10" t="s">
        <v>159</v>
      </c>
    </row>
    <row r="5022" spans="1:17" x14ac:dyDescent="0.35">
      <c r="A5022" s="2">
        <v>42879</v>
      </c>
      <c r="B5022" s="70" t="s">
        <v>29</v>
      </c>
      <c r="C5022" s="10">
        <v>72</v>
      </c>
      <c r="D5022" s="10">
        <v>245</v>
      </c>
      <c r="E5022" s="10" t="s">
        <v>37</v>
      </c>
    </row>
    <row r="5023" spans="1:17" x14ac:dyDescent="0.35">
      <c r="A5023" s="2">
        <v>42879</v>
      </c>
      <c r="B5023" s="70" t="s">
        <v>29</v>
      </c>
      <c r="C5023" s="10">
        <v>65</v>
      </c>
      <c r="D5023" s="10">
        <v>268</v>
      </c>
      <c r="E5023" s="10" t="s">
        <v>159</v>
      </c>
    </row>
    <row r="5024" spans="1:17" x14ac:dyDescent="0.35">
      <c r="A5024" s="2">
        <v>42879</v>
      </c>
      <c r="B5024" s="70" t="s">
        <v>29</v>
      </c>
      <c r="C5024" s="10">
        <v>65</v>
      </c>
      <c r="D5024" s="10">
        <v>234</v>
      </c>
      <c r="E5024" s="10" t="s">
        <v>159</v>
      </c>
    </row>
    <row r="5025" spans="1:7" x14ac:dyDescent="0.35">
      <c r="A5025" s="2">
        <v>42879</v>
      </c>
      <c r="B5025" s="70" t="s">
        <v>29</v>
      </c>
      <c r="C5025" s="10">
        <v>71</v>
      </c>
      <c r="D5025" s="10">
        <v>289</v>
      </c>
      <c r="E5025" s="10" t="s">
        <v>159</v>
      </c>
    </row>
    <row r="5026" spans="1:7" x14ac:dyDescent="0.35">
      <c r="A5026" s="2">
        <v>42879</v>
      </c>
      <c r="B5026" s="70" t="s">
        <v>29</v>
      </c>
      <c r="C5026" s="10">
        <v>65</v>
      </c>
      <c r="D5026" s="10">
        <v>195</v>
      </c>
      <c r="E5026" s="10" t="s">
        <v>37</v>
      </c>
    </row>
    <row r="5027" spans="1:7" x14ac:dyDescent="0.35">
      <c r="A5027" s="2">
        <v>42879</v>
      </c>
      <c r="B5027" s="70" t="s">
        <v>29</v>
      </c>
      <c r="C5027" s="10">
        <v>65</v>
      </c>
      <c r="D5027" s="10">
        <v>122</v>
      </c>
      <c r="E5027" s="10" t="s">
        <v>37</v>
      </c>
    </row>
    <row r="5028" spans="1:7" x14ac:dyDescent="0.35">
      <c r="A5028" s="2">
        <v>42879</v>
      </c>
      <c r="B5028" s="70" t="s">
        <v>29</v>
      </c>
      <c r="C5028" s="10">
        <v>66</v>
      </c>
      <c r="D5028" s="10">
        <v>205</v>
      </c>
      <c r="E5028" s="10" t="s">
        <v>37</v>
      </c>
    </row>
    <row r="5029" spans="1:7" x14ac:dyDescent="0.35">
      <c r="A5029" s="2">
        <v>42879</v>
      </c>
      <c r="B5029" s="70" t="s">
        <v>29</v>
      </c>
      <c r="C5029" s="10">
        <v>64</v>
      </c>
      <c r="D5029" s="10">
        <v>218</v>
      </c>
      <c r="E5029" s="10" t="s">
        <v>159</v>
      </c>
    </row>
    <row r="5030" spans="1:7" x14ac:dyDescent="0.35">
      <c r="A5030" s="2">
        <v>42879</v>
      </c>
      <c r="B5030" s="70" t="s">
        <v>29</v>
      </c>
      <c r="C5030" s="10">
        <v>68</v>
      </c>
      <c r="D5030" s="10">
        <v>260</v>
      </c>
      <c r="E5030" s="10" t="s">
        <v>159</v>
      </c>
    </row>
    <row r="5031" spans="1:7" x14ac:dyDescent="0.35">
      <c r="A5031" s="2">
        <v>42879</v>
      </c>
      <c r="B5031" s="70" t="s">
        <v>29</v>
      </c>
      <c r="C5031" s="10">
        <v>65</v>
      </c>
      <c r="D5031" s="10">
        <v>207</v>
      </c>
      <c r="E5031" s="10" t="s">
        <v>37</v>
      </c>
    </row>
    <row r="5032" spans="1:7" x14ac:dyDescent="0.35">
      <c r="A5032" s="2">
        <v>42879</v>
      </c>
      <c r="B5032" s="70" t="s">
        <v>29</v>
      </c>
      <c r="C5032" s="10">
        <v>66</v>
      </c>
      <c r="D5032" s="10">
        <v>231</v>
      </c>
      <c r="E5032" s="10" t="s">
        <v>159</v>
      </c>
    </row>
    <row r="5033" spans="1:7" x14ac:dyDescent="0.35">
      <c r="A5033" s="2">
        <v>42879</v>
      </c>
      <c r="B5033" s="70" t="s">
        <v>29</v>
      </c>
      <c r="C5033" s="10">
        <v>71</v>
      </c>
      <c r="D5033" s="10">
        <v>265</v>
      </c>
      <c r="E5033" s="10" t="s">
        <v>37</v>
      </c>
    </row>
    <row r="5034" spans="1:7" x14ac:dyDescent="0.35">
      <c r="A5034" s="2">
        <v>42879</v>
      </c>
      <c r="B5034" s="70" t="s">
        <v>29</v>
      </c>
      <c r="C5034" s="10">
        <v>68</v>
      </c>
      <c r="D5034" s="10">
        <v>243</v>
      </c>
      <c r="E5034" s="10" t="s">
        <v>159</v>
      </c>
    </row>
    <row r="5035" spans="1:7" x14ac:dyDescent="0.35">
      <c r="A5035" s="2">
        <v>42879</v>
      </c>
      <c r="B5035" s="70" t="s">
        <v>29</v>
      </c>
      <c r="C5035" s="10">
        <v>75</v>
      </c>
      <c r="D5035" s="10">
        <v>267</v>
      </c>
      <c r="E5035" s="10" t="s">
        <v>159</v>
      </c>
    </row>
    <row r="5036" spans="1:7" x14ac:dyDescent="0.35">
      <c r="A5036" s="2">
        <v>42879</v>
      </c>
      <c r="B5036" s="70" t="s">
        <v>29</v>
      </c>
      <c r="C5036" s="10">
        <v>71</v>
      </c>
      <c r="D5036" s="10">
        <v>282</v>
      </c>
      <c r="E5036" s="10" t="s">
        <v>32</v>
      </c>
      <c r="G5036" t="s">
        <v>161</v>
      </c>
    </row>
    <row r="5037" spans="1:7" x14ac:dyDescent="0.35">
      <c r="A5037" s="2">
        <v>42879</v>
      </c>
      <c r="B5037" s="70" t="s">
        <v>29</v>
      </c>
      <c r="C5037" s="10">
        <v>72</v>
      </c>
      <c r="D5037" s="10">
        <v>425</v>
      </c>
      <c r="E5037" s="10" t="s">
        <v>159</v>
      </c>
      <c r="G5037" t="s">
        <v>498</v>
      </c>
    </row>
    <row r="5038" spans="1:7" x14ac:dyDescent="0.35">
      <c r="A5038" s="2">
        <v>42879</v>
      </c>
      <c r="B5038" s="70" t="s">
        <v>29</v>
      </c>
      <c r="C5038" s="10">
        <v>60</v>
      </c>
      <c r="D5038" s="10">
        <v>155</v>
      </c>
      <c r="E5038" s="10" t="s">
        <v>159</v>
      </c>
      <c r="G5038" t="s">
        <v>498</v>
      </c>
    </row>
    <row r="5039" spans="1:7" x14ac:dyDescent="0.35">
      <c r="A5039" s="2">
        <v>42879</v>
      </c>
      <c r="B5039" s="70" t="s">
        <v>29</v>
      </c>
      <c r="C5039" s="10">
        <v>65</v>
      </c>
      <c r="D5039" s="10">
        <v>199</v>
      </c>
      <c r="E5039" s="10" t="s">
        <v>159</v>
      </c>
    </row>
    <row r="5040" spans="1:7" x14ac:dyDescent="0.35">
      <c r="A5040" s="2">
        <v>42879</v>
      </c>
      <c r="B5040" s="70" t="s">
        <v>29</v>
      </c>
      <c r="C5040" s="10">
        <v>70</v>
      </c>
      <c r="D5040" s="10">
        <v>326</v>
      </c>
      <c r="E5040" s="10" t="s">
        <v>159</v>
      </c>
    </row>
    <row r="5041" spans="1:7" x14ac:dyDescent="0.35">
      <c r="A5041" s="2">
        <v>42879</v>
      </c>
      <c r="B5041" s="70" t="s">
        <v>29</v>
      </c>
      <c r="C5041" s="10">
        <v>65</v>
      </c>
      <c r="D5041" s="10">
        <v>175</v>
      </c>
      <c r="E5041" s="10" t="s">
        <v>37</v>
      </c>
    </row>
    <row r="5042" spans="1:7" x14ac:dyDescent="0.35">
      <c r="A5042" s="2">
        <v>42879</v>
      </c>
      <c r="B5042" s="70" t="s">
        <v>29</v>
      </c>
      <c r="C5042" s="10">
        <v>68</v>
      </c>
      <c r="D5042" s="10">
        <v>232</v>
      </c>
      <c r="E5042" s="10" t="s">
        <v>159</v>
      </c>
    </row>
    <row r="5043" spans="1:7" x14ac:dyDescent="0.35">
      <c r="A5043" s="2">
        <v>42879</v>
      </c>
      <c r="B5043" s="70" t="s">
        <v>29</v>
      </c>
      <c r="C5043" s="10">
        <v>67</v>
      </c>
      <c r="D5043" s="10">
        <v>254</v>
      </c>
      <c r="E5043" s="10" t="s">
        <v>159</v>
      </c>
    </row>
    <row r="5044" spans="1:7" x14ac:dyDescent="0.35">
      <c r="A5044" s="2">
        <v>42879</v>
      </c>
      <c r="B5044" s="70" t="s">
        <v>29</v>
      </c>
      <c r="C5044" s="10">
        <v>71</v>
      </c>
      <c r="D5044" s="10">
        <v>319</v>
      </c>
      <c r="E5044" s="10" t="s">
        <v>159</v>
      </c>
    </row>
    <row r="5045" spans="1:7" x14ac:dyDescent="0.35">
      <c r="A5045" s="2">
        <v>42879</v>
      </c>
      <c r="B5045" s="70" t="s">
        <v>29</v>
      </c>
      <c r="C5045" s="10">
        <v>66</v>
      </c>
      <c r="D5045" s="10">
        <v>230</v>
      </c>
      <c r="E5045" s="10" t="s">
        <v>159</v>
      </c>
    </row>
    <row r="5046" spans="1:7" x14ac:dyDescent="0.35">
      <c r="A5046" s="2">
        <v>42879</v>
      </c>
      <c r="B5046" s="70" t="s">
        <v>29</v>
      </c>
      <c r="C5046" s="10">
        <v>71</v>
      </c>
      <c r="D5046" s="10">
        <v>223</v>
      </c>
      <c r="E5046" s="10" t="s">
        <v>37</v>
      </c>
    </row>
    <row r="5047" spans="1:7" x14ac:dyDescent="0.35">
      <c r="A5047" s="2">
        <v>42879</v>
      </c>
      <c r="B5047" s="70" t="s">
        <v>29</v>
      </c>
      <c r="C5047" s="10">
        <v>65</v>
      </c>
      <c r="D5047" s="10">
        <v>153</v>
      </c>
      <c r="E5047" s="10" t="s">
        <v>37</v>
      </c>
    </row>
    <row r="5048" spans="1:7" x14ac:dyDescent="0.35">
      <c r="A5048" s="2">
        <v>42879</v>
      </c>
      <c r="B5048" s="70" t="s">
        <v>29</v>
      </c>
      <c r="C5048" s="10">
        <v>67</v>
      </c>
      <c r="D5048" s="10">
        <v>190</v>
      </c>
      <c r="E5048" s="10" t="s">
        <v>37</v>
      </c>
    </row>
    <row r="5049" spans="1:7" x14ac:dyDescent="0.35">
      <c r="A5049" s="2">
        <v>42879</v>
      </c>
      <c r="B5049" s="70" t="s">
        <v>29</v>
      </c>
      <c r="C5049" s="10">
        <v>70</v>
      </c>
      <c r="D5049" s="10">
        <v>239</v>
      </c>
      <c r="E5049" s="10" t="s">
        <v>159</v>
      </c>
    </row>
    <row r="5050" spans="1:7" x14ac:dyDescent="0.35">
      <c r="A5050" s="2">
        <v>42879</v>
      </c>
      <c r="B5050" s="70" t="s">
        <v>29</v>
      </c>
      <c r="C5050" s="10">
        <v>65</v>
      </c>
      <c r="D5050" s="10">
        <v>248</v>
      </c>
      <c r="E5050" s="10" t="s">
        <v>159</v>
      </c>
      <c r="G5050" t="s">
        <v>498</v>
      </c>
    </row>
    <row r="5051" spans="1:7" x14ac:dyDescent="0.35">
      <c r="A5051" s="2">
        <v>42879</v>
      </c>
      <c r="B5051" s="70" t="s">
        <v>29</v>
      </c>
      <c r="C5051" s="10">
        <v>67</v>
      </c>
      <c r="D5051" s="10">
        <v>225</v>
      </c>
      <c r="E5051" s="10" t="s">
        <v>159</v>
      </c>
      <c r="G5051" t="s">
        <v>498</v>
      </c>
    </row>
    <row r="5052" spans="1:7" x14ac:dyDescent="0.35">
      <c r="A5052" s="2">
        <v>42879</v>
      </c>
      <c r="B5052" s="70" t="s">
        <v>29</v>
      </c>
      <c r="C5052" s="10">
        <v>71</v>
      </c>
      <c r="D5052" s="10">
        <v>316</v>
      </c>
      <c r="E5052" s="10" t="s">
        <v>159</v>
      </c>
    </row>
    <row r="5053" spans="1:7" x14ac:dyDescent="0.35">
      <c r="A5053" s="2">
        <v>42879</v>
      </c>
      <c r="B5053" s="70" t="s">
        <v>29</v>
      </c>
      <c r="C5053" s="10">
        <v>65</v>
      </c>
      <c r="D5053" s="10">
        <v>263</v>
      </c>
      <c r="E5053" s="10" t="s">
        <v>37</v>
      </c>
    </row>
    <row r="5054" spans="1:7" x14ac:dyDescent="0.35">
      <c r="A5054" s="2">
        <v>42879</v>
      </c>
      <c r="B5054" s="70" t="s">
        <v>29</v>
      </c>
      <c r="C5054" s="10">
        <v>74</v>
      </c>
      <c r="D5054" s="10">
        <v>384</v>
      </c>
      <c r="E5054" s="10" t="s">
        <v>159</v>
      </c>
    </row>
    <row r="5055" spans="1:7" x14ac:dyDescent="0.35">
      <c r="A5055" s="2">
        <v>42879</v>
      </c>
      <c r="B5055" s="70" t="s">
        <v>29</v>
      </c>
      <c r="C5055" s="10">
        <v>75</v>
      </c>
      <c r="D5055" s="10">
        <v>333</v>
      </c>
      <c r="E5055" s="10" t="s">
        <v>37</v>
      </c>
    </row>
    <row r="5056" spans="1:7" x14ac:dyDescent="0.35">
      <c r="A5056" s="2">
        <v>42879</v>
      </c>
      <c r="B5056" s="70" t="s">
        <v>29</v>
      </c>
      <c r="C5056" s="10">
        <v>70</v>
      </c>
      <c r="D5056" s="10">
        <v>263</v>
      </c>
      <c r="E5056" s="10" t="s">
        <v>159</v>
      </c>
    </row>
    <row r="5057" spans="1:17" x14ac:dyDescent="0.35">
      <c r="A5057" s="2">
        <v>42879</v>
      </c>
      <c r="B5057" s="70" t="s">
        <v>29</v>
      </c>
      <c r="C5057" s="10">
        <v>71</v>
      </c>
      <c r="D5057" s="10">
        <v>313</v>
      </c>
      <c r="E5057" s="10" t="s">
        <v>159</v>
      </c>
    </row>
    <row r="5058" spans="1:17" x14ac:dyDescent="0.35">
      <c r="A5058" s="2">
        <v>42879</v>
      </c>
      <c r="B5058" s="70" t="s">
        <v>29</v>
      </c>
      <c r="C5058" s="10">
        <v>68</v>
      </c>
      <c r="D5058" s="10">
        <v>243</v>
      </c>
      <c r="E5058" s="10" t="s">
        <v>159</v>
      </c>
      <c r="O5058" t="s">
        <v>32</v>
      </c>
      <c r="P5058" t="s">
        <v>37</v>
      </c>
      <c r="Q5058" t="s">
        <v>159</v>
      </c>
    </row>
    <row r="5059" spans="1:17" x14ac:dyDescent="0.35">
      <c r="A5059" s="2">
        <v>42879</v>
      </c>
      <c r="B5059" s="70" t="s">
        <v>29</v>
      </c>
      <c r="C5059" s="10">
        <v>61</v>
      </c>
      <c r="D5059" s="10">
        <v>187</v>
      </c>
      <c r="E5059" s="10" t="s">
        <v>159</v>
      </c>
      <c r="G5059" t="s">
        <v>498</v>
      </c>
      <c r="J5059">
        <f>AVERAGE(C5016:C5060)</f>
        <v>68.488888888888894</v>
      </c>
      <c r="K5059">
        <f>AVERAGE(D5016:D5060)</f>
        <v>253.82222222222222</v>
      </c>
      <c r="M5059" t="e">
        <f>AVERAGE(#REF!)</f>
        <v>#REF!</v>
      </c>
      <c r="O5059" s="5">
        <f>COUNTIF(E5016:E5061,"VIA4")</f>
        <v>1</v>
      </c>
      <c r="P5059" s="5">
        <f>COUNTIF(E5016:E5061,"VIB")</f>
        <v>14</v>
      </c>
      <c r="Q5059" s="5">
        <f>COUNTIF(E5016:E5061,"VII")</f>
        <v>30</v>
      </c>
    </row>
    <row r="5060" spans="1:17" x14ac:dyDescent="0.35">
      <c r="A5060" s="2">
        <v>42879</v>
      </c>
      <c r="B5060" s="70" t="s">
        <v>29</v>
      </c>
      <c r="C5060" s="10">
        <v>72</v>
      </c>
      <c r="D5060" s="10">
        <v>323</v>
      </c>
      <c r="E5060" s="10" t="s">
        <v>37</v>
      </c>
      <c r="G5060" t="s">
        <v>498</v>
      </c>
      <c r="O5060" s="6">
        <f>O5059/45*100</f>
        <v>2.2222222222222223</v>
      </c>
      <c r="P5060" s="6">
        <f t="shared" ref="P5060:Q5060" si="148">P5059/45*100</f>
        <v>31.111111111111111</v>
      </c>
      <c r="Q5060" s="6">
        <f t="shared" si="148"/>
        <v>66.666666666666657</v>
      </c>
    </row>
    <row r="5061" spans="1:17" x14ac:dyDescent="0.35">
      <c r="A5061" s="2">
        <v>42879</v>
      </c>
      <c r="B5061" s="70" t="s">
        <v>29</v>
      </c>
      <c r="C5061" s="10">
        <v>107</v>
      </c>
      <c r="D5061" s="10">
        <v>1245</v>
      </c>
      <c r="E5061" s="10" t="s">
        <v>98</v>
      </c>
    </row>
    <row r="5062" spans="1:17" x14ac:dyDescent="0.35">
      <c r="A5062" s="2">
        <v>42879</v>
      </c>
      <c r="B5062" s="70" t="s">
        <v>29</v>
      </c>
      <c r="C5062" s="10">
        <v>155</v>
      </c>
      <c r="D5062" s="10">
        <v>4320</v>
      </c>
      <c r="E5062" s="10" t="s">
        <v>98</v>
      </c>
    </row>
    <row r="5063" spans="1:17" s="4" customFormat="1" x14ac:dyDescent="0.35">
      <c r="A5063" s="3">
        <v>42879</v>
      </c>
      <c r="B5063" s="44" t="s">
        <v>29</v>
      </c>
      <c r="C5063" s="11">
        <v>107</v>
      </c>
      <c r="D5063" s="11">
        <v>1262</v>
      </c>
      <c r="E5063" s="11" t="s">
        <v>98</v>
      </c>
    </row>
    <row r="5064" spans="1:17" x14ac:dyDescent="0.35">
      <c r="A5064" s="2">
        <v>42879</v>
      </c>
      <c r="B5064" s="70" t="s">
        <v>38</v>
      </c>
      <c r="C5064" s="10">
        <v>123</v>
      </c>
      <c r="D5064" s="10">
        <v>2572</v>
      </c>
      <c r="E5064" s="10" t="s">
        <v>98</v>
      </c>
    </row>
    <row r="5065" spans="1:17" x14ac:dyDescent="0.35">
      <c r="A5065" s="2">
        <v>42879</v>
      </c>
      <c r="B5065" s="70" t="s">
        <v>38</v>
      </c>
      <c r="C5065" s="10">
        <v>123</v>
      </c>
      <c r="D5065" s="10">
        <v>2542</v>
      </c>
      <c r="E5065" s="10" t="s">
        <v>98</v>
      </c>
    </row>
    <row r="5066" spans="1:17" x14ac:dyDescent="0.35">
      <c r="A5066" s="2">
        <v>42879</v>
      </c>
      <c r="B5066" s="70" t="s">
        <v>38</v>
      </c>
      <c r="C5066" s="10">
        <v>110</v>
      </c>
      <c r="D5066" s="10">
        <v>1451</v>
      </c>
      <c r="E5066" s="10" t="s">
        <v>98</v>
      </c>
    </row>
    <row r="5067" spans="1:17" x14ac:dyDescent="0.35">
      <c r="A5067" s="2">
        <v>42879</v>
      </c>
      <c r="B5067" s="70" t="s">
        <v>38</v>
      </c>
      <c r="C5067" s="10">
        <v>122</v>
      </c>
      <c r="D5067" s="10">
        <v>2337</v>
      </c>
      <c r="E5067" s="10" t="s">
        <v>98</v>
      </c>
    </row>
    <row r="5068" spans="1:17" x14ac:dyDescent="0.35">
      <c r="A5068" s="2">
        <v>42879</v>
      </c>
      <c r="B5068" s="70" t="s">
        <v>38</v>
      </c>
      <c r="C5068" s="10">
        <v>130</v>
      </c>
      <c r="D5068" s="10">
        <v>3551</v>
      </c>
      <c r="E5068" s="10" t="s">
        <v>98</v>
      </c>
    </row>
    <row r="5069" spans="1:17" x14ac:dyDescent="0.35">
      <c r="A5069" s="2">
        <v>42879</v>
      </c>
      <c r="B5069" s="70" t="s">
        <v>38</v>
      </c>
      <c r="C5069" s="10">
        <v>72</v>
      </c>
      <c r="D5069" s="10">
        <v>204</v>
      </c>
      <c r="E5069" s="10" t="s">
        <v>37</v>
      </c>
      <c r="G5069" s="23" t="s">
        <v>565</v>
      </c>
    </row>
    <row r="5070" spans="1:17" x14ac:dyDescent="0.35">
      <c r="A5070" s="2">
        <v>42879</v>
      </c>
      <c r="B5070" s="70" t="s">
        <v>38</v>
      </c>
      <c r="C5070" s="10">
        <v>64</v>
      </c>
      <c r="D5070" s="10">
        <v>178</v>
      </c>
      <c r="E5070" s="10" t="s">
        <v>159</v>
      </c>
      <c r="G5070" s="23" t="s">
        <v>566</v>
      </c>
    </row>
    <row r="5071" spans="1:17" x14ac:dyDescent="0.35">
      <c r="A5071" s="2">
        <v>42879</v>
      </c>
      <c r="B5071" s="70" t="s">
        <v>38</v>
      </c>
      <c r="C5071" s="10">
        <v>69</v>
      </c>
      <c r="D5071" s="10">
        <v>271</v>
      </c>
      <c r="E5071" s="10" t="s">
        <v>159</v>
      </c>
      <c r="G5071" s="23" t="s">
        <v>567</v>
      </c>
    </row>
    <row r="5072" spans="1:17" x14ac:dyDescent="0.35">
      <c r="A5072" s="2">
        <v>42879</v>
      </c>
      <c r="B5072" s="70" t="s">
        <v>38</v>
      </c>
      <c r="C5072" s="10">
        <v>65</v>
      </c>
      <c r="D5072" s="10">
        <v>202</v>
      </c>
      <c r="E5072" s="10" t="s">
        <v>159</v>
      </c>
      <c r="G5072" s="23" t="s">
        <v>568</v>
      </c>
    </row>
    <row r="5073" spans="1:9" x14ac:dyDescent="0.35">
      <c r="A5073" s="2">
        <v>42879</v>
      </c>
      <c r="B5073" s="70" t="s">
        <v>38</v>
      </c>
      <c r="C5073" s="10">
        <v>70</v>
      </c>
      <c r="D5073" s="10">
        <v>261</v>
      </c>
      <c r="E5073" s="10" t="s">
        <v>32</v>
      </c>
      <c r="G5073" s="23" t="s">
        <v>569</v>
      </c>
    </row>
    <row r="5074" spans="1:9" x14ac:dyDescent="0.35">
      <c r="A5074" s="2">
        <v>42879</v>
      </c>
      <c r="B5074" s="70" t="s">
        <v>38</v>
      </c>
      <c r="C5074" s="10">
        <v>69</v>
      </c>
      <c r="D5074" s="10">
        <v>241</v>
      </c>
      <c r="E5074" s="10" t="s">
        <v>159</v>
      </c>
    </row>
    <row r="5075" spans="1:9" x14ac:dyDescent="0.35">
      <c r="A5075" s="2">
        <v>42879</v>
      </c>
      <c r="B5075" s="70" t="s">
        <v>38</v>
      </c>
      <c r="C5075" s="10">
        <v>70</v>
      </c>
      <c r="D5075" s="10">
        <v>333</v>
      </c>
      <c r="E5075" s="10" t="s">
        <v>159</v>
      </c>
    </row>
    <row r="5076" spans="1:9" x14ac:dyDescent="0.35">
      <c r="A5076" s="2">
        <v>42879</v>
      </c>
      <c r="B5076" s="70" t="s">
        <v>38</v>
      </c>
      <c r="C5076" s="10">
        <v>70</v>
      </c>
      <c r="D5076" s="10">
        <v>242</v>
      </c>
      <c r="E5076" s="10" t="s">
        <v>37</v>
      </c>
    </row>
    <row r="5077" spans="1:9" x14ac:dyDescent="0.35">
      <c r="A5077" s="2">
        <v>42879</v>
      </c>
      <c r="B5077" s="70" t="s">
        <v>38</v>
      </c>
      <c r="C5077" s="10">
        <v>64</v>
      </c>
      <c r="D5077" s="10">
        <v>220</v>
      </c>
      <c r="E5077" s="10" t="s">
        <v>159</v>
      </c>
    </row>
    <row r="5078" spans="1:9" x14ac:dyDescent="0.35">
      <c r="A5078" s="2">
        <v>42879</v>
      </c>
      <c r="B5078" s="70" t="s">
        <v>38</v>
      </c>
      <c r="C5078" s="10">
        <v>72</v>
      </c>
      <c r="D5078" s="10">
        <v>209</v>
      </c>
      <c r="E5078" s="10" t="s">
        <v>159</v>
      </c>
    </row>
    <row r="5079" spans="1:9" x14ac:dyDescent="0.35">
      <c r="A5079" s="2">
        <v>42879</v>
      </c>
      <c r="B5079" s="70" t="s">
        <v>38</v>
      </c>
      <c r="C5079" s="10">
        <v>73</v>
      </c>
      <c r="D5079" s="10">
        <v>328</v>
      </c>
      <c r="E5079" s="10" t="s">
        <v>159</v>
      </c>
    </row>
    <row r="5080" spans="1:9" x14ac:dyDescent="0.35">
      <c r="A5080" s="2">
        <v>42879</v>
      </c>
      <c r="B5080" s="70" t="s">
        <v>38</v>
      </c>
      <c r="C5080" s="10">
        <v>63</v>
      </c>
      <c r="D5080" s="10">
        <v>194</v>
      </c>
      <c r="E5080" s="10" t="s">
        <v>37</v>
      </c>
      <c r="G5080" t="s">
        <v>573</v>
      </c>
      <c r="I5080" t="s">
        <v>421</v>
      </c>
    </row>
    <row r="5081" spans="1:9" x14ac:dyDescent="0.35">
      <c r="A5081" s="2">
        <v>42879</v>
      </c>
      <c r="B5081" s="70" t="s">
        <v>38</v>
      </c>
      <c r="C5081" s="10">
        <v>68</v>
      </c>
      <c r="D5081" s="10">
        <v>175</v>
      </c>
      <c r="E5081" s="10" t="s">
        <v>32</v>
      </c>
      <c r="G5081" t="s">
        <v>161</v>
      </c>
    </row>
    <row r="5082" spans="1:9" x14ac:dyDescent="0.35">
      <c r="A5082" s="2">
        <v>42879</v>
      </c>
      <c r="B5082" s="70" t="s">
        <v>38</v>
      </c>
      <c r="C5082" s="10">
        <v>71</v>
      </c>
      <c r="D5082" s="10">
        <v>191</v>
      </c>
      <c r="E5082" s="10" t="s">
        <v>159</v>
      </c>
    </row>
    <row r="5083" spans="1:9" x14ac:dyDescent="0.35">
      <c r="A5083" s="2">
        <v>42879</v>
      </c>
      <c r="B5083" s="70" t="s">
        <v>38</v>
      </c>
      <c r="C5083" s="10">
        <v>68</v>
      </c>
      <c r="D5083" s="10">
        <v>142</v>
      </c>
      <c r="E5083" s="10" t="s">
        <v>159</v>
      </c>
    </row>
    <row r="5084" spans="1:9" x14ac:dyDescent="0.35">
      <c r="A5084" s="2">
        <v>42879</v>
      </c>
      <c r="B5084" s="70" t="s">
        <v>38</v>
      </c>
      <c r="C5084" s="10">
        <v>74</v>
      </c>
      <c r="D5084" s="10">
        <v>383</v>
      </c>
      <c r="E5084" s="10" t="s">
        <v>159</v>
      </c>
      <c r="G5084" t="s">
        <v>498</v>
      </c>
    </row>
    <row r="5085" spans="1:9" x14ac:dyDescent="0.35">
      <c r="A5085" s="2">
        <v>42879</v>
      </c>
      <c r="B5085" s="70" t="s">
        <v>38</v>
      </c>
      <c r="C5085" s="10">
        <v>65</v>
      </c>
      <c r="D5085" s="10">
        <v>268</v>
      </c>
      <c r="E5085" s="10" t="s">
        <v>159</v>
      </c>
    </row>
    <row r="5086" spans="1:9" x14ac:dyDescent="0.35">
      <c r="A5086" s="2">
        <v>42879</v>
      </c>
      <c r="B5086" s="70" t="s">
        <v>38</v>
      </c>
      <c r="C5086" s="10">
        <v>65</v>
      </c>
      <c r="D5086" s="10">
        <v>186</v>
      </c>
      <c r="E5086" s="10" t="s">
        <v>37</v>
      </c>
      <c r="G5086" t="s">
        <v>498</v>
      </c>
    </row>
    <row r="5087" spans="1:9" x14ac:dyDescent="0.35">
      <c r="A5087" s="2">
        <v>42879</v>
      </c>
      <c r="B5087" s="70" t="s">
        <v>38</v>
      </c>
      <c r="C5087" s="10">
        <v>70</v>
      </c>
      <c r="D5087" s="10">
        <v>347</v>
      </c>
      <c r="E5087" s="10" t="s">
        <v>159</v>
      </c>
    </row>
    <row r="5088" spans="1:9" x14ac:dyDescent="0.35">
      <c r="A5088" s="2">
        <v>42879</v>
      </c>
      <c r="B5088" s="70" t="s">
        <v>38</v>
      </c>
      <c r="C5088" s="10">
        <v>63</v>
      </c>
      <c r="D5088" s="10">
        <v>232</v>
      </c>
      <c r="E5088" s="10" t="s">
        <v>159</v>
      </c>
    </row>
    <row r="5089" spans="1:7" x14ac:dyDescent="0.35">
      <c r="A5089" s="2">
        <v>42879</v>
      </c>
      <c r="B5089" s="70" t="s">
        <v>38</v>
      </c>
      <c r="C5089" s="10">
        <v>74</v>
      </c>
      <c r="D5089" s="10">
        <v>351</v>
      </c>
      <c r="E5089" s="10" t="s">
        <v>159</v>
      </c>
    </row>
    <row r="5090" spans="1:7" x14ac:dyDescent="0.35">
      <c r="A5090" s="2">
        <v>42879</v>
      </c>
      <c r="B5090" s="70" t="s">
        <v>38</v>
      </c>
      <c r="C5090" s="10">
        <v>65</v>
      </c>
      <c r="D5090" s="10">
        <v>208</v>
      </c>
      <c r="E5090" s="10" t="s">
        <v>159</v>
      </c>
    </row>
    <row r="5091" spans="1:7" x14ac:dyDescent="0.35">
      <c r="A5091" s="2">
        <v>42879</v>
      </c>
      <c r="B5091" s="70" t="s">
        <v>38</v>
      </c>
      <c r="C5091" s="10">
        <v>70</v>
      </c>
      <c r="D5091" s="10">
        <v>195</v>
      </c>
      <c r="E5091" s="10" t="s">
        <v>37</v>
      </c>
    </row>
    <row r="5092" spans="1:7" x14ac:dyDescent="0.35">
      <c r="A5092" s="2">
        <v>42879</v>
      </c>
      <c r="B5092" s="70" t="s">
        <v>38</v>
      </c>
      <c r="C5092" s="10">
        <v>75</v>
      </c>
      <c r="D5092" s="10">
        <v>294</v>
      </c>
      <c r="E5092" s="10" t="s">
        <v>159</v>
      </c>
    </row>
    <row r="5093" spans="1:7" x14ac:dyDescent="0.35">
      <c r="A5093" s="2">
        <v>42879</v>
      </c>
      <c r="B5093" s="70" t="s">
        <v>38</v>
      </c>
      <c r="C5093" s="10">
        <v>64</v>
      </c>
      <c r="D5093" s="10">
        <v>175</v>
      </c>
      <c r="E5093" s="10" t="s">
        <v>159</v>
      </c>
    </row>
    <row r="5094" spans="1:7" x14ac:dyDescent="0.35">
      <c r="A5094" s="2">
        <v>42879</v>
      </c>
      <c r="B5094" s="70" t="s">
        <v>38</v>
      </c>
      <c r="C5094" s="10">
        <v>70</v>
      </c>
      <c r="D5094" s="10">
        <v>216</v>
      </c>
      <c r="E5094" s="10" t="s">
        <v>37</v>
      </c>
    </row>
    <row r="5095" spans="1:7" x14ac:dyDescent="0.35">
      <c r="A5095" s="2">
        <v>42879</v>
      </c>
      <c r="B5095" s="70" t="s">
        <v>38</v>
      </c>
      <c r="C5095" s="10">
        <v>71</v>
      </c>
      <c r="D5095" s="10">
        <v>290</v>
      </c>
      <c r="E5095" s="10" t="s">
        <v>159</v>
      </c>
    </row>
    <row r="5096" spans="1:7" x14ac:dyDescent="0.35">
      <c r="A5096" s="2">
        <v>42879</v>
      </c>
      <c r="B5096" s="70" t="s">
        <v>38</v>
      </c>
      <c r="C5096" s="10">
        <v>72</v>
      </c>
      <c r="D5096" s="10">
        <v>299</v>
      </c>
      <c r="E5096" s="10" t="s">
        <v>159</v>
      </c>
    </row>
    <row r="5097" spans="1:7" x14ac:dyDescent="0.35">
      <c r="A5097" s="2">
        <v>42879</v>
      </c>
      <c r="B5097" s="70" t="s">
        <v>38</v>
      </c>
      <c r="C5097" s="10">
        <v>65</v>
      </c>
      <c r="D5097" s="10">
        <v>260</v>
      </c>
      <c r="E5097" s="10" t="s">
        <v>159</v>
      </c>
    </row>
    <row r="5098" spans="1:7" x14ac:dyDescent="0.35">
      <c r="A5098" s="2">
        <v>42879</v>
      </c>
      <c r="B5098" s="70" t="s">
        <v>38</v>
      </c>
      <c r="C5098" s="10">
        <v>65</v>
      </c>
      <c r="D5098" s="10">
        <v>223</v>
      </c>
      <c r="E5098" s="10" t="s">
        <v>159</v>
      </c>
    </row>
    <row r="5099" spans="1:7" x14ac:dyDescent="0.35">
      <c r="A5099" s="2">
        <v>42879</v>
      </c>
      <c r="B5099" s="70" t="s">
        <v>38</v>
      </c>
      <c r="C5099" s="10">
        <v>65</v>
      </c>
      <c r="D5099" s="10">
        <v>222</v>
      </c>
      <c r="E5099" s="10" t="s">
        <v>159</v>
      </c>
    </row>
    <row r="5100" spans="1:7" x14ac:dyDescent="0.35">
      <c r="A5100" s="2">
        <v>42879</v>
      </c>
      <c r="B5100" s="70" t="s">
        <v>38</v>
      </c>
      <c r="C5100" s="10">
        <v>64</v>
      </c>
      <c r="D5100" s="10">
        <v>219</v>
      </c>
      <c r="E5100" s="10" t="s">
        <v>159</v>
      </c>
    </row>
    <row r="5101" spans="1:7" x14ac:dyDescent="0.35">
      <c r="A5101" s="2">
        <v>42879</v>
      </c>
      <c r="B5101" s="70" t="s">
        <v>38</v>
      </c>
      <c r="C5101" s="10">
        <v>68</v>
      </c>
      <c r="D5101" s="10">
        <v>201</v>
      </c>
      <c r="E5101" s="10" t="s">
        <v>159</v>
      </c>
    </row>
    <row r="5102" spans="1:7" x14ac:dyDescent="0.35">
      <c r="A5102" s="2">
        <v>42879</v>
      </c>
      <c r="B5102" s="70" t="s">
        <v>38</v>
      </c>
      <c r="C5102" s="10">
        <v>72</v>
      </c>
      <c r="D5102" s="10">
        <v>262</v>
      </c>
      <c r="E5102" s="10" t="s">
        <v>159</v>
      </c>
      <c r="G5102" t="s">
        <v>574</v>
      </c>
    </row>
    <row r="5103" spans="1:7" x14ac:dyDescent="0.35">
      <c r="A5103" s="2">
        <v>42879</v>
      </c>
      <c r="B5103" s="70" t="s">
        <v>38</v>
      </c>
      <c r="C5103" s="10">
        <v>67</v>
      </c>
      <c r="D5103" s="10">
        <v>232</v>
      </c>
      <c r="E5103" s="10" t="s">
        <v>159</v>
      </c>
    </row>
    <row r="5104" spans="1:7" x14ac:dyDescent="0.35">
      <c r="A5104" s="2">
        <v>42879</v>
      </c>
      <c r="B5104" s="70" t="s">
        <v>38</v>
      </c>
      <c r="C5104" s="10">
        <v>65</v>
      </c>
      <c r="D5104" s="10">
        <v>232</v>
      </c>
      <c r="E5104" s="10" t="s">
        <v>159</v>
      </c>
    </row>
    <row r="5105" spans="1:17" x14ac:dyDescent="0.35">
      <c r="A5105" s="2">
        <v>42879</v>
      </c>
      <c r="B5105" s="70" t="s">
        <v>38</v>
      </c>
      <c r="C5105" s="10">
        <v>68</v>
      </c>
      <c r="D5105" s="10">
        <v>238</v>
      </c>
      <c r="E5105" s="10" t="s">
        <v>159</v>
      </c>
    </row>
    <row r="5106" spans="1:17" x14ac:dyDescent="0.35">
      <c r="A5106" s="2">
        <v>42879</v>
      </c>
      <c r="B5106" s="70" t="s">
        <v>38</v>
      </c>
      <c r="C5106" s="10">
        <v>68</v>
      </c>
      <c r="D5106" s="10">
        <v>262</v>
      </c>
      <c r="E5106" s="10" t="s">
        <v>159</v>
      </c>
    </row>
    <row r="5107" spans="1:17" x14ac:dyDescent="0.35">
      <c r="A5107" s="2">
        <v>42879</v>
      </c>
      <c r="B5107" s="70" t="s">
        <v>38</v>
      </c>
      <c r="C5107" s="10">
        <v>73</v>
      </c>
      <c r="D5107" s="10">
        <v>287</v>
      </c>
      <c r="E5107" s="10" t="s">
        <v>159</v>
      </c>
    </row>
    <row r="5108" spans="1:17" x14ac:dyDescent="0.35">
      <c r="A5108" s="2">
        <v>42879</v>
      </c>
      <c r="B5108" s="70" t="s">
        <v>38</v>
      </c>
      <c r="C5108" s="10">
        <v>61</v>
      </c>
      <c r="D5108" s="10">
        <v>238</v>
      </c>
      <c r="E5108" s="10" t="s">
        <v>159</v>
      </c>
    </row>
    <row r="5109" spans="1:17" x14ac:dyDescent="0.35">
      <c r="A5109" s="2">
        <v>42879</v>
      </c>
      <c r="B5109" s="70" t="s">
        <v>38</v>
      </c>
      <c r="C5109" s="10">
        <v>57</v>
      </c>
      <c r="D5109" s="10">
        <v>148</v>
      </c>
      <c r="E5109" s="10" t="s">
        <v>159</v>
      </c>
      <c r="J5109">
        <f>AVERAGE(C5069:C5111)</f>
        <v>67.906976744186053</v>
      </c>
      <c r="K5109">
        <f>AVERAGE(D5069:D5111)</f>
        <v>239.2093023255814</v>
      </c>
      <c r="M5109" t="e">
        <f>AVERAGE(#REF!)</f>
        <v>#REF!</v>
      </c>
      <c r="O5109" t="s">
        <v>32</v>
      </c>
      <c r="P5109" t="s">
        <v>37</v>
      </c>
      <c r="Q5109" t="s">
        <v>159</v>
      </c>
    </row>
    <row r="5110" spans="1:17" x14ac:dyDescent="0.35">
      <c r="A5110" s="2">
        <v>42879</v>
      </c>
      <c r="B5110" s="70" t="s">
        <v>38</v>
      </c>
      <c r="C5110" s="10">
        <v>68</v>
      </c>
      <c r="D5110" s="10">
        <v>233</v>
      </c>
      <c r="E5110" s="10" t="s">
        <v>159</v>
      </c>
      <c r="J5110">
        <f>AVERAGE(C5061:C5068)</f>
        <v>122.125</v>
      </c>
      <c r="K5110">
        <f>AVERAGE(D5061:D5068)</f>
        <v>2410</v>
      </c>
      <c r="L5110" s="42" t="e">
        <f>AVERAGE(#REF!)</f>
        <v>#REF!</v>
      </c>
      <c r="O5110" s="5">
        <f>COUNTIF(E5067:E5111,"VIA4")</f>
        <v>2</v>
      </c>
      <c r="P5110" s="5">
        <f>COUNTIF(E5067:E5112,"VIB")</f>
        <v>6</v>
      </c>
      <c r="Q5110" s="5">
        <f>COUNTIF(E5067:E5112,"VII")</f>
        <v>35</v>
      </c>
    </row>
    <row r="5111" spans="1:17" s="4" customFormat="1" x14ac:dyDescent="0.35">
      <c r="A5111" s="3">
        <v>42879</v>
      </c>
      <c r="B5111" s="44" t="s">
        <v>38</v>
      </c>
      <c r="C5111" s="11">
        <v>68</v>
      </c>
      <c r="D5111" s="11">
        <v>194</v>
      </c>
      <c r="E5111" s="11" t="s">
        <v>159</v>
      </c>
      <c r="O5111" s="6">
        <f>O5110/43*100</f>
        <v>4.6511627906976747</v>
      </c>
      <c r="P5111" s="6">
        <f t="shared" ref="P5111:Q5111" si="149">P5110/43*100</f>
        <v>13.953488372093023</v>
      </c>
      <c r="Q5111" s="6">
        <f t="shared" si="149"/>
        <v>81.395348837209298</v>
      </c>
    </row>
    <row r="5112" spans="1:17" s="5" customFormat="1" x14ac:dyDescent="0.35">
      <c r="A5112" s="2">
        <v>42879</v>
      </c>
      <c r="B5112" s="70" t="s">
        <v>114</v>
      </c>
      <c r="C5112" s="10">
        <v>148</v>
      </c>
      <c r="D5112" s="10">
        <v>3400</v>
      </c>
      <c r="E5112" s="10" t="s">
        <v>98</v>
      </c>
    </row>
    <row r="5113" spans="1:17" x14ac:dyDescent="0.35">
      <c r="A5113" s="2">
        <v>42879</v>
      </c>
      <c r="B5113" s="70" t="s">
        <v>114</v>
      </c>
      <c r="C5113" s="10">
        <v>141</v>
      </c>
      <c r="D5113" s="10">
        <v>3649</v>
      </c>
      <c r="E5113" s="10" t="s">
        <v>98</v>
      </c>
    </row>
    <row r="5114" spans="1:17" x14ac:dyDescent="0.35">
      <c r="A5114" s="2">
        <v>42879</v>
      </c>
      <c r="B5114" s="70" t="s">
        <v>114</v>
      </c>
      <c r="C5114" s="10">
        <v>123</v>
      </c>
      <c r="D5114" s="10">
        <v>3095</v>
      </c>
      <c r="E5114" s="10" t="s">
        <v>98</v>
      </c>
    </row>
    <row r="5115" spans="1:17" x14ac:dyDescent="0.35">
      <c r="A5115" s="2">
        <v>42879</v>
      </c>
      <c r="B5115" s="70" t="s">
        <v>114</v>
      </c>
      <c r="C5115" s="10">
        <v>104</v>
      </c>
      <c r="D5115" s="10">
        <v>1588</v>
      </c>
      <c r="E5115" s="10" t="s">
        <v>98</v>
      </c>
    </row>
    <row r="5116" spans="1:17" x14ac:dyDescent="0.35">
      <c r="A5116" s="2">
        <v>42879</v>
      </c>
      <c r="B5116" s="70" t="s">
        <v>114</v>
      </c>
      <c r="C5116" s="10">
        <v>102</v>
      </c>
      <c r="D5116" s="10">
        <v>1177</v>
      </c>
      <c r="E5116" s="10" t="s">
        <v>98</v>
      </c>
    </row>
    <row r="5117" spans="1:17" x14ac:dyDescent="0.35">
      <c r="A5117" s="2">
        <v>42879</v>
      </c>
      <c r="B5117" s="70" t="s">
        <v>114</v>
      </c>
      <c r="C5117" s="10">
        <v>109</v>
      </c>
      <c r="D5117" s="10">
        <v>1761</v>
      </c>
      <c r="E5117" s="10" t="s">
        <v>98</v>
      </c>
    </row>
    <row r="5118" spans="1:17" x14ac:dyDescent="0.35">
      <c r="A5118" s="2">
        <v>42879</v>
      </c>
      <c r="B5118" s="70" t="s">
        <v>114</v>
      </c>
      <c r="C5118" s="53">
        <v>85</v>
      </c>
      <c r="D5118" s="53">
        <v>699</v>
      </c>
      <c r="E5118" s="53" t="s">
        <v>98</v>
      </c>
      <c r="H5118" t="s">
        <v>498</v>
      </c>
    </row>
    <row r="5119" spans="1:17" x14ac:dyDescent="0.35">
      <c r="A5119" s="2">
        <v>42879</v>
      </c>
      <c r="B5119" s="70" t="s">
        <v>114</v>
      </c>
      <c r="C5119" s="10">
        <v>69</v>
      </c>
      <c r="D5119" s="10">
        <v>297</v>
      </c>
      <c r="E5119" s="10" t="s">
        <v>159</v>
      </c>
      <c r="H5119" t="s">
        <v>498</v>
      </c>
    </row>
    <row r="5120" spans="1:17" x14ac:dyDescent="0.35">
      <c r="A5120" s="2">
        <v>42879</v>
      </c>
      <c r="B5120" s="70" t="s">
        <v>114</v>
      </c>
      <c r="C5120" s="10">
        <v>69</v>
      </c>
      <c r="D5120" s="10">
        <v>179</v>
      </c>
      <c r="E5120" s="10" t="s">
        <v>32</v>
      </c>
      <c r="G5120" t="s">
        <v>161</v>
      </c>
      <c r="H5120" t="s">
        <v>498</v>
      </c>
    </row>
    <row r="5121" spans="1:8" x14ac:dyDescent="0.35">
      <c r="A5121" s="2">
        <v>42879</v>
      </c>
      <c r="B5121" s="70" t="s">
        <v>114</v>
      </c>
      <c r="C5121" s="10">
        <v>77</v>
      </c>
      <c r="D5121" s="10">
        <v>530</v>
      </c>
      <c r="E5121" s="10" t="s">
        <v>159</v>
      </c>
      <c r="H5121" t="s">
        <v>498</v>
      </c>
    </row>
    <row r="5122" spans="1:8" x14ac:dyDescent="0.35">
      <c r="A5122" s="2">
        <v>42879</v>
      </c>
      <c r="B5122" s="70" t="s">
        <v>114</v>
      </c>
      <c r="C5122" s="10">
        <v>73</v>
      </c>
      <c r="D5122" s="10">
        <v>497</v>
      </c>
      <c r="E5122" s="10" t="s">
        <v>159</v>
      </c>
    </row>
    <row r="5123" spans="1:8" x14ac:dyDescent="0.35">
      <c r="A5123" s="2">
        <v>42879</v>
      </c>
      <c r="B5123" s="70" t="s">
        <v>114</v>
      </c>
      <c r="C5123" s="10">
        <v>72</v>
      </c>
      <c r="D5123" s="10">
        <v>436</v>
      </c>
      <c r="E5123" s="10" t="s">
        <v>159</v>
      </c>
    </row>
    <row r="5124" spans="1:8" x14ac:dyDescent="0.35">
      <c r="A5124" s="2">
        <v>42879</v>
      </c>
      <c r="B5124" s="70" t="s">
        <v>114</v>
      </c>
      <c r="C5124" s="10">
        <v>69</v>
      </c>
      <c r="D5124" s="10">
        <v>404</v>
      </c>
      <c r="E5124" s="10" t="s">
        <v>159</v>
      </c>
    </row>
    <row r="5125" spans="1:8" s="4" customFormat="1" x14ac:dyDescent="0.35">
      <c r="A5125" s="3">
        <v>42879</v>
      </c>
      <c r="B5125" s="44" t="s">
        <v>114</v>
      </c>
      <c r="C5125" s="11">
        <v>64</v>
      </c>
      <c r="D5125" s="11">
        <v>281</v>
      </c>
      <c r="E5125" s="11" t="s">
        <v>32</v>
      </c>
      <c r="G5125" s="4" t="s">
        <v>161</v>
      </c>
    </row>
    <row r="5126" spans="1:8" x14ac:dyDescent="0.35">
      <c r="A5126" s="2">
        <v>42879</v>
      </c>
      <c r="B5126" s="36" t="s">
        <v>143</v>
      </c>
      <c r="C5126" s="10">
        <v>120</v>
      </c>
      <c r="D5126" s="10">
        <v>2533</v>
      </c>
      <c r="E5126" s="10" t="s">
        <v>98</v>
      </c>
    </row>
    <row r="5127" spans="1:8" x14ac:dyDescent="0.35">
      <c r="A5127" s="2">
        <v>42879</v>
      </c>
      <c r="B5127" s="36" t="s">
        <v>143</v>
      </c>
      <c r="C5127" s="10">
        <v>163</v>
      </c>
      <c r="D5127" s="10">
        <v>5559</v>
      </c>
      <c r="E5127" s="10" t="s">
        <v>98</v>
      </c>
    </row>
    <row r="5128" spans="1:8" s="4" customFormat="1" x14ac:dyDescent="0.35">
      <c r="A5128" s="3">
        <v>42879</v>
      </c>
      <c r="B5128" s="26" t="s">
        <v>143</v>
      </c>
      <c r="C5128" s="11">
        <v>262</v>
      </c>
      <c r="D5128" s="11">
        <v>28163</v>
      </c>
      <c r="E5128" s="4" t="s">
        <v>58</v>
      </c>
    </row>
    <row r="5129" spans="1:8" x14ac:dyDescent="0.35">
      <c r="A5129" s="2">
        <v>42879</v>
      </c>
      <c r="B5129" s="70" t="s">
        <v>66</v>
      </c>
      <c r="C5129" s="53">
        <v>97</v>
      </c>
      <c r="D5129" s="53">
        <v>912</v>
      </c>
      <c r="E5129" s="53" t="s">
        <v>98</v>
      </c>
    </row>
    <row r="5130" spans="1:8" x14ac:dyDescent="0.35">
      <c r="A5130" s="2">
        <v>42879</v>
      </c>
      <c r="B5130" s="70" t="s">
        <v>66</v>
      </c>
      <c r="C5130" s="10">
        <v>67</v>
      </c>
      <c r="D5130" s="10">
        <v>258</v>
      </c>
      <c r="E5130" s="10" t="s">
        <v>159</v>
      </c>
    </row>
    <row r="5131" spans="1:8" x14ac:dyDescent="0.35">
      <c r="A5131" s="2">
        <v>42879</v>
      </c>
      <c r="B5131" s="70" t="s">
        <v>66</v>
      </c>
      <c r="C5131" s="10">
        <v>67</v>
      </c>
      <c r="D5131" s="10">
        <v>234</v>
      </c>
      <c r="E5131" s="10" t="s">
        <v>159</v>
      </c>
    </row>
    <row r="5132" spans="1:8" x14ac:dyDescent="0.35">
      <c r="A5132" s="2">
        <v>42879</v>
      </c>
      <c r="B5132" s="70" t="s">
        <v>66</v>
      </c>
      <c r="C5132" s="10">
        <v>70</v>
      </c>
      <c r="D5132" s="10">
        <v>230</v>
      </c>
      <c r="E5132" s="10" t="s">
        <v>32</v>
      </c>
    </row>
    <row r="5133" spans="1:8" x14ac:dyDescent="0.35">
      <c r="A5133" s="2">
        <v>42879</v>
      </c>
      <c r="B5133" s="70" t="s">
        <v>66</v>
      </c>
      <c r="C5133" s="10">
        <v>65</v>
      </c>
      <c r="D5133" s="10">
        <v>186</v>
      </c>
      <c r="E5133" s="10" t="s">
        <v>159</v>
      </c>
    </row>
    <row r="5134" spans="1:8" x14ac:dyDescent="0.35">
      <c r="A5134" s="2">
        <v>42879</v>
      </c>
      <c r="B5134" s="70" t="s">
        <v>66</v>
      </c>
      <c r="C5134" s="10">
        <v>70</v>
      </c>
      <c r="D5134" s="10">
        <v>320</v>
      </c>
      <c r="E5134" s="10" t="s">
        <v>159</v>
      </c>
    </row>
    <row r="5135" spans="1:8" x14ac:dyDescent="0.35">
      <c r="A5135" s="2">
        <v>42879</v>
      </c>
      <c r="B5135" s="70" t="s">
        <v>66</v>
      </c>
      <c r="C5135" s="10">
        <v>71</v>
      </c>
      <c r="D5135" s="10">
        <v>379</v>
      </c>
      <c r="E5135" s="10" t="s">
        <v>159</v>
      </c>
    </row>
    <row r="5136" spans="1:8" x14ac:dyDescent="0.35">
      <c r="A5136" s="2">
        <v>42879</v>
      </c>
      <c r="B5136" s="70" t="s">
        <v>66</v>
      </c>
      <c r="C5136" s="10">
        <v>68</v>
      </c>
      <c r="D5136" s="10">
        <v>253</v>
      </c>
      <c r="E5136" s="10" t="s">
        <v>159</v>
      </c>
    </row>
    <row r="5137" spans="1:7" x14ac:dyDescent="0.35">
      <c r="A5137" s="2">
        <v>42879</v>
      </c>
      <c r="B5137" s="70" t="s">
        <v>66</v>
      </c>
      <c r="C5137" s="10">
        <v>71</v>
      </c>
      <c r="D5137" s="10">
        <v>287</v>
      </c>
      <c r="E5137" s="10" t="s">
        <v>159</v>
      </c>
    </row>
    <row r="5138" spans="1:7" s="4" customFormat="1" x14ac:dyDescent="0.35">
      <c r="A5138" s="3">
        <v>42879</v>
      </c>
      <c r="B5138" s="44" t="s">
        <v>66</v>
      </c>
      <c r="C5138" s="11">
        <v>70</v>
      </c>
      <c r="D5138" s="11">
        <v>270</v>
      </c>
      <c r="E5138" s="11" t="s">
        <v>37</v>
      </c>
    </row>
    <row r="5139" spans="1:7" x14ac:dyDescent="0.35">
      <c r="A5139" s="2">
        <v>42879</v>
      </c>
      <c r="B5139" s="70" t="s">
        <v>63</v>
      </c>
      <c r="C5139" s="10">
        <v>111</v>
      </c>
      <c r="D5139" s="10">
        <v>1818</v>
      </c>
      <c r="E5139" s="10" t="s">
        <v>98</v>
      </c>
      <c r="G5139" s="23" t="s">
        <v>575</v>
      </c>
    </row>
    <row r="5140" spans="1:7" x14ac:dyDescent="0.35">
      <c r="A5140" s="2">
        <v>42879</v>
      </c>
      <c r="B5140" s="70" t="s">
        <v>63</v>
      </c>
      <c r="C5140" s="10">
        <v>74</v>
      </c>
      <c r="D5140" s="10">
        <v>428</v>
      </c>
      <c r="E5140" s="10" t="s">
        <v>159</v>
      </c>
      <c r="G5140" s="23" t="s">
        <v>576</v>
      </c>
    </row>
    <row r="5141" spans="1:7" x14ac:dyDescent="0.35">
      <c r="A5141" s="2">
        <v>42879</v>
      </c>
      <c r="B5141" s="70" t="s">
        <v>63</v>
      </c>
      <c r="C5141" s="10">
        <v>75</v>
      </c>
      <c r="D5141" s="10">
        <v>346</v>
      </c>
      <c r="E5141" s="10" t="s">
        <v>37</v>
      </c>
      <c r="G5141" s="23" t="s">
        <v>577</v>
      </c>
    </row>
    <row r="5142" spans="1:7" x14ac:dyDescent="0.35">
      <c r="A5142" s="2">
        <v>42879</v>
      </c>
      <c r="B5142" s="70" t="s">
        <v>63</v>
      </c>
      <c r="C5142" s="10">
        <v>67</v>
      </c>
      <c r="D5142" s="10">
        <v>247</v>
      </c>
      <c r="E5142" s="10" t="s">
        <v>159</v>
      </c>
      <c r="G5142" s="23" t="s">
        <v>578</v>
      </c>
    </row>
    <row r="5143" spans="1:7" x14ac:dyDescent="0.35">
      <c r="A5143" s="2">
        <v>42879</v>
      </c>
      <c r="B5143" s="70" t="s">
        <v>63</v>
      </c>
      <c r="C5143" s="10">
        <v>70</v>
      </c>
      <c r="D5143" s="10">
        <v>357</v>
      </c>
      <c r="E5143" s="10" t="s">
        <v>159</v>
      </c>
      <c r="G5143" s="23" t="s">
        <v>579</v>
      </c>
    </row>
    <row r="5144" spans="1:7" x14ac:dyDescent="0.35">
      <c r="A5144" s="2">
        <v>42879</v>
      </c>
      <c r="B5144" s="70" t="s">
        <v>63</v>
      </c>
      <c r="C5144" s="10">
        <v>70</v>
      </c>
      <c r="D5144" s="10">
        <v>356</v>
      </c>
      <c r="E5144" s="10" t="s">
        <v>159</v>
      </c>
    </row>
    <row r="5145" spans="1:7" x14ac:dyDescent="0.35">
      <c r="A5145" s="2">
        <v>42879</v>
      </c>
      <c r="B5145" s="70" t="s">
        <v>63</v>
      </c>
      <c r="C5145" s="10">
        <v>68</v>
      </c>
      <c r="D5145" s="10">
        <v>354</v>
      </c>
      <c r="E5145" s="10" t="s">
        <v>159</v>
      </c>
    </row>
    <row r="5146" spans="1:7" x14ac:dyDescent="0.35">
      <c r="A5146" s="2">
        <v>42879</v>
      </c>
      <c r="B5146" s="70" t="s">
        <v>63</v>
      </c>
      <c r="C5146" s="10">
        <v>73</v>
      </c>
      <c r="D5146" s="10">
        <v>366</v>
      </c>
      <c r="E5146" s="10" t="s">
        <v>159</v>
      </c>
    </row>
    <row r="5147" spans="1:7" x14ac:dyDescent="0.35">
      <c r="A5147" s="2">
        <v>42879</v>
      </c>
      <c r="B5147" s="70" t="s">
        <v>63</v>
      </c>
      <c r="C5147" s="10">
        <v>69</v>
      </c>
      <c r="D5147" s="10">
        <v>370</v>
      </c>
      <c r="E5147" s="10" t="s">
        <v>159</v>
      </c>
    </row>
    <row r="5148" spans="1:7" x14ac:dyDescent="0.35">
      <c r="A5148" s="2">
        <v>42879</v>
      </c>
      <c r="B5148" s="70" t="s">
        <v>63</v>
      </c>
      <c r="C5148" s="10">
        <v>73</v>
      </c>
      <c r="D5148" s="10">
        <v>371</v>
      </c>
      <c r="E5148" s="10" t="s">
        <v>159</v>
      </c>
    </row>
    <row r="5149" spans="1:7" s="4" customFormat="1" x14ac:dyDescent="0.35">
      <c r="A5149" s="3">
        <v>42879</v>
      </c>
      <c r="B5149" s="44" t="s">
        <v>63</v>
      </c>
      <c r="C5149" s="11">
        <v>71</v>
      </c>
      <c r="D5149" s="11">
        <v>370</v>
      </c>
      <c r="E5149" s="11" t="s">
        <v>159</v>
      </c>
    </row>
    <row r="5150" spans="1:7" x14ac:dyDescent="0.35">
      <c r="A5150" s="2">
        <v>42879</v>
      </c>
      <c r="B5150" s="70" t="s">
        <v>102</v>
      </c>
      <c r="C5150" s="10">
        <v>104</v>
      </c>
      <c r="D5150" s="10">
        <v>1238</v>
      </c>
      <c r="E5150" s="10" t="s">
        <v>98</v>
      </c>
    </row>
    <row r="5151" spans="1:7" x14ac:dyDescent="0.35">
      <c r="A5151" s="2">
        <v>42879</v>
      </c>
      <c r="B5151" s="70" t="s">
        <v>102</v>
      </c>
      <c r="C5151" s="10">
        <v>132</v>
      </c>
      <c r="D5151" s="10">
        <v>3584</v>
      </c>
      <c r="E5151" s="10" t="s">
        <v>98</v>
      </c>
    </row>
    <row r="5152" spans="1:7" x14ac:dyDescent="0.35">
      <c r="A5152" s="2">
        <v>42879</v>
      </c>
      <c r="B5152" s="70" t="s">
        <v>102</v>
      </c>
      <c r="C5152" s="10">
        <v>112</v>
      </c>
      <c r="D5152" s="10">
        <v>2400</v>
      </c>
      <c r="E5152" s="10" t="s">
        <v>98</v>
      </c>
    </row>
    <row r="5153" spans="1:7" x14ac:dyDescent="0.35">
      <c r="A5153" s="2">
        <v>42879</v>
      </c>
      <c r="B5153" s="70" t="s">
        <v>102</v>
      </c>
      <c r="C5153" s="10">
        <v>107</v>
      </c>
      <c r="D5153" s="10">
        <v>1827</v>
      </c>
      <c r="E5153" s="10" t="s">
        <v>98</v>
      </c>
    </row>
    <row r="5154" spans="1:7" x14ac:dyDescent="0.35">
      <c r="A5154" s="2">
        <v>42879</v>
      </c>
      <c r="B5154" s="70" t="s">
        <v>102</v>
      </c>
      <c r="C5154" s="55">
        <v>80</v>
      </c>
      <c r="D5154" s="55">
        <v>627</v>
      </c>
      <c r="E5154" s="55" t="s">
        <v>159</v>
      </c>
    </row>
    <row r="5155" spans="1:7" x14ac:dyDescent="0.35">
      <c r="A5155" s="2">
        <v>42879</v>
      </c>
      <c r="B5155" s="70" t="s">
        <v>102</v>
      </c>
      <c r="C5155" s="55">
        <v>80</v>
      </c>
      <c r="D5155" s="55">
        <v>608</v>
      </c>
      <c r="E5155" s="55" t="s">
        <v>159</v>
      </c>
    </row>
    <row r="5156" spans="1:7" x14ac:dyDescent="0.35">
      <c r="A5156" s="2">
        <v>42879</v>
      </c>
      <c r="B5156" s="70" t="s">
        <v>102</v>
      </c>
      <c r="C5156" s="10">
        <v>73</v>
      </c>
      <c r="D5156" s="10">
        <v>433</v>
      </c>
      <c r="E5156" s="10" t="s">
        <v>159</v>
      </c>
      <c r="G5156" s="23" t="s">
        <v>580</v>
      </c>
    </row>
    <row r="5157" spans="1:7" x14ac:dyDescent="0.35">
      <c r="A5157" s="2">
        <v>42879</v>
      </c>
      <c r="B5157" s="70" t="s">
        <v>102</v>
      </c>
      <c r="C5157" s="10">
        <v>68</v>
      </c>
      <c r="D5157" s="10">
        <v>338</v>
      </c>
      <c r="E5157" s="10" t="s">
        <v>159</v>
      </c>
      <c r="G5157" s="23" t="s">
        <v>581</v>
      </c>
    </row>
    <row r="5158" spans="1:7" x14ac:dyDescent="0.35">
      <c r="A5158" s="2">
        <v>42879</v>
      </c>
      <c r="B5158" s="70" t="s">
        <v>102</v>
      </c>
      <c r="C5158" s="10">
        <v>79</v>
      </c>
      <c r="D5158" s="10">
        <v>517</v>
      </c>
      <c r="E5158" s="10" t="s">
        <v>159</v>
      </c>
      <c r="G5158" s="23"/>
    </row>
    <row r="5159" spans="1:7" x14ac:dyDescent="0.35">
      <c r="A5159" s="2">
        <v>42879</v>
      </c>
      <c r="B5159" s="70" t="s">
        <v>102</v>
      </c>
      <c r="C5159" s="10">
        <v>68</v>
      </c>
      <c r="D5159" s="10">
        <v>299</v>
      </c>
      <c r="E5159" s="10" t="s">
        <v>159</v>
      </c>
      <c r="G5159" s="23" t="s">
        <v>582</v>
      </c>
    </row>
    <row r="5160" spans="1:7" x14ac:dyDescent="0.35">
      <c r="A5160" s="2">
        <v>42879</v>
      </c>
      <c r="B5160" s="70" t="s">
        <v>102</v>
      </c>
      <c r="C5160" s="10">
        <v>76</v>
      </c>
      <c r="D5160" s="10">
        <v>574</v>
      </c>
      <c r="E5160" s="10" t="s">
        <v>159</v>
      </c>
      <c r="G5160" s="23"/>
    </row>
    <row r="5161" spans="1:7" x14ac:dyDescent="0.35">
      <c r="A5161" s="2">
        <v>42879</v>
      </c>
      <c r="B5161" s="70" t="s">
        <v>102</v>
      </c>
      <c r="C5161" s="10">
        <v>79</v>
      </c>
      <c r="D5161" s="10">
        <v>480</v>
      </c>
      <c r="E5161" s="10" t="s">
        <v>159</v>
      </c>
      <c r="G5161" s="23"/>
    </row>
    <row r="5162" spans="1:7" x14ac:dyDescent="0.35">
      <c r="A5162" s="2">
        <v>42879</v>
      </c>
      <c r="B5162" s="70" t="s">
        <v>102</v>
      </c>
      <c r="C5162" s="10">
        <v>75</v>
      </c>
      <c r="D5162" s="10">
        <v>488</v>
      </c>
      <c r="E5162" s="10" t="s">
        <v>159</v>
      </c>
      <c r="G5162" s="23"/>
    </row>
    <row r="5163" spans="1:7" x14ac:dyDescent="0.35">
      <c r="A5163" s="2">
        <v>42879</v>
      </c>
      <c r="B5163" s="70" t="s">
        <v>102</v>
      </c>
      <c r="C5163" s="10">
        <v>68</v>
      </c>
      <c r="D5163" s="10">
        <v>348</v>
      </c>
      <c r="E5163" s="10" t="s">
        <v>159</v>
      </c>
      <c r="G5163" s="23" t="s">
        <v>583</v>
      </c>
    </row>
    <row r="5164" spans="1:7" x14ac:dyDescent="0.35">
      <c r="A5164" s="2">
        <v>42879</v>
      </c>
      <c r="B5164" s="70" t="s">
        <v>102</v>
      </c>
      <c r="C5164" s="10">
        <v>72</v>
      </c>
      <c r="D5164" s="10">
        <v>405</v>
      </c>
      <c r="E5164" s="10" t="s">
        <v>159</v>
      </c>
      <c r="G5164" s="23" t="s">
        <v>584</v>
      </c>
    </row>
    <row r="5165" spans="1:7" x14ac:dyDescent="0.35">
      <c r="A5165" s="2">
        <v>42879</v>
      </c>
      <c r="B5165" s="70" t="s">
        <v>102</v>
      </c>
      <c r="C5165" s="10">
        <v>70</v>
      </c>
      <c r="D5165" s="10">
        <v>329</v>
      </c>
      <c r="E5165" s="10" t="s">
        <v>159</v>
      </c>
    </row>
    <row r="5166" spans="1:7" x14ac:dyDescent="0.35">
      <c r="A5166" s="2">
        <v>42879</v>
      </c>
      <c r="B5166" s="70" t="s">
        <v>102</v>
      </c>
      <c r="C5166" s="10">
        <v>70</v>
      </c>
      <c r="D5166" s="10">
        <v>383</v>
      </c>
      <c r="E5166" s="10" t="s">
        <v>159</v>
      </c>
    </row>
    <row r="5167" spans="1:7" x14ac:dyDescent="0.35">
      <c r="A5167" s="2">
        <v>42879</v>
      </c>
      <c r="B5167" s="70" t="s">
        <v>102</v>
      </c>
      <c r="C5167" s="10">
        <v>69</v>
      </c>
      <c r="D5167" s="10">
        <v>435</v>
      </c>
      <c r="E5167" s="10" t="s">
        <v>159</v>
      </c>
    </row>
    <row r="5168" spans="1:7" x14ac:dyDescent="0.35">
      <c r="A5168" s="2">
        <v>42879</v>
      </c>
      <c r="B5168" s="70" t="s">
        <v>102</v>
      </c>
      <c r="C5168" s="10">
        <v>74</v>
      </c>
      <c r="D5168" s="10">
        <v>471</v>
      </c>
      <c r="E5168" s="10" t="s">
        <v>159</v>
      </c>
    </row>
    <row r="5169" spans="1:5" x14ac:dyDescent="0.35">
      <c r="A5169" s="2">
        <v>42879</v>
      </c>
      <c r="B5169" s="70" t="s">
        <v>102</v>
      </c>
      <c r="C5169" s="10">
        <v>69</v>
      </c>
      <c r="D5169" s="10">
        <v>341</v>
      </c>
      <c r="E5169" s="10" t="s">
        <v>159</v>
      </c>
    </row>
    <row r="5170" spans="1:5" x14ac:dyDescent="0.35">
      <c r="A5170" s="2">
        <v>42879</v>
      </c>
      <c r="B5170" s="70" t="s">
        <v>102</v>
      </c>
      <c r="C5170" s="10">
        <v>78</v>
      </c>
      <c r="D5170" s="10">
        <v>481</v>
      </c>
      <c r="E5170" s="10" t="s">
        <v>159</v>
      </c>
    </row>
    <row r="5171" spans="1:5" x14ac:dyDescent="0.35">
      <c r="A5171" s="2">
        <v>42879</v>
      </c>
      <c r="B5171" s="70" t="s">
        <v>102</v>
      </c>
      <c r="C5171" s="10">
        <v>77</v>
      </c>
      <c r="D5171" s="10">
        <v>553</v>
      </c>
      <c r="E5171" s="10" t="s">
        <v>159</v>
      </c>
    </row>
    <row r="5172" spans="1:5" x14ac:dyDescent="0.35">
      <c r="A5172" s="2">
        <v>42879</v>
      </c>
      <c r="B5172" s="70" t="s">
        <v>102</v>
      </c>
      <c r="C5172" s="10">
        <v>70</v>
      </c>
      <c r="D5172" s="10">
        <v>343</v>
      </c>
      <c r="E5172" s="10" t="s">
        <v>159</v>
      </c>
    </row>
    <row r="5173" spans="1:5" x14ac:dyDescent="0.35">
      <c r="A5173" s="2">
        <v>42879</v>
      </c>
      <c r="B5173" s="70" t="s">
        <v>102</v>
      </c>
      <c r="C5173" s="10">
        <v>67</v>
      </c>
      <c r="D5173" s="10">
        <v>344</v>
      </c>
      <c r="E5173" s="10" t="s">
        <v>159</v>
      </c>
    </row>
    <row r="5174" spans="1:5" x14ac:dyDescent="0.35">
      <c r="A5174" s="2">
        <v>42879</v>
      </c>
      <c r="B5174" s="70" t="s">
        <v>102</v>
      </c>
      <c r="C5174" s="10">
        <v>75</v>
      </c>
      <c r="D5174" s="10">
        <v>393</v>
      </c>
      <c r="E5174" s="10" t="s">
        <v>159</v>
      </c>
    </row>
    <row r="5175" spans="1:5" x14ac:dyDescent="0.35">
      <c r="A5175" s="2">
        <v>42879</v>
      </c>
      <c r="B5175" s="70" t="s">
        <v>102</v>
      </c>
      <c r="C5175" s="10">
        <v>61</v>
      </c>
      <c r="D5175" s="10">
        <v>219</v>
      </c>
      <c r="E5175" s="10" t="s">
        <v>159</v>
      </c>
    </row>
    <row r="5176" spans="1:5" x14ac:dyDescent="0.35">
      <c r="A5176" s="2">
        <v>42879</v>
      </c>
      <c r="B5176" s="70" t="s">
        <v>102</v>
      </c>
      <c r="C5176" s="10">
        <v>66</v>
      </c>
      <c r="D5176" s="10">
        <v>394</v>
      </c>
      <c r="E5176" s="10" t="s">
        <v>159</v>
      </c>
    </row>
    <row r="5177" spans="1:5" s="4" customFormat="1" x14ac:dyDescent="0.35">
      <c r="A5177" s="3">
        <v>42879</v>
      </c>
      <c r="B5177" s="44" t="s">
        <v>102</v>
      </c>
      <c r="C5177" s="11">
        <v>70</v>
      </c>
      <c r="D5177" s="11">
        <v>370</v>
      </c>
      <c r="E5177" s="11" t="s">
        <v>159</v>
      </c>
    </row>
    <row r="5178" spans="1:5" x14ac:dyDescent="0.35">
      <c r="A5178" s="2">
        <v>42879</v>
      </c>
      <c r="B5178" s="70" t="s">
        <v>113</v>
      </c>
      <c r="C5178" s="10">
        <v>109</v>
      </c>
      <c r="D5178" s="10">
        <v>1602</v>
      </c>
      <c r="E5178" s="10" t="s">
        <v>98</v>
      </c>
    </row>
    <row r="5179" spans="1:5" x14ac:dyDescent="0.35">
      <c r="A5179" s="2">
        <v>42879</v>
      </c>
      <c r="B5179" s="70" t="s">
        <v>113</v>
      </c>
      <c r="C5179" s="10">
        <v>120</v>
      </c>
      <c r="D5179" s="10">
        <v>2283</v>
      </c>
      <c r="E5179" s="10" t="s">
        <v>98</v>
      </c>
    </row>
    <row r="5180" spans="1:5" x14ac:dyDescent="0.35">
      <c r="A5180" s="2">
        <v>42879</v>
      </c>
      <c r="B5180" s="70" t="s">
        <v>113</v>
      </c>
      <c r="C5180" s="10">
        <v>130</v>
      </c>
      <c r="D5180" s="10">
        <v>3029</v>
      </c>
      <c r="E5180" s="10" t="s">
        <v>98</v>
      </c>
    </row>
    <row r="5181" spans="1:5" x14ac:dyDescent="0.35">
      <c r="A5181" s="2">
        <v>42879</v>
      </c>
      <c r="B5181" s="70" t="s">
        <v>113</v>
      </c>
      <c r="C5181" s="53">
        <v>89</v>
      </c>
      <c r="D5181" s="53">
        <v>794</v>
      </c>
      <c r="E5181" s="53" t="s">
        <v>98</v>
      </c>
    </row>
    <row r="5182" spans="1:5" x14ac:dyDescent="0.35">
      <c r="A5182" s="2">
        <v>42879</v>
      </c>
      <c r="B5182" s="70" t="s">
        <v>113</v>
      </c>
      <c r="C5182" s="53">
        <v>83</v>
      </c>
      <c r="D5182" s="53">
        <v>763</v>
      </c>
      <c r="E5182" s="53" t="s">
        <v>98</v>
      </c>
    </row>
    <row r="5183" spans="1:5" x14ac:dyDescent="0.35">
      <c r="A5183" s="2">
        <v>42879</v>
      </c>
      <c r="B5183" s="70" t="s">
        <v>113</v>
      </c>
      <c r="C5183" s="53">
        <v>89</v>
      </c>
      <c r="D5183" s="53">
        <v>794</v>
      </c>
      <c r="E5183" s="53" t="s">
        <v>98</v>
      </c>
    </row>
    <row r="5184" spans="1:5" x14ac:dyDescent="0.35">
      <c r="A5184" s="2">
        <v>42879</v>
      </c>
      <c r="B5184" s="70" t="s">
        <v>113</v>
      </c>
      <c r="C5184" s="10">
        <v>66</v>
      </c>
      <c r="D5184" s="10">
        <v>326</v>
      </c>
      <c r="E5184" s="10" t="s">
        <v>159</v>
      </c>
    </row>
    <row r="5185" spans="1:7" x14ac:dyDescent="0.35">
      <c r="A5185" s="2">
        <v>42879</v>
      </c>
      <c r="B5185" s="70" t="s">
        <v>113</v>
      </c>
      <c r="C5185" s="10">
        <v>66</v>
      </c>
      <c r="D5185" s="10">
        <v>353</v>
      </c>
      <c r="E5185" s="10" t="s">
        <v>159</v>
      </c>
    </row>
    <row r="5186" spans="1:7" x14ac:dyDescent="0.35">
      <c r="A5186" s="2">
        <v>42879</v>
      </c>
      <c r="B5186" s="70" t="s">
        <v>113</v>
      </c>
      <c r="C5186" s="10">
        <v>70</v>
      </c>
      <c r="D5186" s="10">
        <v>342</v>
      </c>
      <c r="E5186" s="10" t="s">
        <v>159</v>
      </c>
    </row>
    <row r="5187" spans="1:7" x14ac:dyDescent="0.35">
      <c r="A5187" s="2">
        <v>42879</v>
      </c>
      <c r="B5187" s="70" t="s">
        <v>113</v>
      </c>
      <c r="C5187" s="10">
        <v>72</v>
      </c>
      <c r="D5187" s="10">
        <v>462</v>
      </c>
      <c r="E5187" s="10" t="s">
        <v>159</v>
      </c>
    </row>
    <row r="5188" spans="1:7" x14ac:dyDescent="0.35">
      <c r="A5188" s="2">
        <v>42879</v>
      </c>
      <c r="B5188" s="70" t="s">
        <v>113</v>
      </c>
      <c r="C5188" s="10">
        <v>69</v>
      </c>
      <c r="D5188" s="10">
        <v>389</v>
      </c>
      <c r="E5188" s="10" t="s">
        <v>159</v>
      </c>
    </row>
    <row r="5189" spans="1:7" x14ac:dyDescent="0.35">
      <c r="A5189" s="2">
        <v>42879</v>
      </c>
      <c r="B5189" s="70" t="s">
        <v>113</v>
      </c>
      <c r="C5189" s="10">
        <v>65</v>
      </c>
      <c r="D5189" s="10">
        <v>223</v>
      </c>
      <c r="E5189" s="10" t="s">
        <v>159</v>
      </c>
      <c r="G5189" t="s">
        <v>421</v>
      </c>
    </row>
    <row r="5190" spans="1:7" x14ac:dyDescent="0.35">
      <c r="A5190" s="2">
        <v>42879</v>
      </c>
      <c r="B5190" s="70" t="s">
        <v>113</v>
      </c>
      <c r="C5190" s="10">
        <v>73</v>
      </c>
      <c r="D5190" s="10">
        <v>460</v>
      </c>
      <c r="E5190" s="10" t="s">
        <v>159</v>
      </c>
    </row>
    <row r="5191" spans="1:7" x14ac:dyDescent="0.35">
      <c r="A5191" s="2">
        <v>42879</v>
      </c>
      <c r="B5191" s="70" t="s">
        <v>113</v>
      </c>
      <c r="C5191" s="10">
        <v>70</v>
      </c>
      <c r="D5191" s="10">
        <v>397</v>
      </c>
      <c r="E5191" s="10" t="s">
        <v>159</v>
      </c>
    </row>
    <row r="5192" spans="1:7" x14ac:dyDescent="0.35">
      <c r="A5192" s="2">
        <v>42879</v>
      </c>
      <c r="B5192" s="70" t="s">
        <v>113</v>
      </c>
      <c r="C5192" s="10">
        <v>65</v>
      </c>
      <c r="D5192" s="10">
        <v>164</v>
      </c>
      <c r="E5192" s="10" t="s">
        <v>37</v>
      </c>
    </row>
    <row r="5193" spans="1:7" x14ac:dyDescent="0.35">
      <c r="A5193" s="2">
        <v>42879</v>
      </c>
      <c r="B5193" s="70" t="s">
        <v>113</v>
      </c>
      <c r="C5193" s="10">
        <v>78</v>
      </c>
      <c r="D5193" s="10">
        <v>412</v>
      </c>
      <c r="E5193" s="10" t="s">
        <v>159</v>
      </c>
    </row>
    <row r="5194" spans="1:7" x14ac:dyDescent="0.35">
      <c r="A5194" s="2">
        <v>42879</v>
      </c>
      <c r="B5194" s="70" t="s">
        <v>113</v>
      </c>
      <c r="C5194" s="10">
        <v>78</v>
      </c>
      <c r="D5194" s="10">
        <v>406</v>
      </c>
      <c r="E5194" s="10" t="s">
        <v>159</v>
      </c>
    </row>
    <row r="5195" spans="1:7" x14ac:dyDescent="0.35">
      <c r="A5195" s="2">
        <v>42879</v>
      </c>
      <c r="B5195" s="70" t="s">
        <v>113</v>
      </c>
      <c r="C5195" s="10">
        <v>70</v>
      </c>
      <c r="D5195" s="10">
        <v>289</v>
      </c>
      <c r="E5195" s="10" t="s">
        <v>37</v>
      </c>
    </row>
    <row r="5196" spans="1:7" x14ac:dyDescent="0.35">
      <c r="A5196" s="2">
        <v>42879</v>
      </c>
      <c r="B5196" s="70" t="s">
        <v>113</v>
      </c>
      <c r="C5196" s="10">
        <v>75</v>
      </c>
      <c r="D5196" s="10">
        <v>453</v>
      </c>
      <c r="E5196" s="10" t="s">
        <v>159</v>
      </c>
    </row>
    <row r="5197" spans="1:7" x14ac:dyDescent="0.35">
      <c r="A5197" s="2">
        <v>42879</v>
      </c>
      <c r="B5197" s="70" t="s">
        <v>113</v>
      </c>
      <c r="C5197" s="10">
        <v>74</v>
      </c>
      <c r="D5197" s="10">
        <v>429</v>
      </c>
      <c r="E5197" s="10" t="s">
        <v>159</v>
      </c>
    </row>
    <row r="5198" spans="1:7" x14ac:dyDescent="0.35">
      <c r="A5198" s="2">
        <v>42879</v>
      </c>
      <c r="B5198" s="70" t="s">
        <v>113</v>
      </c>
      <c r="C5198" s="10">
        <v>73</v>
      </c>
      <c r="D5198" s="10">
        <v>335</v>
      </c>
      <c r="E5198" s="10" t="s">
        <v>159</v>
      </c>
    </row>
    <row r="5199" spans="1:7" x14ac:dyDescent="0.35">
      <c r="A5199" s="2">
        <v>42879</v>
      </c>
      <c r="B5199" s="70" t="s">
        <v>113</v>
      </c>
      <c r="C5199" s="10">
        <v>75</v>
      </c>
      <c r="D5199" s="10">
        <v>543</v>
      </c>
      <c r="E5199" s="10" t="s">
        <v>159</v>
      </c>
    </row>
    <row r="5200" spans="1:7" x14ac:dyDescent="0.35">
      <c r="A5200" s="2">
        <v>42879</v>
      </c>
      <c r="B5200" s="70" t="s">
        <v>113</v>
      </c>
      <c r="C5200" s="10">
        <v>75</v>
      </c>
      <c r="D5200" s="10">
        <v>529</v>
      </c>
      <c r="E5200" s="10" t="s">
        <v>159</v>
      </c>
    </row>
    <row r="5201" spans="1:7" x14ac:dyDescent="0.35">
      <c r="A5201" s="2">
        <v>42879</v>
      </c>
      <c r="B5201" s="70" t="s">
        <v>113</v>
      </c>
      <c r="C5201" s="10">
        <v>70</v>
      </c>
      <c r="D5201" s="10">
        <v>404</v>
      </c>
      <c r="E5201" s="10" t="s">
        <v>159</v>
      </c>
    </row>
    <row r="5202" spans="1:7" x14ac:dyDescent="0.35">
      <c r="A5202" s="2">
        <v>42879</v>
      </c>
      <c r="B5202" s="70" t="s">
        <v>113</v>
      </c>
      <c r="C5202" s="10">
        <v>72</v>
      </c>
      <c r="D5202" s="10">
        <v>406</v>
      </c>
      <c r="E5202" s="10" t="s">
        <v>159</v>
      </c>
    </row>
    <row r="5203" spans="1:7" x14ac:dyDescent="0.35">
      <c r="A5203" s="2">
        <v>42879</v>
      </c>
      <c r="B5203" s="70" t="s">
        <v>113</v>
      </c>
      <c r="C5203" s="10">
        <v>69</v>
      </c>
      <c r="D5203" s="10">
        <v>382</v>
      </c>
      <c r="E5203" s="10" t="s">
        <v>159</v>
      </c>
    </row>
    <row r="5204" spans="1:7" x14ac:dyDescent="0.35">
      <c r="A5204" s="2">
        <v>42879</v>
      </c>
      <c r="B5204" s="70" t="s">
        <v>113</v>
      </c>
      <c r="C5204" s="10">
        <v>73</v>
      </c>
      <c r="D5204" s="10">
        <v>396</v>
      </c>
      <c r="E5204" s="10" t="s">
        <v>159</v>
      </c>
    </row>
    <row r="5205" spans="1:7" x14ac:dyDescent="0.35">
      <c r="A5205" s="2">
        <v>42879</v>
      </c>
      <c r="B5205" s="70" t="s">
        <v>113</v>
      </c>
      <c r="C5205" s="10">
        <v>66</v>
      </c>
      <c r="D5205" s="10">
        <v>318</v>
      </c>
      <c r="E5205" s="10" t="s">
        <v>159</v>
      </c>
    </row>
    <row r="5206" spans="1:7" x14ac:dyDescent="0.35">
      <c r="A5206" s="2">
        <v>42879</v>
      </c>
      <c r="B5206" s="70" t="s">
        <v>113</v>
      </c>
      <c r="C5206" s="10">
        <v>70</v>
      </c>
      <c r="D5206" s="10">
        <v>298</v>
      </c>
      <c r="E5206" s="10" t="s">
        <v>159</v>
      </c>
    </row>
    <row r="5207" spans="1:7" s="4" customFormat="1" x14ac:dyDescent="0.35">
      <c r="A5207" s="3">
        <v>42879</v>
      </c>
      <c r="B5207" s="44" t="s">
        <v>113</v>
      </c>
      <c r="C5207" s="11">
        <v>72</v>
      </c>
      <c r="D5207" s="11">
        <v>481</v>
      </c>
      <c r="E5207" s="11" t="s">
        <v>159</v>
      </c>
    </row>
    <row r="5208" spans="1:7" x14ac:dyDescent="0.35">
      <c r="A5208" s="2">
        <v>42879</v>
      </c>
      <c r="B5208" s="70" t="s">
        <v>103</v>
      </c>
      <c r="C5208" s="10">
        <v>108</v>
      </c>
      <c r="D5208" s="10">
        <v>2007</v>
      </c>
      <c r="E5208" s="10" t="s">
        <v>98</v>
      </c>
    </row>
    <row r="5209" spans="1:7" x14ac:dyDescent="0.35">
      <c r="A5209" s="2">
        <v>42879</v>
      </c>
      <c r="B5209" s="70" t="s">
        <v>103</v>
      </c>
      <c r="C5209" s="10">
        <v>149</v>
      </c>
      <c r="D5209" s="10">
        <v>5151</v>
      </c>
      <c r="E5209" s="10" t="s">
        <v>98</v>
      </c>
    </row>
    <row r="5210" spans="1:7" x14ac:dyDescent="0.35">
      <c r="A5210" s="2">
        <v>42879</v>
      </c>
      <c r="B5210" s="70" t="s">
        <v>103</v>
      </c>
      <c r="C5210" s="55">
        <v>81</v>
      </c>
      <c r="D5210" s="55">
        <v>830</v>
      </c>
      <c r="E5210" s="55" t="s">
        <v>159</v>
      </c>
    </row>
    <row r="5211" spans="1:7" x14ac:dyDescent="0.35">
      <c r="A5211" s="2">
        <v>42879</v>
      </c>
      <c r="B5211" s="70" t="s">
        <v>103</v>
      </c>
      <c r="C5211" s="55">
        <v>80</v>
      </c>
      <c r="D5211" s="55">
        <v>668</v>
      </c>
      <c r="E5211" s="55" t="s">
        <v>159</v>
      </c>
    </row>
    <row r="5212" spans="1:7" x14ac:dyDescent="0.35">
      <c r="A5212" s="2">
        <v>42879</v>
      </c>
      <c r="B5212" s="70" t="s">
        <v>103</v>
      </c>
      <c r="C5212" s="10">
        <v>77</v>
      </c>
      <c r="D5212" s="10">
        <v>652</v>
      </c>
      <c r="E5212" s="10" t="s">
        <v>159</v>
      </c>
    </row>
    <row r="5213" spans="1:7" x14ac:dyDescent="0.35">
      <c r="A5213" s="2">
        <v>42879</v>
      </c>
      <c r="B5213" s="70" t="s">
        <v>103</v>
      </c>
      <c r="C5213" s="10">
        <v>75</v>
      </c>
      <c r="D5213" s="10">
        <v>569</v>
      </c>
      <c r="E5213" s="10" t="s">
        <v>159</v>
      </c>
    </row>
    <row r="5214" spans="1:7" x14ac:dyDescent="0.35">
      <c r="A5214" s="2">
        <v>42879</v>
      </c>
      <c r="B5214" s="70" t="s">
        <v>103</v>
      </c>
      <c r="C5214" s="10">
        <v>77</v>
      </c>
      <c r="D5214" s="10">
        <v>649</v>
      </c>
      <c r="E5214" s="10" t="s">
        <v>159</v>
      </c>
    </row>
    <row r="5215" spans="1:7" x14ac:dyDescent="0.35">
      <c r="A5215" s="2">
        <v>42879</v>
      </c>
      <c r="B5215" s="70" t="s">
        <v>103</v>
      </c>
      <c r="C5215" s="10">
        <v>64</v>
      </c>
      <c r="D5215" s="10">
        <v>234</v>
      </c>
      <c r="E5215" s="10" t="s">
        <v>34</v>
      </c>
      <c r="G5215" t="s">
        <v>421</v>
      </c>
    </row>
    <row r="5216" spans="1:7" x14ac:dyDescent="0.35">
      <c r="A5216" s="2">
        <v>42879</v>
      </c>
      <c r="B5216" s="70" t="s">
        <v>103</v>
      </c>
      <c r="C5216" s="10">
        <v>70</v>
      </c>
      <c r="D5216" s="10">
        <v>409</v>
      </c>
      <c r="E5216" s="10" t="s">
        <v>159</v>
      </c>
      <c r="G5216" t="s">
        <v>421</v>
      </c>
    </row>
    <row r="5217" spans="1:5" x14ac:dyDescent="0.35">
      <c r="A5217" s="2">
        <v>42879</v>
      </c>
      <c r="B5217" s="70" t="s">
        <v>103</v>
      </c>
      <c r="C5217" s="10">
        <v>73</v>
      </c>
      <c r="D5217" s="10">
        <v>441</v>
      </c>
      <c r="E5217" s="10" t="s">
        <v>159</v>
      </c>
    </row>
    <row r="5218" spans="1:5" x14ac:dyDescent="0.35">
      <c r="A5218" s="2">
        <v>42879</v>
      </c>
      <c r="B5218" s="70" t="s">
        <v>103</v>
      </c>
      <c r="C5218" s="10">
        <v>74</v>
      </c>
      <c r="D5218" s="10">
        <v>437</v>
      </c>
      <c r="E5218" s="10" t="s">
        <v>159</v>
      </c>
    </row>
    <row r="5219" spans="1:5" x14ac:dyDescent="0.35">
      <c r="A5219" s="2">
        <v>42879</v>
      </c>
      <c r="B5219" s="70" t="s">
        <v>103</v>
      </c>
      <c r="C5219" s="10">
        <v>72</v>
      </c>
      <c r="D5219" s="10">
        <v>361</v>
      </c>
      <c r="E5219" s="10" t="s">
        <v>159</v>
      </c>
    </row>
    <row r="5220" spans="1:5" x14ac:dyDescent="0.35">
      <c r="A5220" s="2">
        <v>42879</v>
      </c>
      <c r="B5220" s="70" t="s">
        <v>103</v>
      </c>
      <c r="C5220" s="10">
        <v>75</v>
      </c>
      <c r="D5220" s="10">
        <v>511</v>
      </c>
      <c r="E5220" s="10" t="s">
        <v>159</v>
      </c>
    </row>
    <row r="5221" spans="1:5" x14ac:dyDescent="0.35">
      <c r="A5221" s="2">
        <v>42879</v>
      </c>
      <c r="B5221" s="70" t="s">
        <v>103</v>
      </c>
      <c r="C5221" s="10">
        <v>70</v>
      </c>
      <c r="D5221" s="10">
        <v>392</v>
      </c>
      <c r="E5221" s="10" t="s">
        <v>159</v>
      </c>
    </row>
    <row r="5222" spans="1:5" x14ac:dyDescent="0.35">
      <c r="A5222" s="2">
        <v>42879</v>
      </c>
      <c r="B5222" s="70" t="s">
        <v>103</v>
      </c>
      <c r="C5222" s="10">
        <v>73</v>
      </c>
      <c r="D5222" s="10">
        <v>449</v>
      </c>
      <c r="E5222" s="10" t="s">
        <v>159</v>
      </c>
    </row>
    <row r="5223" spans="1:5" x14ac:dyDescent="0.35">
      <c r="A5223" s="2">
        <v>42879</v>
      </c>
      <c r="B5223" s="70" t="s">
        <v>103</v>
      </c>
      <c r="C5223" s="10">
        <v>78</v>
      </c>
      <c r="D5223" s="10">
        <v>604</v>
      </c>
      <c r="E5223" s="10" t="s">
        <v>159</v>
      </c>
    </row>
    <row r="5224" spans="1:5" x14ac:dyDescent="0.35">
      <c r="A5224" s="2">
        <v>42879</v>
      </c>
      <c r="B5224" s="70" t="s">
        <v>103</v>
      </c>
      <c r="C5224" s="10">
        <v>71</v>
      </c>
      <c r="D5224" s="10">
        <v>398</v>
      </c>
      <c r="E5224" s="10" t="s">
        <v>159</v>
      </c>
    </row>
    <row r="5225" spans="1:5" x14ac:dyDescent="0.35">
      <c r="A5225" s="2">
        <v>42879</v>
      </c>
      <c r="B5225" s="70" t="s">
        <v>103</v>
      </c>
      <c r="C5225" s="10">
        <v>70</v>
      </c>
      <c r="D5225" s="10">
        <v>468</v>
      </c>
      <c r="E5225" s="10" t="s">
        <v>159</v>
      </c>
    </row>
    <row r="5226" spans="1:5" x14ac:dyDescent="0.35">
      <c r="A5226" s="2">
        <v>42879</v>
      </c>
      <c r="B5226" s="70" t="s">
        <v>103</v>
      </c>
      <c r="C5226" s="10">
        <v>73</v>
      </c>
      <c r="D5226" s="10">
        <v>468</v>
      </c>
      <c r="E5226" s="10" t="s">
        <v>159</v>
      </c>
    </row>
    <row r="5227" spans="1:5" x14ac:dyDescent="0.35">
      <c r="A5227" s="2">
        <v>42879</v>
      </c>
      <c r="B5227" s="70" t="s">
        <v>103</v>
      </c>
      <c r="C5227" s="10">
        <v>71</v>
      </c>
      <c r="D5227" s="10">
        <v>427</v>
      </c>
      <c r="E5227" s="10" t="s">
        <v>159</v>
      </c>
    </row>
    <row r="5228" spans="1:5" x14ac:dyDescent="0.35">
      <c r="A5228" s="2">
        <v>42879</v>
      </c>
      <c r="B5228" s="70" t="s">
        <v>103</v>
      </c>
      <c r="C5228" s="10">
        <v>73</v>
      </c>
      <c r="D5228" s="10">
        <v>528</v>
      </c>
      <c r="E5228" s="10" t="s">
        <v>159</v>
      </c>
    </row>
    <row r="5229" spans="1:5" x14ac:dyDescent="0.35">
      <c r="A5229" s="2">
        <v>42879</v>
      </c>
      <c r="B5229" s="70" t="s">
        <v>103</v>
      </c>
      <c r="C5229" s="10">
        <v>78</v>
      </c>
      <c r="D5229" s="10">
        <v>560</v>
      </c>
      <c r="E5229" s="10" t="s">
        <v>159</v>
      </c>
    </row>
    <row r="5230" spans="1:5" x14ac:dyDescent="0.35">
      <c r="A5230" s="2">
        <v>42879</v>
      </c>
      <c r="B5230" s="70" t="s">
        <v>103</v>
      </c>
      <c r="C5230" s="10">
        <v>70</v>
      </c>
      <c r="D5230" s="10">
        <v>421</v>
      </c>
      <c r="E5230" s="10" t="s">
        <v>159</v>
      </c>
    </row>
    <row r="5231" spans="1:5" x14ac:dyDescent="0.35">
      <c r="A5231" s="2">
        <v>42879</v>
      </c>
      <c r="B5231" s="70" t="s">
        <v>103</v>
      </c>
      <c r="C5231" s="10">
        <v>78</v>
      </c>
      <c r="D5231" s="10">
        <v>500</v>
      </c>
      <c r="E5231" s="10" t="s">
        <v>159</v>
      </c>
    </row>
    <row r="5232" spans="1:5" x14ac:dyDescent="0.35">
      <c r="A5232" s="2">
        <v>42879</v>
      </c>
      <c r="B5232" s="70" t="s">
        <v>103</v>
      </c>
      <c r="C5232" s="10">
        <v>75</v>
      </c>
      <c r="D5232" s="10">
        <v>511</v>
      </c>
      <c r="E5232" s="10" t="s">
        <v>159</v>
      </c>
    </row>
    <row r="5233" spans="1:5" x14ac:dyDescent="0.35">
      <c r="A5233" s="2">
        <v>42879</v>
      </c>
      <c r="B5233" s="70" t="s">
        <v>103</v>
      </c>
      <c r="C5233" s="10">
        <v>73</v>
      </c>
      <c r="D5233" s="10">
        <v>467</v>
      </c>
      <c r="E5233" s="10" t="s">
        <v>159</v>
      </c>
    </row>
    <row r="5234" spans="1:5" x14ac:dyDescent="0.35">
      <c r="A5234" s="2">
        <v>42879</v>
      </c>
      <c r="B5234" s="70" t="s">
        <v>103</v>
      </c>
      <c r="C5234" s="10">
        <v>71</v>
      </c>
      <c r="D5234" s="10">
        <v>428</v>
      </c>
      <c r="E5234" s="10" t="s">
        <v>159</v>
      </c>
    </row>
    <row r="5235" spans="1:5" x14ac:dyDescent="0.35">
      <c r="A5235" s="2">
        <v>42879</v>
      </c>
      <c r="B5235" s="70" t="s">
        <v>103</v>
      </c>
      <c r="C5235" s="10">
        <v>73</v>
      </c>
      <c r="D5235" s="10">
        <v>491</v>
      </c>
      <c r="E5235" s="10" t="s">
        <v>159</v>
      </c>
    </row>
    <row r="5236" spans="1:5" x14ac:dyDescent="0.35">
      <c r="A5236" s="2">
        <v>42879</v>
      </c>
      <c r="B5236" s="70" t="s">
        <v>103</v>
      </c>
      <c r="C5236" s="10">
        <v>71</v>
      </c>
      <c r="D5236" s="10">
        <v>440</v>
      </c>
      <c r="E5236" s="10" t="s">
        <v>159</v>
      </c>
    </row>
    <row r="5237" spans="1:5" x14ac:dyDescent="0.35">
      <c r="A5237" s="2">
        <v>42879</v>
      </c>
      <c r="B5237" s="70" t="s">
        <v>103</v>
      </c>
      <c r="C5237" s="10">
        <v>70</v>
      </c>
      <c r="D5237" s="10">
        <v>339</v>
      </c>
      <c r="E5237" s="10" t="s">
        <v>159</v>
      </c>
    </row>
    <row r="5238" spans="1:5" x14ac:dyDescent="0.35">
      <c r="A5238" s="2">
        <v>42879</v>
      </c>
      <c r="B5238" s="70" t="s">
        <v>103</v>
      </c>
      <c r="C5238" s="10">
        <v>77</v>
      </c>
      <c r="D5238" s="10">
        <v>590</v>
      </c>
      <c r="E5238" s="10" t="s">
        <v>159</v>
      </c>
    </row>
    <row r="5239" spans="1:5" x14ac:dyDescent="0.35">
      <c r="A5239" s="2">
        <v>42879</v>
      </c>
      <c r="B5239" s="70" t="s">
        <v>103</v>
      </c>
      <c r="C5239" s="10">
        <v>68</v>
      </c>
      <c r="D5239" s="10">
        <v>357</v>
      </c>
      <c r="E5239" s="10" t="s">
        <v>159</v>
      </c>
    </row>
    <row r="5240" spans="1:5" x14ac:dyDescent="0.35">
      <c r="A5240" s="2">
        <v>42879</v>
      </c>
      <c r="B5240" s="70" t="s">
        <v>103</v>
      </c>
      <c r="C5240" s="10">
        <v>79</v>
      </c>
      <c r="D5240" s="10">
        <v>615</v>
      </c>
      <c r="E5240" s="10" t="s">
        <v>159</v>
      </c>
    </row>
    <row r="5241" spans="1:5" x14ac:dyDescent="0.35">
      <c r="A5241" s="2">
        <v>42879</v>
      </c>
      <c r="B5241" s="70" t="s">
        <v>103</v>
      </c>
      <c r="C5241" s="10">
        <v>74</v>
      </c>
      <c r="D5241" s="10">
        <v>496</v>
      </c>
      <c r="E5241" s="10" t="s">
        <v>159</v>
      </c>
    </row>
    <row r="5242" spans="1:5" x14ac:dyDescent="0.35">
      <c r="A5242" s="2">
        <v>42879</v>
      </c>
      <c r="B5242" s="70" t="s">
        <v>103</v>
      </c>
      <c r="C5242" s="10">
        <v>68</v>
      </c>
      <c r="D5242" s="10">
        <v>391</v>
      </c>
      <c r="E5242" s="10" t="s">
        <v>159</v>
      </c>
    </row>
    <row r="5243" spans="1:5" s="4" customFormat="1" x14ac:dyDescent="0.35">
      <c r="A5243" s="3">
        <v>42879</v>
      </c>
      <c r="B5243" s="44" t="s">
        <v>103</v>
      </c>
      <c r="C5243" s="11">
        <v>71</v>
      </c>
      <c r="D5243" s="11">
        <v>498</v>
      </c>
      <c r="E5243" s="11" t="s">
        <v>159</v>
      </c>
    </row>
    <row r="5244" spans="1:5" x14ac:dyDescent="0.35">
      <c r="A5244" s="2">
        <v>42879</v>
      </c>
      <c r="B5244" s="70" t="s">
        <v>104</v>
      </c>
      <c r="C5244" s="10">
        <v>118</v>
      </c>
      <c r="D5244" s="10">
        <v>2276</v>
      </c>
      <c r="E5244" s="10" t="s">
        <v>98</v>
      </c>
    </row>
    <row r="5245" spans="1:5" x14ac:dyDescent="0.35">
      <c r="A5245" s="2">
        <v>42879</v>
      </c>
      <c r="B5245" s="70" t="s">
        <v>104</v>
      </c>
      <c r="C5245" s="10">
        <v>144</v>
      </c>
      <c r="D5245" s="10">
        <v>4225</v>
      </c>
      <c r="E5245" s="10" t="s">
        <v>98</v>
      </c>
    </row>
    <row r="5246" spans="1:5" x14ac:dyDescent="0.35">
      <c r="A5246" s="2">
        <v>42879</v>
      </c>
      <c r="B5246" s="70" t="s">
        <v>104</v>
      </c>
      <c r="C5246" s="10">
        <v>142</v>
      </c>
      <c r="D5246" s="10">
        <v>4609</v>
      </c>
      <c r="E5246" s="10" t="s">
        <v>98</v>
      </c>
    </row>
    <row r="5247" spans="1:5" x14ac:dyDescent="0.35">
      <c r="A5247" s="2">
        <v>42879</v>
      </c>
      <c r="B5247" s="70" t="s">
        <v>104</v>
      </c>
      <c r="C5247" s="10">
        <v>166</v>
      </c>
      <c r="D5247" s="10">
        <v>5912</v>
      </c>
      <c r="E5247" s="10" t="s">
        <v>98</v>
      </c>
    </row>
    <row r="5248" spans="1:5" x14ac:dyDescent="0.35">
      <c r="A5248" s="2">
        <v>42879</v>
      </c>
      <c r="B5248" s="70" t="s">
        <v>104</v>
      </c>
      <c r="C5248" s="10">
        <v>108</v>
      </c>
      <c r="D5248" s="10">
        <v>1714</v>
      </c>
      <c r="E5248" s="10" t="s">
        <v>98</v>
      </c>
    </row>
    <row r="5249" spans="1:9" x14ac:dyDescent="0.35">
      <c r="A5249" s="2">
        <v>42879</v>
      </c>
      <c r="B5249" s="70" t="s">
        <v>104</v>
      </c>
      <c r="C5249" s="10">
        <v>125</v>
      </c>
      <c r="D5249" s="10">
        <v>2642</v>
      </c>
      <c r="E5249" s="10" t="s">
        <v>98</v>
      </c>
    </row>
    <row r="5250" spans="1:9" x14ac:dyDescent="0.35">
      <c r="A5250" s="2">
        <v>42879</v>
      </c>
      <c r="B5250" s="70" t="s">
        <v>104</v>
      </c>
      <c r="C5250" s="10">
        <v>110</v>
      </c>
      <c r="D5250" s="10">
        <v>1678</v>
      </c>
      <c r="E5250" s="10" t="s">
        <v>98</v>
      </c>
    </row>
    <row r="5251" spans="1:9" x14ac:dyDescent="0.35">
      <c r="A5251" s="2">
        <v>42879</v>
      </c>
      <c r="B5251" s="70" t="s">
        <v>104</v>
      </c>
      <c r="C5251" s="10">
        <v>132</v>
      </c>
      <c r="D5251" s="10">
        <v>2865</v>
      </c>
      <c r="E5251" s="10" t="s">
        <v>98</v>
      </c>
    </row>
    <row r="5252" spans="1:9" x14ac:dyDescent="0.35">
      <c r="A5252" s="2">
        <v>42879</v>
      </c>
      <c r="B5252" s="70" t="s">
        <v>104</v>
      </c>
      <c r="C5252" s="53">
        <v>83</v>
      </c>
      <c r="D5252" s="53">
        <v>679</v>
      </c>
      <c r="E5252" s="53" t="s">
        <v>98</v>
      </c>
    </row>
    <row r="5253" spans="1:9" x14ac:dyDescent="0.35">
      <c r="A5253" s="2">
        <v>42879</v>
      </c>
      <c r="B5253" s="70" t="s">
        <v>104</v>
      </c>
      <c r="C5253" s="53">
        <v>84</v>
      </c>
      <c r="D5253" s="53">
        <v>665</v>
      </c>
      <c r="E5253" s="53" t="s">
        <v>98</v>
      </c>
    </row>
    <row r="5254" spans="1:9" x14ac:dyDescent="0.35">
      <c r="A5254" s="2">
        <v>42879</v>
      </c>
      <c r="B5254" s="70" t="s">
        <v>104</v>
      </c>
      <c r="C5254" s="55">
        <v>80</v>
      </c>
      <c r="D5254" s="55">
        <v>571</v>
      </c>
      <c r="E5254" s="55" t="s">
        <v>159</v>
      </c>
    </row>
    <row r="5255" spans="1:9" x14ac:dyDescent="0.35">
      <c r="A5255" s="2">
        <v>42879</v>
      </c>
      <c r="B5255" s="70" t="s">
        <v>104</v>
      </c>
      <c r="C5255" s="10">
        <v>73</v>
      </c>
      <c r="D5255" s="10">
        <v>476</v>
      </c>
      <c r="E5255" s="10" t="s">
        <v>159</v>
      </c>
    </row>
    <row r="5256" spans="1:9" x14ac:dyDescent="0.35">
      <c r="A5256" s="2">
        <v>42879</v>
      </c>
      <c r="B5256" s="70" t="s">
        <v>104</v>
      </c>
      <c r="C5256" s="10">
        <v>71</v>
      </c>
      <c r="D5256" s="10">
        <v>412</v>
      </c>
      <c r="E5256" s="10" t="s">
        <v>159</v>
      </c>
    </row>
    <row r="5257" spans="1:9" x14ac:dyDescent="0.35">
      <c r="A5257" s="2">
        <v>42879</v>
      </c>
      <c r="B5257" s="70" t="s">
        <v>104</v>
      </c>
      <c r="C5257" s="10">
        <v>71</v>
      </c>
      <c r="D5257" s="10">
        <v>468</v>
      </c>
      <c r="E5257" s="10" t="s">
        <v>159</v>
      </c>
    </row>
    <row r="5258" spans="1:9" x14ac:dyDescent="0.35">
      <c r="A5258" s="2">
        <v>42879</v>
      </c>
      <c r="B5258" s="70" t="s">
        <v>104</v>
      </c>
      <c r="C5258" s="10">
        <v>71</v>
      </c>
      <c r="D5258" s="10">
        <v>404</v>
      </c>
      <c r="E5258" s="10" t="s">
        <v>159</v>
      </c>
    </row>
    <row r="5259" spans="1:9" x14ac:dyDescent="0.35">
      <c r="A5259" s="2">
        <v>42879</v>
      </c>
      <c r="B5259" s="70" t="s">
        <v>104</v>
      </c>
      <c r="C5259" s="10">
        <v>68</v>
      </c>
      <c r="D5259" s="10">
        <v>319</v>
      </c>
      <c r="E5259" s="10" t="s">
        <v>159</v>
      </c>
    </row>
    <row r="5260" spans="1:9" x14ac:dyDescent="0.35">
      <c r="A5260" s="2">
        <v>42879</v>
      </c>
      <c r="B5260" s="70" t="s">
        <v>104</v>
      </c>
      <c r="C5260" s="10">
        <v>72</v>
      </c>
      <c r="D5260" s="10">
        <v>542</v>
      </c>
      <c r="E5260" s="10" t="s">
        <v>159</v>
      </c>
      <c r="G5260" t="s">
        <v>585</v>
      </c>
      <c r="I5260" t="s">
        <v>586</v>
      </c>
    </row>
    <row r="5261" spans="1:9" x14ac:dyDescent="0.35">
      <c r="A5261" s="2">
        <v>42879</v>
      </c>
      <c r="B5261" s="70" t="s">
        <v>104</v>
      </c>
      <c r="C5261" s="10">
        <v>79</v>
      </c>
      <c r="D5261" s="10">
        <v>538</v>
      </c>
      <c r="E5261" s="10" t="s">
        <v>159</v>
      </c>
    </row>
    <row r="5262" spans="1:9" x14ac:dyDescent="0.35">
      <c r="A5262" s="2">
        <v>42879</v>
      </c>
      <c r="B5262" s="70" t="s">
        <v>104</v>
      </c>
      <c r="C5262" s="10">
        <v>77</v>
      </c>
      <c r="D5262" s="10">
        <v>506</v>
      </c>
      <c r="E5262" s="10" t="s">
        <v>159</v>
      </c>
    </row>
    <row r="5263" spans="1:9" x14ac:dyDescent="0.35">
      <c r="A5263" s="2">
        <v>42879</v>
      </c>
      <c r="B5263" s="70" t="s">
        <v>104</v>
      </c>
      <c r="C5263" s="10">
        <v>65</v>
      </c>
      <c r="D5263" s="10">
        <v>324</v>
      </c>
      <c r="E5263" s="10" t="s">
        <v>159</v>
      </c>
    </row>
    <row r="5264" spans="1:9" x14ac:dyDescent="0.35">
      <c r="A5264" s="2">
        <v>42879</v>
      </c>
      <c r="B5264" s="70" t="s">
        <v>104</v>
      </c>
      <c r="C5264" s="10">
        <v>65</v>
      </c>
      <c r="D5264" s="10">
        <v>298</v>
      </c>
      <c r="E5264" s="10" t="s">
        <v>159</v>
      </c>
    </row>
    <row r="5265" spans="1:7" x14ac:dyDescent="0.35">
      <c r="A5265" s="2">
        <v>42879</v>
      </c>
      <c r="B5265" s="70" t="s">
        <v>104</v>
      </c>
      <c r="C5265" s="10">
        <v>73</v>
      </c>
      <c r="D5265" s="10">
        <v>456</v>
      </c>
      <c r="E5265" s="10" t="s">
        <v>159</v>
      </c>
    </row>
    <row r="5266" spans="1:7" x14ac:dyDescent="0.35">
      <c r="A5266" s="2">
        <v>42879</v>
      </c>
      <c r="B5266" s="70" t="s">
        <v>104</v>
      </c>
      <c r="C5266" s="10">
        <v>63</v>
      </c>
      <c r="D5266" s="10">
        <v>291</v>
      </c>
      <c r="E5266" s="10" t="s">
        <v>159</v>
      </c>
    </row>
    <row r="5267" spans="1:7" x14ac:dyDescent="0.35">
      <c r="A5267" s="2">
        <v>42879</v>
      </c>
      <c r="B5267" s="70" t="s">
        <v>104</v>
      </c>
      <c r="C5267" s="10">
        <v>70</v>
      </c>
      <c r="D5267" s="10">
        <v>341</v>
      </c>
      <c r="E5267" s="10" t="s">
        <v>159</v>
      </c>
    </row>
    <row r="5268" spans="1:7" x14ac:dyDescent="0.35">
      <c r="A5268" s="2">
        <v>42879</v>
      </c>
      <c r="B5268" s="70" t="s">
        <v>104</v>
      </c>
      <c r="C5268" s="10">
        <v>75</v>
      </c>
      <c r="D5268" s="10">
        <v>396</v>
      </c>
      <c r="E5268" s="10" t="s">
        <v>159</v>
      </c>
    </row>
    <row r="5269" spans="1:7" x14ac:dyDescent="0.35">
      <c r="A5269" s="2">
        <v>42879</v>
      </c>
      <c r="B5269" s="70" t="s">
        <v>104</v>
      </c>
      <c r="C5269" s="10">
        <v>73</v>
      </c>
      <c r="D5269" s="10">
        <v>474</v>
      </c>
      <c r="E5269" s="10" t="s">
        <v>159</v>
      </c>
    </row>
    <row r="5270" spans="1:7" x14ac:dyDescent="0.35">
      <c r="A5270" s="2">
        <v>42879</v>
      </c>
      <c r="B5270" s="70" t="s">
        <v>104</v>
      </c>
      <c r="C5270" s="10">
        <v>70</v>
      </c>
      <c r="D5270" s="10">
        <v>287</v>
      </c>
      <c r="E5270" s="10" t="s">
        <v>159</v>
      </c>
    </row>
    <row r="5271" spans="1:7" x14ac:dyDescent="0.35">
      <c r="A5271" s="2">
        <v>42879</v>
      </c>
      <c r="B5271" s="70" t="s">
        <v>104</v>
      </c>
      <c r="C5271" s="10">
        <v>69</v>
      </c>
      <c r="D5271" s="10">
        <v>333</v>
      </c>
      <c r="E5271" s="10" t="s">
        <v>159</v>
      </c>
      <c r="G5271" t="s">
        <v>587</v>
      </c>
    </row>
    <row r="5272" spans="1:7" x14ac:dyDescent="0.35">
      <c r="A5272" s="2">
        <v>42879</v>
      </c>
      <c r="B5272" s="70" t="s">
        <v>104</v>
      </c>
      <c r="C5272" s="10">
        <v>75</v>
      </c>
      <c r="D5272" s="10">
        <v>497</v>
      </c>
      <c r="E5272" s="10" t="s">
        <v>159</v>
      </c>
    </row>
    <row r="5273" spans="1:7" x14ac:dyDescent="0.35">
      <c r="A5273" s="2">
        <v>42879</v>
      </c>
      <c r="B5273" s="70" t="s">
        <v>104</v>
      </c>
      <c r="C5273" s="10">
        <v>74</v>
      </c>
      <c r="D5273" s="10">
        <v>427</v>
      </c>
      <c r="E5273" s="10" t="s">
        <v>159</v>
      </c>
    </row>
    <row r="5274" spans="1:7" x14ac:dyDescent="0.35">
      <c r="A5274" s="2">
        <v>42879</v>
      </c>
      <c r="B5274" s="70" t="s">
        <v>104</v>
      </c>
      <c r="C5274" s="10">
        <v>76</v>
      </c>
      <c r="D5274" s="10">
        <v>543</v>
      </c>
      <c r="E5274" s="10" t="s">
        <v>159</v>
      </c>
    </row>
    <row r="5275" spans="1:7" x14ac:dyDescent="0.35">
      <c r="A5275" s="2">
        <v>42879</v>
      </c>
      <c r="B5275" s="70" t="s">
        <v>104</v>
      </c>
      <c r="C5275" s="10">
        <v>67</v>
      </c>
      <c r="D5275" s="10">
        <v>283</v>
      </c>
      <c r="E5275" s="10" t="s">
        <v>37</v>
      </c>
    </row>
    <row r="5276" spans="1:7" x14ac:dyDescent="0.35">
      <c r="A5276" s="2">
        <v>42879</v>
      </c>
      <c r="B5276" s="70" t="s">
        <v>104</v>
      </c>
      <c r="C5276" s="10">
        <v>65</v>
      </c>
      <c r="D5276" s="10">
        <v>245</v>
      </c>
      <c r="E5276" s="10" t="s">
        <v>159</v>
      </c>
    </row>
    <row r="5277" spans="1:7" x14ac:dyDescent="0.35">
      <c r="A5277" s="2">
        <v>42879</v>
      </c>
      <c r="B5277" s="70" t="s">
        <v>104</v>
      </c>
      <c r="C5277" s="10">
        <v>70</v>
      </c>
      <c r="D5277" s="10">
        <v>434</v>
      </c>
      <c r="E5277" s="10" t="s">
        <v>159</v>
      </c>
    </row>
    <row r="5278" spans="1:7" x14ac:dyDescent="0.35">
      <c r="A5278" s="2">
        <v>42879</v>
      </c>
      <c r="B5278" s="70" t="s">
        <v>104</v>
      </c>
      <c r="C5278" s="10">
        <v>70</v>
      </c>
      <c r="D5278" s="10">
        <v>352</v>
      </c>
      <c r="E5278" s="10" t="s">
        <v>159</v>
      </c>
    </row>
    <row r="5279" spans="1:7" x14ac:dyDescent="0.35">
      <c r="A5279" s="2">
        <v>42879</v>
      </c>
      <c r="B5279" s="70" t="s">
        <v>104</v>
      </c>
      <c r="C5279" s="10">
        <v>72</v>
      </c>
      <c r="D5279" s="10">
        <v>553</v>
      </c>
      <c r="E5279" s="10" t="s">
        <v>159</v>
      </c>
    </row>
    <row r="5280" spans="1:7" x14ac:dyDescent="0.35">
      <c r="A5280" s="2">
        <v>42879</v>
      </c>
      <c r="B5280" s="70" t="s">
        <v>104</v>
      </c>
      <c r="C5280" s="10">
        <v>72</v>
      </c>
      <c r="D5280" s="10">
        <v>450</v>
      </c>
      <c r="E5280" s="10" t="s">
        <v>159</v>
      </c>
    </row>
    <row r="5281" spans="1:17" x14ac:dyDescent="0.35">
      <c r="A5281" s="2">
        <v>42879</v>
      </c>
      <c r="B5281" s="70" t="s">
        <v>104</v>
      </c>
      <c r="C5281" s="10">
        <v>73</v>
      </c>
      <c r="D5281" s="10">
        <v>432</v>
      </c>
      <c r="E5281" s="10" t="s">
        <v>159</v>
      </c>
    </row>
    <row r="5282" spans="1:17" x14ac:dyDescent="0.35">
      <c r="A5282" s="2">
        <v>42879</v>
      </c>
      <c r="B5282" s="70" t="s">
        <v>104</v>
      </c>
      <c r="C5282" s="10">
        <v>67</v>
      </c>
      <c r="D5282" s="10">
        <v>327</v>
      </c>
      <c r="E5282" s="10" t="s">
        <v>159</v>
      </c>
    </row>
    <row r="5283" spans="1:17" x14ac:dyDescent="0.35">
      <c r="A5283" s="2">
        <v>42879</v>
      </c>
      <c r="B5283" s="70" t="s">
        <v>104</v>
      </c>
      <c r="C5283" s="10">
        <v>74</v>
      </c>
      <c r="D5283" s="10">
        <v>490</v>
      </c>
      <c r="E5283" s="10" t="s">
        <v>159</v>
      </c>
    </row>
    <row r="5284" spans="1:17" x14ac:dyDescent="0.35">
      <c r="A5284" s="2">
        <v>42879</v>
      </c>
      <c r="B5284" s="70" t="s">
        <v>104</v>
      </c>
      <c r="C5284" s="10">
        <v>67</v>
      </c>
      <c r="D5284" s="10">
        <v>303</v>
      </c>
      <c r="E5284" s="10" t="s">
        <v>159</v>
      </c>
    </row>
    <row r="5285" spans="1:17" x14ac:dyDescent="0.35">
      <c r="A5285" s="2">
        <v>42879</v>
      </c>
      <c r="B5285" s="70" t="s">
        <v>104</v>
      </c>
      <c r="C5285" s="10">
        <v>75</v>
      </c>
      <c r="D5285" s="10">
        <v>530</v>
      </c>
      <c r="E5285" s="10" t="s">
        <v>159</v>
      </c>
    </row>
    <row r="5286" spans="1:17" x14ac:dyDescent="0.35">
      <c r="A5286" s="2">
        <v>42879</v>
      </c>
      <c r="B5286" s="70" t="s">
        <v>104</v>
      </c>
      <c r="C5286" s="10">
        <v>78</v>
      </c>
      <c r="D5286" s="10">
        <v>595</v>
      </c>
      <c r="E5286" s="10" t="s">
        <v>159</v>
      </c>
    </row>
    <row r="5287" spans="1:17" x14ac:dyDescent="0.35">
      <c r="A5287" s="2">
        <v>42879</v>
      </c>
      <c r="B5287" s="70" t="s">
        <v>104</v>
      </c>
      <c r="C5287" s="10">
        <v>76</v>
      </c>
      <c r="D5287" s="10">
        <v>435</v>
      </c>
      <c r="E5287" s="10" t="s">
        <v>159</v>
      </c>
    </row>
    <row r="5288" spans="1:17" x14ac:dyDescent="0.35">
      <c r="A5288" s="2">
        <v>42879</v>
      </c>
      <c r="B5288" s="70" t="s">
        <v>104</v>
      </c>
      <c r="C5288" s="10">
        <v>73</v>
      </c>
      <c r="D5288" s="10">
        <v>381</v>
      </c>
      <c r="E5288" s="10" t="s">
        <v>159</v>
      </c>
    </row>
    <row r="5289" spans="1:17" x14ac:dyDescent="0.35">
      <c r="A5289" s="2">
        <v>42879</v>
      </c>
      <c r="B5289" s="70" t="s">
        <v>104</v>
      </c>
      <c r="C5289" s="10">
        <v>77</v>
      </c>
      <c r="D5289" s="10">
        <v>648</v>
      </c>
      <c r="E5289" s="10" t="s">
        <v>159</v>
      </c>
    </row>
    <row r="5290" spans="1:17" x14ac:dyDescent="0.35">
      <c r="A5290" s="2">
        <v>42879</v>
      </c>
      <c r="B5290" s="70" t="s">
        <v>104</v>
      </c>
      <c r="C5290" s="10">
        <v>79</v>
      </c>
      <c r="D5290" s="10">
        <v>646</v>
      </c>
      <c r="E5290" s="10" t="s">
        <v>159</v>
      </c>
    </row>
    <row r="5291" spans="1:17" x14ac:dyDescent="0.35">
      <c r="A5291" s="2">
        <v>42879</v>
      </c>
      <c r="B5291" s="70" t="s">
        <v>104</v>
      </c>
      <c r="C5291" s="10">
        <v>72</v>
      </c>
      <c r="D5291" s="10">
        <v>385</v>
      </c>
      <c r="E5291" s="10" t="s">
        <v>159</v>
      </c>
    </row>
    <row r="5292" spans="1:17" x14ac:dyDescent="0.35">
      <c r="A5292" s="2">
        <v>42879</v>
      </c>
      <c r="B5292" s="70" t="s">
        <v>104</v>
      </c>
      <c r="C5292" s="10">
        <v>68</v>
      </c>
      <c r="D5292" s="10">
        <v>292</v>
      </c>
      <c r="E5292" s="10" t="s">
        <v>159</v>
      </c>
    </row>
    <row r="5293" spans="1:17" x14ac:dyDescent="0.35">
      <c r="A5293" s="2">
        <v>42879</v>
      </c>
      <c r="B5293" s="70" t="s">
        <v>104</v>
      </c>
      <c r="C5293" s="10">
        <v>78</v>
      </c>
      <c r="D5293" s="10">
        <v>571</v>
      </c>
      <c r="E5293" s="10" t="s">
        <v>159</v>
      </c>
      <c r="N5293" t="s">
        <v>34</v>
      </c>
      <c r="O5293" t="s">
        <v>32</v>
      </c>
      <c r="P5293" t="s">
        <v>37</v>
      </c>
      <c r="Q5293" t="s">
        <v>159</v>
      </c>
    </row>
    <row r="5294" spans="1:17" x14ac:dyDescent="0.35">
      <c r="A5294" s="2">
        <v>42879</v>
      </c>
      <c r="B5294" s="70" t="s">
        <v>104</v>
      </c>
      <c r="C5294" s="10">
        <v>76</v>
      </c>
      <c r="D5294" s="10">
        <v>506</v>
      </c>
      <c r="E5294" s="10" t="s">
        <v>159</v>
      </c>
      <c r="H5294">
        <f>AVERAGE(C5255:C5295,C5212:C5243,C5184:C5207,C5156:C5177,C5140:C5149,C5130:C5138)</f>
        <v>71.717391304347828</v>
      </c>
      <c r="I5294">
        <f>AVERAGE(D5255:D5295,D5212:D5243,D5184:D5207,D5156:D5177,D5140:D5149,D5130:D5138)</f>
        <v>411.87681159420288</v>
      </c>
      <c r="K5294" t="e">
        <f>AVERAGE(#REF!,#REF!,#REF!,#REF!,#REF!,#REF!)</f>
        <v>#REF!</v>
      </c>
      <c r="N5294">
        <v>1</v>
      </c>
      <c r="O5294" s="5">
        <f>COUNTIF(E5129:E5295,"VIA4")</f>
        <v>1</v>
      </c>
      <c r="P5294" s="5">
        <f>COUNTIF(E5129:E5295,"VIB")</f>
        <v>5</v>
      </c>
      <c r="Q5294" s="5">
        <f>COUNTIF(E5129:E5295,"VII")</f>
        <v>136</v>
      </c>
    </row>
    <row r="5295" spans="1:17" s="4" customFormat="1" x14ac:dyDescent="0.35">
      <c r="A5295" s="3">
        <v>42879</v>
      </c>
      <c r="B5295" s="44" t="s">
        <v>104</v>
      </c>
      <c r="C5295" s="11">
        <v>77</v>
      </c>
      <c r="D5295" s="11">
        <v>431</v>
      </c>
      <c r="E5295" s="11" t="s">
        <v>159</v>
      </c>
      <c r="H5295" s="4">
        <f>AVERAGE(C5244:C5254,C5208:C5211,C5178:C5183,C5150:C5155,C5139,C5129)</f>
        <v>108.72413793103448</v>
      </c>
      <c r="I5295" s="4">
        <f>AVERAGE(D5244:D5254,D5208:D5211,D5178:D5183,D5150:D5155,D5139,D5129)</f>
        <v>2026.5862068965516</v>
      </c>
      <c r="K5295" s="4" t="e">
        <f>AVERAGE(#REF!,#REF!,#REF!,#REF!,#REF!,#REF!)</f>
        <v>#REF!</v>
      </c>
      <c r="N5295" s="6">
        <f>N5294/138*100</f>
        <v>0.72463768115942029</v>
      </c>
      <c r="O5295" s="6">
        <f>O5294/138*100</f>
        <v>0.72463768115942029</v>
      </c>
      <c r="P5295" s="6">
        <f t="shared" ref="P5295:Q5295" si="150">P5294/138*100</f>
        <v>3.6231884057971016</v>
      </c>
      <c r="Q5295" s="6">
        <f t="shared" si="150"/>
        <v>98.550724637681171</v>
      </c>
    </row>
    <row r="5296" spans="1:17" s="5" customFormat="1" x14ac:dyDescent="0.35">
      <c r="A5296" s="2">
        <v>43178</v>
      </c>
      <c r="B5296" s="70" t="s">
        <v>38</v>
      </c>
      <c r="C5296" s="10">
        <v>73</v>
      </c>
      <c r="D5296" s="10">
        <v>329</v>
      </c>
      <c r="E5296" s="10" t="s">
        <v>33</v>
      </c>
      <c r="G5296" s="5" t="s">
        <v>645</v>
      </c>
      <c r="N5296" s="34"/>
      <c r="O5296" s="34"/>
      <c r="P5296" s="34"/>
      <c r="Q5296" s="34"/>
    </row>
    <row r="5297" spans="1:17" s="4" customFormat="1" x14ac:dyDescent="0.35">
      <c r="A5297" s="3">
        <v>43178</v>
      </c>
      <c r="B5297" s="44" t="s">
        <v>38</v>
      </c>
      <c r="C5297" s="11">
        <v>251</v>
      </c>
      <c r="D5297" s="11">
        <v>17175</v>
      </c>
      <c r="E5297" s="11" t="s">
        <v>98</v>
      </c>
      <c r="N5297" s="6"/>
      <c r="O5297" s="6"/>
      <c r="P5297" s="6"/>
      <c r="Q5297" s="6"/>
    </row>
    <row r="5298" spans="1:17" s="22" customFormat="1" x14ac:dyDescent="0.35">
      <c r="A5298" s="19">
        <v>43178</v>
      </c>
      <c r="B5298" s="71" t="s">
        <v>102</v>
      </c>
      <c r="C5298" s="20">
        <v>78</v>
      </c>
      <c r="D5298" s="20">
        <v>497</v>
      </c>
      <c r="E5298" s="20" t="s">
        <v>39</v>
      </c>
    </row>
    <row r="5299" spans="1:17" s="22" customFormat="1" x14ac:dyDescent="0.35">
      <c r="A5299" s="19">
        <v>43178</v>
      </c>
      <c r="B5299" s="71" t="s">
        <v>63</v>
      </c>
      <c r="C5299" s="20">
        <v>70</v>
      </c>
      <c r="D5299" s="20">
        <v>288</v>
      </c>
      <c r="E5299" s="20" t="s">
        <v>39</v>
      </c>
    </row>
    <row r="5300" spans="1:17" s="22" customFormat="1" x14ac:dyDescent="0.35">
      <c r="A5300" s="19">
        <v>43178</v>
      </c>
      <c r="B5300" s="71" t="s">
        <v>114</v>
      </c>
      <c r="C5300" s="20">
        <v>71</v>
      </c>
      <c r="D5300" s="20">
        <v>356</v>
      </c>
      <c r="E5300" s="20" t="s">
        <v>39</v>
      </c>
    </row>
    <row r="5301" spans="1:17" x14ac:dyDescent="0.35">
      <c r="A5301" s="2">
        <v>43178</v>
      </c>
      <c r="B5301" s="70" t="s">
        <v>667</v>
      </c>
      <c r="C5301" s="10">
        <v>72</v>
      </c>
      <c r="D5301" s="10">
        <v>353</v>
      </c>
      <c r="E5301" s="10" t="s">
        <v>33</v>
      </c>
    </row>
    <row r="5302" spans="1:17" x14ac:dyDescent="0.35">
      <c r="A5302" s="2">
        <v>43178</v>
      </c>
      <c r="B5302" s="70" t="s">
        <v>667</v>
      </c>
      <c r="C5302" s="10">
        <v>73</v>
      </c>
      <c r="D5302" s="10">
        <v>387</v>
      </c>
      <c r="E5302" s="10" t="s">
        <v>36</v>
      </c>
      <c r="F5302" t="s">
        <v>646</v>
      </c>
    </row>
    <row r="5303" spans="1:17" x14ac:dyDescent="0.35">
      <c r="A5303" s="2">
        <v>43178</v>
      </c>
      <c r="B5303" s="70" t="s">
        <v>667</v>
      </c>
      <c r="C5303" s="10">
        <v>77</v>
      </c>
      <c r="D5303" s="10">
        <v>399</v>
      </c>
      <c r="E5303" s="10" t="s">
        <v>39</v>
      </c>
      <c r="F5303" t="s">
        <v>646</v>
      </c>
    </row>
    <row r="5304" spans="1:17" x14ac:dyDescent="0.35">
      <c r="A5304" s="2">
        <v>43178</v>
      </c>
      <c r="B5304" s="70" t="s">
        <v>667</v>
      </c>
      <c r="C5304" s="10">
        <v>70</v>
      </c>
      <c r="D5304" s="10">
        <v>308</v>
      </c>
      <c r="E5304" s="10" t="s">
        <v>36</v>
      </c>
    </row>
    <row r="5305" spans="1:17" x14ac:dyDescent="0.35">
      <c r="A5305" s="2">
        <v>43178</v>
      </c>
      <c r="B5305" s="70" t="s">
        <v>667</v>
      </c>
      <c r="C5305" s="10">
        <v>72</v>
      </c>
      <c r="D5305" s="10">
        <v>309</v>
      </c>
      <c r="E5305" s="10" t="s">
        <v>39</v>
      </c>
    </row>
    <row r="5306" spans="1:17" x14ac:dyDescent="0.35">
      <c r="A5306" s="2">
        <v>43178</v>
      </c>
      <c r="B5306" s="70" t="s">
        <v>667</v>
      </c>
      <c r="C5306" s="10">
        <v>70</v>
      </c>
      <c r="D5306" s="10">
        <v>372</v>
      </c>
      <c r="E5306" s="10" t="s">
        <v>40</v>
      </c>
      <c r="F5306" t="s">
        <v>293</v>
      </c>
      <c r="G5306" t="s">
        <v>647</v>
      </c>
    </row>
    <row r="5307" spans="1:17" x14ac:dyDescent="0.35">
      <c r="A5307" s="2">
        <v>43178</v>
      </c>
      <c r="B5307" s="70" t="s">
        <v>667</v>
      </c>
      <c r="C5307" s="10">
        <v>63</v>
      </c>
      <c r="D5307" s="10">
        <v>244</v>
      </c>
      <c r="E5307" s="10" t="s">
        <v>40</v>
      </c>
    </row>
    <row r="5308" spans="1:17" x14ac:dyDescent="0.35">
      <c r="A5308" s="2">
        <v>43178</v>
      </c>
      <c r="B5308" s="70" t="s">
        <v>667</v>
      </c>
      <c r="C5308" s="10">
        <v>72</v>
      </c>
      <c r="D5308" s="10">
        <v>378</v>
      </c>
      <c r="E5308" s="10" t="s">
        <v>33</v>
      </c>
      <c r="F5308" t="s">
        <v>646</v>
      </c>
    </row>
    <row r="5309" spans="1:17" x14ac:dyDescent="0.35">
      <c r="A5309" s="2">
        <v>43178</v>
      </c>
      <c r="B5309" s="70" t="s">
        <v>667</v>
      </c>
      <c r="C5309" s="10">
        <v>76</v>
      </c>
      <c r="D5309" s="10">
        <v>470</v>
      </c>
      <c r="E5309" s="10" t="s">
        <v>33</v>
      </c>
    </row>
    <row r="5310" spans="1:17" x14ac:dyDescent="0.35">
      <c r="A5310" s="2">
        <v>43178</v>
      </c>
      <c r="B5310" s="70" t="s">
        <v>667</v>
      </c>
      <c r="C5310" s="10">
        <v>65</v>
      </c>
      <c r="D5310" s="10">
        <v>234</v>
      </c>
      <c r="E5310" s="10" t="s">
        <v>39</v>
      </c>
    </row>
    <row r="5311" spans="1:17" x14ac:dyDescent="0.35">
      <c r="A5311" s="2">
        <v>43178</v>
      </c>
      <c r="B5311" s="70" t="s">
        <v>667</v>
      </c>
      <c r="C5311" s="10">
        <v>66</v>
      </c>
      <c r="D5311" s="10">
        <v>310</v>
      </c>
      <c r="E5311" s="10" t="s">
        <v>39</v>
      </c>
    </row>
    <row r="5312" spans="1:17" x14ac:dyDescent="0.35">
      <c r="A5312" s="2">
        <v>43178</v>
      </c>
      <c r="B5312" s="70" t="s">
        <v>667</v>
      </c>
      <c r="C5312" s="10">
        <v>65</v>
      </c>
      <c r="D5312" s="10">
        <v>288</v>
      </c>
      <c r="E5312" s="10" t="s">
        <v>39</v>
      </c>
      <c r="F5312" t="s">
        <v>646</v>
      </c>
    </row>
    <row r="5313" spans="1:24" x14ac:dyDescent="0.35">
      <c r="A5313" s="2">
        <v>43178</v>
      </c>
      <c r="B5313" s="70" t="s">
        <v>667</v>
      </c>
      <c r="C5313" s="10">
        <v>68</v>
      </c>
      <c r="D5313" s="10">
        <v>314</v>
      </c>
      <c r="E5313" s="10" t="s">
        <v>39</v>
      </c>
      <c r="G5313" t="s">
        <v>648</v>
      </c>
    </row>
    <row r="5314" spans="1:24" x14ac:dyDescent="0.35">
      <c r="A5314" s="2">
        <v>43178</v>
      </c>
      <c r="B5314" s="70" t="s">
        <v>667</v>
      </c>
      <c r="C5314" s="10">
        <v>77</v>
      </c>
      <c r="D5314" s="10">
        <v>455</v>
      </c>
      <c r="E5314" s="10" t="s">
        <v>39</v>
      </c>
    </row>
    <row r="5315" spans="1:24" x14ac:dyDescent="0.35">
      <c r="A5315" s="2">
        <v>43178</v>
      </c>
      <c r="B5315" s="70" t="s">
        <v>667</v>
      </c>
      <c r="C5315" s="10">
        <v>67</v>
      </c>
      <c r="D5315" s="10">
        <v>316</v>
      </c>
      <c r="E5315" s="10" t="s">
        <v>39</v>
      </c>
      <c r="N5315" t="s">
        <v>42</v>
      </c>
      <c r="O5315" t="s">
        <v>39</v>
      </c>
      <c r="P5315" t="s">
        <v>40</v>
      </c>
      <c r="Q5315" t="s">
        <v>36</v>
      </c>
      <c r="R5315" t="s">
        <v>33</v>
      </c>
      <c r="S5315" t="s">
        <v>34</v>
      </c>
      <c r="T5315" t="s">
        <v>32</v>
      </c>
      <c r="U5315" t="s">
        <v>37</v>
      </c>
    </row>
    <row r="5316" spans="1:24" x14ac:dyDescent="0.35">
      <c r="A5316" s="2">
        <v>43178</v>
      </c>
      <c r="B5316" s="70" t="s">
        <v>667</v>
      </c>
      <c r="C5316" s="10">
        <v>73</v>
      </c>
      <c r="D5316" s="10">
        <v>387</v>
      </c>
      <c r="E5316" s="10" t="s">
        <v>39</v>
      </c>
      <c r="N5316" s="5">
        <f>COUNTIF(E5301:E5317,"VA")</f>
        <v>0</v>
      </c>
      <c r="O5316" s="5">
        <f>COUNTIF(E5301:E5317,"VB")</f>
        <v>9</v>
      </c>
      <c r="P5316" s="5">
        <f>COUNTIF(E5301:E5317,"VIA0")</f>
        <v>2</v>
      </c>
      <c r="Q5316" s="5">
        <f>COUNTIF(E5301:E5317,"VIA1")</f>
        <v>2</v>
      </c>
      <c r="R5316" s="5">
        <f>COUNTIF(E5301:E5317,"VIA2")</f>
        <v>4</v>
      </c>
      <c r="S5316" s="5">
        <f>COUNTIF(E5301:E5317,"VIA3")</f>
        <v>0</v>
      </c>
      <c r="T5316" s="5">
        <f>COUNTIF(E5301:E5317,"VIA4")</f>
        <v>0</v>
      </c>
      <c r="U5316" s="5">
        <f>COUNTIF(E5301:E5317,"VIB")</f>
        <v>0</v>
      </c>
      <c r="W5316">
        <f>AVERAGE(C5301:C5317)</f>
        <v>70.82352941176471</v>
      </c>
      <c r="X5316">
        <f>AVERAGE(D5301:D5317)</f>
        <v>346.70588235294116</v>
      </c>
    </row>
    <row r="5317" spans="1:24" s="4" customFormat="1" x14ac:dyDescent="0.35">
      <c r="A5317" s="3">
        <v>43178</v>
      </c>
      <c r="B5317" s="44" t="s">
        <v>667</v>
      </c>
      <c r="C5317" s="11">
        <v>78</v>
      </c>
      <c r="D5317" s="11">
        <v>370</v>
      </c>
      <c r="E5317" s="11" t="s">
        <v>33</v>
      </c>
      <c r="F5317" s="4" t="s">
        <v>646</v>
      </c>
      <c r="G5317" s="4" t="s">
        <v>652</v>
      </c>
      <c r="N5317" s="6">
        <f>N5316/17*100</f>
        <v>0</v>
      </c>
      <c r="O5317" s="6">
        <f t="shared" ref="O5317:U5317" si="151">O5316/17*100</f>
        <v>52.941176470588239</v>
      </c>
      <c r="P5317" s="6">
        <f t="shared" si="151"/>
        <v>11.76470588235294</v>
      </c>
      <c r="Q5317" s="6">
        <f t="shared" si="151"/>
        <v>11.76470588235294</v>
      </c>
      <c r="R5317" s="6">
        <f t="shared" si="151"/>
        <v>23.52941176470588</v>
      </c>
      <c r="S5317" s="6">
        <f t="shared" si="151"/>
        <v>0</v>
      </c>
      <c r="T5317" s="6">
        <f t="shared" si="151"/>
        <v>0</v>
      </c>
      <c r="U5317" s="6">
        <f t="shared" si="151"/>
        <v>0</v>
      </c>
    </row>
    <row r="5318" spans="1:24" x14ac:dyDescent="0.35">
      <c r="A5318" s="2">
        <v>43185</v>
      </c>
      <c r="B5318" s="70" t="s">
        <v>63</v>
      </c>
      <c r="C5318" s="10">
        <v>94</v>
      </c>
      <c r="D5318" s="10">
        <v>845</v>
      </c>
      <c r="E5318" s="10" t="s">
        <v>98</v>
      </c>
      <c r="L5318">
        <f>COUNTIF(F5318:F5345,"F++")</f>
        <v>0</v>
      </c>
    </row>
    <row r="5319" spans="1:24" x14ac:dyDescent="0.35">
      <c r="A5319" s="2">
        <v>43185</v>
      </c>
      <c r="B5319" s="70" t="s">
        <v>63</v>
      </c>
      <c r="C5319" s="10">
        <v>93</v>
      </c>
      <c r="D5319" s="10">
        <v>812</v>
      </c>
      <c r="E5319" s="10" t="s">
        <v>98</v>
      </c>
    </row>
    <row r="5320" spans="1:24" x14ac:dyDescent="0.35">
      <c r="A5320" s="2">
        <v>43185</v>
      </c>
      <c r="B5320" s="70" t="s">
        <v>63</v>
      </c>
      <c r="C5320" s="10">
        <v>77</v>
      </c>
      <c r="D5320" s="10">
        <v>372</v>
      </c>
      <c r="E5320" s="10" t="s">
        <v>39</v>
      </c>
      <c r="F5320" t="s">
        <v>646</v>
      </c>
    </row>
    <row r="5321" spans="1:24" x14ac:dyDescent="0.35">
      <c r="A5321" s="2">
        <v>43185</v>
      </c>
      <c r="B5321" s="70" t="s">
        <v>63</v>
      </c>
      <c r="C5321" s="10">
        <v>70</v>
      </c>
      <c r="D5321" s="10">
        <v>303</v>
      </c>
      <c r="E5321" s="10" t="s">
        <v>33</v>
      </c>
      <c r="F5321" t="s">
        <v>293</v>
      </c>
    </row>
    <row r="5322" spans="1:24" x14ac:dyDescent="0.35">
      <c r="A5322" s="2">
        <v>43185</v>
      </c>
      <c r="B5322" s="70" t="s">
        <v>63</v>
      </c>
      <c r="C5322" s="10">
        <v>68</v>
      </c>
      <c r="D5322" s="10">
        <v>290</v>
      </c>
      <c r="E5322" s="10" t="s">
        <v>36</v>
      </c>
      <c r="F5322" t="s">
        <v>293</v>
      </c>
    </row>
    <row r="5323" spans="1:24" s="4" customFormat="1" x14ac:dyDescent="0.35">
      <c r="A5323" s="3">
        <v>43185</v>
      </c>
      <c r="B5323" s="44" t="s">
        <v>63</v>
      </c>
      <c r="C5323" s="11">
        <v>60</v>
      </c>
      <c r="D5323" s="11">
        <v>200</v>
      </c>
      <c r="E5323" s="11" t="s">
        <v>39</v>
      </c>
      <c r="F5323" s="4" t="s">
        <v>476</v>
      </c>
    </row>
    <row r="5324" spans="1:24" x14ac:dyDescent="0.35">
      <c r="A5324" s="2">
        <v>43185</v>
      </c>
      <c r="B5324" s="70" t="s">
        <v>66</v>
      </c>
      <c r="C5324" s="55">
        <v>77</v>
      </c>
      <c r="D5324" s="55">
        <v>571</v>
      </c>
      <c r="E5324" s="55" t="s">
        <v>159</v>
      </c>
    </row>
    <row r="5325" spans="1:24" x14ac:dyDescent="0.35">
      <c r="A5325" s="2">
        <v>43185</v>
      </c>
      <c r="B5325" s="70" t="s">
        <v>66</v>
      </c>
      <c r="C5325" s="10">
        <v>115</v>
      </c>
      <c r="D5325" s="10">
        <v>1867</v>
      </c>
      <c r="E5325" s="10" t="s">
        <v>98</v>
      </c>
    </row>
    <row r="5326" spans="1:24" x14ac:dyDescent="0.35">
      <c r="A5326" s="2">
        <v>43185</v>
      </c>
      <c r="B5326" s="70" t="s">
        <v>66</v>
      </c>
      <c r="C5326" s="10">
        <v>70</v>
      </c>
      <c r="D5326" s="10">
        <v>321</v>
      </c>
      <c r="E5326" s="10" t="s">
        <v>33</v>
      </c>
      <c r="F5326" t="s">
        <v>476</v>
      </c>
    </row>
    <row r="5327" spans="1:24" x14ac:dyDescent="0.35">
      <c r="A5327" s="2">
        <v>43185</v>
      </c>
      <c r="B5327" s="70" t="s">
        <v>66</v>
      </c>
      <c r="C5327" s="10">
        <v>73</v>
      </c>
      <c r="D5327" s="10">
        <v>349</v>
      </c>
      <c r="E5327" s="10" t="s">
        <v>39</v>
      </c>
      <c r="F5327" t="s">
        <v>476</v>
      </c>
    </row>
    <row r="5328" spans="1:24" x14ac:dyDescent="0.35">
      <c r="A5328" s="2">
        <v>43185</v>
      </c>
      <c r="B5328" s="70" t="s">
        <v>66</v>
      </c>
      <c r="C5328" s="10">
        <v>70</v>
      </c>
      <c r="D5328" s="10">
        <v>300</v>
      </c>
      <c r="E5328" s="10" t="s">
        <v>33</v>
      </c>
      <c r="F5328" t="s">
        <v>293</v>
      </c>
    </row>
    <row r="5329" spans="1:24" x14ac:dyDescent="0.35">
      <c r="A5329" s="2">
        <v>43185</v>
      </c>
      <c r="B5329" s="70" t="s">
        <v>66</v>
      </c>
      <c r="C5329" s="10">
        <v>64</v>
      </c>
      <c r="D5329" s="10">
        <v>243</v>
      </c>
      <c r="E5329" s="10" t="s">
        <v>34</v>
      </c>
      <c r="F5329" t="s">
        <v>646</v>
      </c>
    </row>
    <row r="5330" spans="1:24" x14ac:dyDescent="0.35">
      <c r="A5330" s="2">
        <v>43185</v>
      </c>
      <c r="B5330" s="70" t="s">
        <v>66</v>
      </c>
      <c r="C5330" s="10">
        <v>71</v>
      </c>
      <c r="D5330" s="10">
        <v>340</v>
      </c>
      <c r="E5330" s="10" t="s">
        <v>34</v>
      </c>
      <c r="F5330" t="s">
        <v>646</v>
      </c>
      <c r="G5330" t="s">
        <v>649</v>
      </c>
    </row>
    <row r="5331" spans="1:24" x14ac:dyDescent="0.35">
      <c r="A5331" s="2">
        <v>43185</v>
      </c>
      <c r="B5331" s="70" t="s">
        <v>66</v>
      </c>
      <c r="C5331" s="10">
        <v>76</v>
      </c>
      <c r="D5331" s="10">
        <v>324</v>
      </c>
      <c r="E5331" s="10" t="s">
        <v>39</v>
      </c>
      <c r="F5331" t="s">
        <v>476</v>
      </c>
      <c r="G5331" t="s">
        <v>650</v>
      </c>
    </row>
    <row r="5332" spans="1:24" x14ac:dyDescent="0.35">
      <c r="A5332" s="2">
        <v>43185</v>
      </c>
      <c r="B5332" s="70" t="s">
        <v>66</v>
      </c>
      <c r="C5332" s="10">
        <v>70</v>
      </c>
      <c r="D5332" s="10">
        <v>314</v>
      </c>
      <c r="E5332" s="10" t="s">
        <v>39</v>
      </c>
      <c r="F5332" t="s">
        <v>646</v>
      </c>
    </row>
    <row r="5333" spans="1:24" x14ac:dyDescent="0.35">
      <c r="A5333" s="2">
        <v>43185</v>
      </c>
      <c r="B5333" s="70" t="s">
        <v>66</v>
      </c>
      <c r="C5333" s="10">
        <v>72</v>
      </c>
      <c r="D5333" s="10">
        <v>338</v>
      </c>
      <c r="E5333" s="10" t="s">
        <v>40</v>
      </c>
      <c r="F5333" t="s">
        <v>476</v>
      </c>
    </row>
    <row r="5334" spans="1:24" x14ac:dyDescent="0.35">
      <c r="A5334" s="2">
        <v>43185</v>
      </c>
      <c r="B5334" s="70" t="s">
        <v>66</v>
      </c>
      <c r="C5334" s="10">
        <v>70</v>
      </c>
      <c r="D5334" s="10">
        <v>271</v>
      </c>
      <c r="E5334" s="10" t="s">
        <v>34</v>
      </c>
      <c r="F5334" t="s">
        <v>476</v>
      </c>
    </row>
    <row r="5335" spans="1:24" x14ac:dyDescent="0.35">
      <c r="A5335" s="2">
        <v>43185</v>
      </c>
      <c r="B5335" s="70" t="s">
        <v>66</v>
      </c>
      <c r="C5335" s="10">
        <v>65</v>
      </c>
      <c r="D5335" s="10">
        <v>247</v>
      </c>
      <c r="E5335" s="10" t="s">
        <v>33</v>
      </c>
      <c r="F5335" t="s">
        <v>646</v>
      </c>
    </row>
    <row r="5336" spans="1:24" x14ac:dyDescent="0.35">
      <c r="A5336" s="2">
        <v>43185</v>
      </c>
      <c r="B5336" s="70" t="s">
        <v>66</v>
      </c>
      <c r="C5336" s="10">
        <v>72</v>
      </c>
      <c r="D5336" s="10">
        <v>273</v>
      </c>
      <c r="E5336" s="10" t="s">
        <v>34</v>
      </c>
      <c r="F5336" t="s">
        <v>646</v>
      </c>
      <c r="G5336" t="s">
        <v>648</v>
      </c>
    </row>
    <row r="5337" spans="1:24" x14ac:dyDescent="0.35">
      <c r="A5337" s="2">
        <v>43185</v>
      </c>
      <c r="B5337" s="70" t="s">
        <v>66</v>
      </c>
      <c r="C5337" s="10">
        <v>72</v>
      </c>
      <c r="D5337" s="10">
        <v>326</v>
      </c>
      <c r="E5337" s="10" t="s">
        <v>39</v>
      </c>
      <c r="F5337" t="s">
        <v>646</v>
      </c>
      <c r="G5337" t="s">
        <v>651</v>
      </c>
    </row>
    <row r="5338" spans="1:24" x14ac:dyDescent="0.35">
      <c r="A5338" s="2">
        <v>43185</v>
      </c>
      <c r="B5338" s="70" t="s">
        <v>66</v>
      </c>
      <c r="C5338" s="10">
        <v>74</v>
      </c>
      <c r="D5338" s="10">
        <v>401</v>
      </c>
      <c r="E5338" s="10" t="s">
        <v>36</v>
      </c>
      <c r="F5338" t="s">
        <v>476</v>
      </c>
    </row>
    <row r="5339" spans="1:24" x14ac:dyDescent="0.35">
      <c r="A5339" s="2">
        <v>43185</v>
      </c>
      <c r="B5339" s="70" t="s">
        <v>66</v>
      </c>
      <c r="C5339" s="10">
        <v>70</v>
      </c>
      <c r="D5339" s="10">
        <v>274</v>
      </c>
      <c r="E5339" s="10" t="s">
        <v>39</v>
      </c>
      <c r="F5339" t="s">
        <v>476</v>
      </c>
      <c r="G5339" t="s">
        <v>651</v>
      </c>
    </row>
    <row r="5340" spans="1:24" x14ac:dyDescent="0.35">
      <c r="A5340" s="2">
        <v>43185</v>
      </c>
      <c r="B5340" s="70" t="s">
        <v>66</v>
      </c>
      <c r="C5340" s="10">
        <v>70</v>
      </c>
      <c r="D5340" s="10">
        <v>322</v>
      </c>
      <c r="E5340" s="10" t="s">
        <v>39</v>
      </c>
      <c r="F5340" t="s">
        <v>476</v>
      </c>
      <c r="G5340" t="s">
        <v>651</v>
      </c>
    </row>
    <row r="5341" spans="1:24" x14ac:dyDescent="0.35">
      <c r="A5341" s="2">
        <v>43185</v>
      </c>
      <c r="B5341" s="70" t="s">
        <v>66</v>
      </c>
      <c r="C5341" s="10">
        <v>69</v>
      </c>
      <c r="D5341" s="10">
        <v>306</v>
      </c>
      <c r="E5341" s="10" t="s">
        <v>34</v>
      </c>
      <c r="F5341" t="s">
        <v>646</v>
      </c>
      <c r="G5341" t="s">
        <v>651</v>
      </c>
    </row>
    <row r="5342" spans="1:24" x14ac:dyDescent="0.35">
      <c r="A5342" s="2">
        <v>43185</v>
      </c>
      <c r="B5342" s="70" t="s">
        <v>66</v>
      </c>
      <c r="C5342" s="10">
        <v>72</v>
      </c>
      <c r="D5342" s="10">
        <v>357</v>
      </c>
      <c r="E5342" s="10" t="s">
        <v>40</v>
      </c>
      <c r="F5342" t="s">
        <v>646</v>
      </c>
      <c r="N5342" t="s">
        <v>42</v>
      </c>
      <c r="O5342" t="s">
        <v>39</v>
      </c>
      <c r="P5342" t="s">
        <v>40</v>
      </c>
      <c r="Q5342" t="s">
        <v>36</v>
      </c>
      <c r="R5342" t="s">
        <v>33</v>
      </c>
      <c r="S5342" t="s">
        <v>34</v>
      </c>
      <c r="T5342" t="s">
        <v>32</v>
      </c>
      <c r="U5342" t="s">
        <v>37</v>
      </c>
      <c r="V5342" t="s">
        <v>159</v>
      </c>
      <c r="W5342">
        <f>AVERAGE(C5326:C5345,C5320:C5324)</f>
        <v>70.28</v>
      </c>
      <c r="X5342">
        <f>AVERAGE(D5326:D5345,D5320:D5324)</f>
        <v>311.2</v>
      </c>
    </row>
    <row r="5343" spans="1:24" x14ac:dyDescent="0.35">
      <c r="A5343" s="2">
        <v>43185</v>
      </c>
      <c r="B5343" s="70" t="s">
        <v>66</v>
      </c>
      <c r="C5343" s="10">
        <v>71</v>
      </c>
      <c r="D5343" s="10">
        <v>271</v>
      </c>
      <c r="E5343" s="10" t="s">
        <v>33</v>
      </c>
      <c r="F5343" t="s">
        <v>646</v>
      </c>
      <c r="G5343" t="s">
        <v>651</v>
      </c>
      <c r="N5343" s="5">
        <f>COUNTIF(E5320:E5345,"VA")</f>
        <v>0</v>
      </c>
      <c r="O5343" s="5">
        <f>COUNTIF(E5320:E5345,"VB")</f>
        <v>10</v>
      </c>
      <c r="P5343" s="5">
        <f>COUNTIF(E5320:E5344,"VIA0")</f>
        <v>2</v>
      </c>
      <c r="Q5343" s="5">
        <f>COUNTIF(E5320:E5344,"VIA1")</f>
        <v>2</v>
      </c>
      <c r="R5343" s="5">
        <f>COUNTIF(E5320:E5344,"VIA2")</f>
        <v>5</v>
      </c>
      <c r="S5343" s="5">
        <f>COUNTIF(E5320:E5344,"VIA3")</f>
        <v>5</v>
      </c>
      <c r="T5343" s="5">
        <f>COUNTIF(E5320:E5344,"VIA4")</f>
        <v>0</v>
      </c>
      <c r="U5343" s="5">
        <f>COUNTIF(E5320:E5344,"VIB")</f>
        <v>0</v>
      </c>
      <c r="V5343" s="5">
        <f>COUNTIF(E5320:E5344,"VII")</f>
        <v>1</v>
      </c>
    </row>
    <row r="5344" spans="1:24" s="4" customFormat="1" x14ac:dyDescent="0.35">
      <c r="A5344" s="3">
        <v>43185</v>
      </c>
      <c r="B5344" s="44" t="s">
        <v>66</v>
      </c>
      <c r="C5344" s="11">
        <v>69</v>
      </c>
      <c r="D5344" s="11">
        <v>238</v>
      </c>
      <c r="E5344" s="11" t="s">
        <v>39</v>
      </c>
      <c r="F5344" s="4" t="s">
        <v>476</v>
      </c>
      <c r="G5344" s="4" t="s">
        <v>651</v>
      </c>
      <c r="N5344" s="6">
        <f>N5343/25*100</f>
        <v>0</v>
      </c>
      <c r="O5344" s="6">
        <f t="shared" ref="O5344:V5344" si="152">O5343/25*100</f>
        <v>40</v>
      </c>
      <c r="P5344" s="6">
        <f t="shared" si="152"/>
        <v>8</v>
      </c>
      <c r="Q5344" s="6">
        <f t="shared" si="152"/>
        <v>8</v>
      </c>
      <c r="R5344" s="6">
        <f t="shared" si="152"/>
        <v>20</v>
      </c>
      <c r="S5344" s="6">
        <f t="shared" si="152"/>
        <v>20</v>
      </c>
      <c r="T5344" s="6">
        <f t="shared" si="152"/>
        <v>0</v>
      </c>
      <c r="U5344" s="6">
        <f t="shared" si="152"/>
        <v>0</v>
      </c>
      <c r="V5344" s="6">
        <f t="shared" si="152"/>
        <v>4</v>
      </c>
    </row>
    <row r="5345" spans="1:14" s="22" customFormat="1" x14ac:dyDescent="0.35">
      <c r="A5345" s="19">
        <v>43185</v>
      </c>
      <c r="B5345" s="71" t="s">
        <v>113</v>
      </c>
      <c r="C5345" s="20">
        <v>65</v>
      </c>
      <c r="D5345" s="20">
        <v>229</v>
      </c>
      <c r="E5345" s="20" t="s">
        <v>39</v>
      </c>
      <c r="F5345" s="20" t="s">
        <v>646</v>
      </c>
    </row>
    <row r="5346" spans="1:14" x14ac:dyDescent="0.35">
      <c r="A5346" s="2">
        <v>43185</v>
      </c>
      <c r="B5346" s="70" t="s">
        <v>143</v>
      </c>
      <c r="C5346" s="10">
        <v>72</v>
      </c>
      <c r="D5346" s="10">
        <v>384</v>
      </c>
      <c r="E5346" s="10" t="s">
        <v>39</v>
      </c>
      <c r="F5346" s="10" t="s">
        <v>646</v>
      </c>
      <c r="G5346" s="10" t="s">
        <v>651</v>
      </c>
    </row>
    <row r="5347" spans="1:14" x14ac:dyDescent="0.35">
      <c r="A5347" s="2">
        <v>43185</v>
      </c>
      <c r="B5347" s="70" t="s">
        <v>143</v>
      </c>
      <c r="C5347" s="10">
        <v>73</v>
      </c>
      <c r="D5347" s="10">
        <v>376</v>
      </c>
      <c r="E5347" s="10" t="s">
        <v>39</v>
      </c>
      <c r="F5347" s="10" t="s">
        <v>476</v>
      </c>
    </row>
    <row r="5348" spans="1:14" x14ac:dyDescent="0.35">
      <c r="A5348" s="2">
        <v>43185</v>
      </c>
      <c r="B5348" s="70" t="s">
        <v>143</v>
      </c>
      <c r="C5348" s="10">
        <v>72</v>
      </c>
      <c r="D5348" s="10">
        <v>364</v>
      </c>
      <c r="E5348" s="10" t="s">
        <v>39</v>
      </c>
      <c r="F5348" s="10" t="s">
        <v>476</v>
      </c>
    </row>
    <row r="5349" spans="1:14" s="4" customFormat="1" x14ac:dyDescent="0.35">
      <c r="A5349" s="3">
        <v>43185</v>
      </c>
      <c r="B5349" s="44" t="s">
        <v>143</v>
      </c>
      <c r="C5349" s="11">
        <v>66</v>
      </c>
      <c r="D5349" s="11">
        <v>266</v>
      </c>
      <c r="E5349" s="11" t="s">
        <v>40</v>
      </c>
      <c r="F5349" s="11" t="s">
        <v>476</v>
      </c>
    </row>
    <row r="5350" spans="1:14" x14ac:dyDescent="0.35">
      <c r="A5350" s="2">
        <v>43185</v>
      </c>
      <c r="B5350" s="70" t="s">
        <v>667</v>
      </c>
      <c r="C5350" s="10">
        <v>69</v>
      </c>
      <c r="D5350" s="10">
        <v>323</v>
      </c>
      <c r="E5350" s="10" t="s">
        <v>40</v>
      </c>
      <c r="F5350" s="10" t="s">
        <v>476</v>
      </c>
      <c r="N5350">
        <f>COUNTIF(F5350:F5401,"F")</f>
        <v>0</v>
      </c>
    </row>
    <row r="5351" spans="1:14" x14ac:dyDescent="0.35">
      <c r="A5351" s="2">
        <v>43185</v>
      </c>
      <c r="B5351" s="70" t="s">
        <v>667</v>
      </c>
      <c r="C5351" s="10">
        <v>74</v>
      </c>
      <c r="D5351" s="10">
        <v>361</v>
      </c>
      <c r="E5351" s="10" t="s">
        <v>33</v>
      </c>
      <c r="F5351" s="10" t="s">
        <v>646</v>
      </c>
    </row>
    <row r="5352" spans="1:14" x14ac:dyDescent="0.35">
      <c r="A5352" s="2">
        <v>43185</v>
      </c>
      <c r="B5352" s="70" t="s">
        <v>667</v>
      </c>
      <c r="C5352" s="10">
        <v>75</v>
      </c>
      <c r="D5352" s="10">
        <v>357</v>
      </c>
      <c r="E5352" s="10" t="s">
        <v>34</v>
      </c>
      <c r="F5352" s="10" t="s">
        <v>646</v>
      </c>
      <c r="G5352" t="s">
        <v>651</v>
      </c>
    </row>
    <row r="5353" spans="1:14" x14ac:dyDescent="0.35">
      <c r="A5353" s="2">
        <v>43185</v>
      </c>
      <c r="B5353" s="70" t="s">
        <v>667</v>
      </c>
      <c r="C5353" s="10">
        <v>73</v>
      </c>
      <c r="D5353" s="10">
        <v>323</v>
      </c>
      <c r="E5353" s="10" t="s">
        <v>39</v>
      </c>
      <c r="F5353" s="10" t="s">
        <v>476</v>
      </c>
    </row>
    <row r="5354" spans="1:14" x14ac:dyDescent="0.35">
      <c r="A5354" s="2">
        <v>43185</v>
      </c>
      <c r="B5354" s="70" t="s">
        <v>667</v>
      </c>
      <c r="C5354" s="10">
        <v>70</v>
      </c>
      <c r="D5354" s="10">
        <v>278</v>
      </c>
      <c r="E5354" s="10" t="s">
        <v>33</v>
      </c>
      <c r="F5354" s="10" t="s">
        <v>476</v>
      </c>
      <c r="G5354" t="s">
        <v>651</v>
      </c>
    </row>
    <row r="5355" spans="1:14" x14ac:dyDescent="0.35">
      <c r="A5355" s="2">
        <v>43185</v>
      </c>
      <c r="B5355" s="70" t="s">
        <v>667</v>
      </c>
      <c r="C5355" s="10">
        <v>65</v>
      </c>
      <c r="D5355" s="10">
        <v>212</v>
      </c>
      <c r="E5355" s="10" t="s">
        <v>36</v>
      </c>
      <c r="F5355" s="10" t="s">
        <v>476</v>
      </c>
    </row>
    <row r="5356" spans="1:14" x14ac:dyDescent="0.35">
      <c r="A5356" s="2">
        <v>43185</v>
      </c>
      <c r="B5356" s="70" t="s">
        <v>667</v>
      </c>
      <c r="C5356" s="10">
        <v>78</v>
      </c>
      <c r="D5356" s="10">
        <v>435</v>
      </c>
    </row>
    <row r="5357" spans="1:14" x14ac:dyDescent="0.35">
      <c r="A5357" s="2">
        <v>43185</v>
      </c>
      <c r="B5357" s="70" t="s">
        <v>667</v>
      </c>
      <c r="C5357" s="10">
        <v>73</v>
      </c>
      <c r="D5357" s="10">
        <v>297</v>
      </c>
      <c r="E5357" t="s">
        <v>39</v>
      </c>
      <c r="F5357" t="s">
        <v>646</v>
      </c>
    </row>
    <row r="5358" spans="1:14" x14ac:dyDescent="0.35">
      <c r="A5358" s="2">
        <v>43185</v>
      </c>
      <c r="B5358" s="70" t="s">
        <v>667</v>
      </c>
      <c r="C5358" s="10">
        <v>69</v>
      </c>
      <c r="D5358" s="10">
        <v>280</v>
      </c>
      <c r="E5358" t="s">
        <v>33</v>
      </c>
      <c r="F5358" t="s">
        <v>646</v>
      </c>
      <c r="G5358" t="s">
        <v>651</v>
      </c>
    </row>
    <row r="5359" spans="1:14" x14ac:dyDescent="0.35">
      <c r="A5359" s="2">
        <v>43185</v>
      </c>
      <c r="B5359" s="70" t="s">
        <v>667</v>
      </c>
      <c r="C5359" s="10">
        <v>68</v>
      </c>
      <c r="D5359" s="10">
        <v>282</v>
      </c>
      <c r="E5359" t="s">
        <v>39</v>
      </c>
      <c r="F5359" t="s">
        <v>646</v>
      </c>
    </row>
    <row r="5360" spans="1:14" x14ac:dyDescent="0.35">
      <c r="A5360" s="2">
        <v>43185</v>
      </c>
      <c r="B5360" s="70" t="s">
        <v>667</v>
      </c>
      <c r="C5360" s="10">
        <v>70</v>
      </c>
      <c r="D5360" s="10">
        <v>334</v>
      </c>
      <c r="E5360" t="s">
        <v>40</v>
      </c>
      <c r="F5360" t="s">
        <v>476</v>
      </c>
      <c r="G5360" t="s">
        <v>651</v>
      </c>
    </row>
    <row r="5361" spans="1:7" x14ac:dyDescent="0.35">
      <c r="A5361" s="2">
        <v>43185</v>
      </c>
      <c r="B5361" s="70" t="s">
        <v>667</v>
      </c>
      <c r="C5361" s="10">
        <v>70</v>
      </c>
      <c r="D5361" s="10">
        <v>290</v>
      </c>
      <c r="E5361" t="s">
        <v>39</v>
      </c>
      <c r="F5361" t="s">
        <v>646</v>
      </c>
    </row>
    <row r="5362" spans="1:7" x14ac:dyDescent="0.35">
      <c r="A5362" s="2">
        <v>43185</v>
      </c>
      <c r="B5362" s="70" t="s">
        <v>667</v>
      </c>
      <c r="C5362" s="10">
        <v>70</v>
      </c>
      <c r="D5362" s="10">
        <v>315</v>
      </c>
      <c r="E5362" t="s">
        <v>39</v>
      </c>
      <c r="F5362" t="s">
        <v>476</v>
      </c>
    </row>
    <row r="5363" spans="1:7" x14ac:dyDescent="0.35">
      <c r="A5363" s="2">
        <v>43185</v>
      </c>
      <c r="B5363" s="70" t="s">
        <v>667</v>
      </c>
      <c r="C5363" s="10">
        <v>75</v>
      </c>
      <c r="D5363" s="10">
        <v>360</v>
      </c>
      <c r="E5363" t="s">
        <v>33</v>
      </c>
      <c r="F5363" t="s">
        <v>476</v>
      </c>
      <c r="G5363" t="s">
        <v>651</v>
      </c>
    </row>
    <row r="5364" spans="1:7" x14ac:dyDescent="0.35">
      <c r="A5364" s="2">
        <v>43185</v>
      </c>
      <c r="B5364" s="70" t="s">
        <v>667</v>
      </c>
      <c r="C5364" s="10">
        <v>75</v>
      </c>
      <c r="D5364" s="10">
        <v>384</v>
      </c>
      <c r="E5364" t="s">
        <v>39</v>
      </c>
      <c r="F5364" t="s">
        <v>476</v>
      </c>
    </row>
    <row r="5365" spans="1:7" x14ac:dyDescent="0.35">
      <c r="A5365" s="2">
        <v>43185</v>
      </c>
      <c r="B5365" s="70" t="s">
        <v>667</v>
      </c>
      <c r="C5365" s="10">
        <v>65</v>
      </c>
      <c r="D5365" s="10">
        <v>218</v>
      </c>
      <c r="E5365" t="s">
        <v>42</v>
      </c>
      <c r="F5365" t="s">
        <v>476</v>
      </c>
    </row>
    <row r="5366" spans="1:7" s="5" customFormat="1" x14ac:dyDescent="0.35">
      <c r="A5366" s="2">
        <v>43185</v>
      </c>
      <c r="B5366" s="70" t="s">
        <v>667</v>
      </c>
      <c r="C5366" s="10">
        <v>77</v>
      </c>
      <c r="D5366" s="10">
        <v>402</v>
      </c>
      <c r="E5366" s="5" t="s">
        <v>40</v>
      </c>
      <c r="F5366" t="s">
        <v>476</v>
      </c>
    </row>
    <row r="5367" spans="1:7" x14ac:dyDescent="0.35">
      <c r="A5367" s="2">
        <v>43185</v>
      </c>
      <c r="B5367" s="70" t="s">
        <v>667</v>
      </c>
      <c r="C5367" s="10">
        <v>71</v>
      </c>
      <c r="D5367" s="10">
        <v>403</v>
      </c>
      <c r="E5367" s="10" t="s">
        <v>36</v>
      </c>
      <c r="F5367" t="s">
        <v>646</v>
      </c>
    </row>
    <row r="5368" spans="1:7" x14ac:dyDescent="0.35">
      <c r="A5368" s="2">
        <v>43185</v>
      </c>
      <c r="B5368" s="70" t="s">
        <v>667</v>
      </c>
      <c r="C5368" s="10">
        <v>70</v>
      </c>
      <c r="D5368" s="10">
        <v>290</v>
      </c>
      <c r="E5368" s="10" t="s">
        <v>39</v>
      </c>
      <c r="F5368" t="s">
        <v>476</v>
      </c>
    </row>
    <row r="5369" spans="1:7" x14ac:dyDescent="0.35">
      <c r="A5369" s="2">
        <v>43185</v>
      </c>
      <c r="B5369" s="70" t="s">
        <v>667</v>
      </c>
      <c r="C5369" s="10">
        <v>70</v>
      </c>
      <c r="D5369" s="10">
        <v>270</v>
      </c>
      <c r="E5369" s="10" t="s">
        <v>33</v>
      </c>
      <c r="F5369" t="s">
        <v>476</v>
      </c>
      <c r="G5369" t="s">
        <v>651</v>
      </c>
    </row>
    <row r="5370" spans="1:7" x14ac:dyDescent="0.35">
      <c r="A5370" s="2">
        <v>43185</v>
      </c>
      <c r="B5370" s="70" t="s">
        <v>667</v>
      </c>
      <c r="C5370" s="10">
        <v>71</v>
      </c>
      <c r="D5370" s="10">
        <v>265</v>
      </c>
      <c r="E5370" s="10" t="s">
        <v>40</v>
      </c>
      <c r="F5370" t="s">
        <v>646</v>
      </c>
      <c r="G5370" t="s">
        <v>651</v>
      </c>
    </row>
    <row r="5371" spans="1:7" x14ac:dyDescent="0.35">
      <c r="A5371" s="2">
        <v>43185</v>
      </c>
      <c r="B5371" s="70" t="s">
        <v>667</v>
      </c>
      <c r="C5371" s="10">
        <v>75</v>
      </c>
      <c r="D5371" s="10">
        <v>279</v>
      </c>
      <c r="E5371" s="10" t="s">
        <v>39</v>
      </c>
      <c r="F5371" t="s">
        <v>476</v>
      </c>
    </row>
    <row r="5372" spans="1:7" x14ac:dyDescent="0.35">
      <c r="A5372" s="2">
        <v>43185</v>
      </c>
      <c r="B5372" s="70" t="s">
        <v>667</v>
      </c>
      <c r="C5372" s="10">
        <v>67</v>
      </c>
      <c r="D5372" s="10">
        <v>297</v>
      </c>
      <c r="E5372" s="10" t="s">
        <v>39</v>
      </c>
      <c r="F5372" t="s">
        <v>476</v>
      </c>
    </row>
    <row r="5373" spans="1:7" x14ac:dyDescent="0.35">
      <c r="A5373" s="2">
        <v>43185</v>
      </c>
      <c r="B5373" s="70" t="s">
        <v>667</v>
      </c>
      <c r="C5373" s="10">
        <v>75</v>
      </c>
      <c r="D5373" s="10">
        <v>362</v>
      </c>
      <c r="E5373" s="10" t="s">
        <v>39</v>
      </c>
      <c r="F5373" t="s">
        <v>476</v>
      </c>
      <c r="G5373" t="s">
        <v>651</v>
      </c>
    </row>
    <row r="5374" spans="1:7" x14ac:dyDescent="0.35">
      <c r="A5374" s="2">
        <v>43185</v>
      </c>
      <c r="B5374" s="70" t="s">
        <v>667</v>
      </c>
      <c r="C5374" s="10">
        <v>67</v>
      </c>
      <c r="D5374" s="10">
        <v>230</v>
      </c>
      <c r="E5374" s="10" t="s">
        <v>39</v>
      </c>
      <c r="F5374" t="s">
        <v>646</v>
      </c>
    </row>
    <row r="5375" spans="1:7" x14ac:dyDescent="0.35">
      <c r="A5375" s="2">
        <v>43185</v>
      </c>
      <c r="B5375" s="70" t="s">
        <v>667</v>
      </c>
      <c r="C5375" s="10">
        <v>74</v>
      </c>
      <c r="D5375" s="10">
        <v>349</v>
      </c>
      <c r="E5375" s="10" t="s">
        <v>39</v>
      </c>
      <c r="F5375" t="s">
        <v>476</v>
      </c>
    </row>
    <row r="5376" spans="1:7" x14ac:dyDescent="0.35">
      <c r="A5376" s="2">
        <v>43185</v>
      </c>
      <c r="B5376" s="70" t="s">
        <v>667</v>
      </c>
      <c r="C5376" s="10">
        <v>70</v>
      </c>
      <c r="D5376" s="10">
        <v>261</v>
      </c>
      <c r="E5376" s="10" t="s">
        <v>39</v>
      </c>
      <c r="F5376" t="s">
        <v>476</v>
      </c>
    </row>
    <row r="5377" spans="1:7" x14ac:dyDescent="0.35">
      <c r="A5377" s="2">
        <v>43185</v>
      </c>
      <c r="B5377" s="70" t="s">
        <v>667</v>
      </c>
      <c r="C5377" s="10">
        <v>71</v>
      </c>
      <c r="D5377" s="10">
        <v>354</v>
      </c>
      <c r="E5377" s="10" t="s">
        <v>39</v>
      </c>
      <c r="F5377" t="s">
        <v>646</v>
      </c>
      <c r="G5377" t="s">
        <v>651</v>
      </c>
    </row>
    <row r="5378" spans="1:7" x14ac:dyDescent="0.35">
      <c r="A5378" s="2">
        <v>43185</v>
      </c>
      <c r="B5378" s="70" t="s">
        <v>667</v>
      </c>
      <c r="C5378" s="10">
        <v>70</v>
      </c>
      <c r="D5378" s="10">
        <v>291</v>
      </c>
      <c r="E5378" s="10" t="s">
        <v>39</v>
      </c>
      <c r="F5378" t="s">
        <v>646</v>
      </c>
      <c r="G5378" t="s">
        <v>651</v>
      </c>
    </row>
    <row r="5379" spans="1:7" x14ac:dyDescent="0.35">
      <c r="A5379" s="2">
        <v>43185</v>
      </c>
      <c r="B5379" s="70" t="s">
        <v>667</v>
      </c>
      <c r="C5379" s="10">
        <v>70</v>
      </c>
      <c r="D5379" s="10">
        <v>275</v>
      </c>
      <c r="E5379" s="10" t="s">
        <v>39</v>
      </c>
      <c r="F5379" t="s">
        <v>476</v>
      </c>
    </row>
    <row r="5380" spans="1:7" x14ac:dyDescent="0.35">
      <c r="A5380" s="2">
        <v>43185</v>
      </c>
      <c r="B5380" s="70" t="s">
        <v>667</v>
      </c>
      <c r="C5380" s="10">
        <v>72</v>
      </c>
      <c r="D5380" s="10">
        <v>327</v>
      </c>
      <c r="E5380" s="10" t="s">
        <v>39</v>
      </c>
      <c r="F5380" t="s">
        <v>646</v>
      </c>
    </row>
    <row r="5381" spans="1:7" x14ac:dyDescent="0.35">
      <c r="A5381" s="2">
        <v>43185</v>
      </c>
      <c r="B5381" s="70" t="s">
        <v>667</v>
      </c>
      <c r="C5381" s="10">
        <v>72</v>
      </c>
      <c r="D5381" s="10">
        <v>343</v>
      </c>
      <c r="E5381" s="10" t="s">
        <v>33</v>
      </c>
      <c r="F5381" t="s">
        <v>646</v>
      </c>
    </row>
    <row r="5382" spans="1:7" x14ac:dyDescent="0.35">
      <c r="A5382" s="2">
        <v>43185</v>
      </c>
      <c r="B5382" s="70" t="s">
        <v>667</v>
      </c>
      <c r="C5382" s="10">
        <v>67</v>
      </c>
      <c r="D5382" s="10">
        <v>323</v>
      </c>
      <c r="E5382" s="10" t="s">
        <v>39</v>
      </c>
      <c r="F5382" t="s">
        <v>476</v>
      </c>
    </row>
    <row r="5383" spans="1:7" x14ac:dyDescent="0.35">
      <c r="A5383" s="2">
        <v>43185</v>
      </c>
      <c r="B5383" s="70" t="s">
        <v>667</v>
      </c>
      <c r="C5383" s="10">
        <v>67</v>
      </c>
      <c r="D5383" s="10">
        <v>254</v>
      </c>
      <c r="E5383" s="10" t="s">
        <v>40</v>
      </c>
      <c r="F5383" t="s">
        <v>476</v>
      </c>
    </row>
    <row r="5384" spans="1:7" x14ac:dyDescent="0.35">
      <c r="A5384" s="2">
        <v>43185</v>
      </c>
      <c r="B5384" s="70" t="s">
        <v>667</v>
      </c>
      <c r="C5384" s="10">
        <v>76</v>
      </c>
      <c r="D5384" s="10">
        <v>354</v>
      </c>
      <c r="E5384" s="10" t="s">
        <v>33</v>
      </c>
      <c r="F5384" t="s">
        <v>476</v>
      </c>
    </row>
    <row r="5385" spans="1:7" x14ac:dyDescent="0.35">
      <c r="A5385" s="2">
        <v>43185</v>
      </c>
      <c r="B5385" s="70" t="s">
        <v>667</v>
      </c>
      <c r="C5385" s="10">
        <v>70</v>
      </c>
      <c r="D5385" s="10">
        <v>265</v>
      </c>
      <c r="E5385" s="10" t="s">
        <v>39</v>
      </c>
      <c r="F5385" t="s">
        <v>476</v>
      </c>
      <c r="G5385" t="s">
        <v>651</v>
      </c>
    </row>
    <row r="5386" spans="1:7" x14ac:dyDescent="0.35">
      <c r="A5386" s="2">
        <v>43185</v>
      </c>
      <c r="B5386" s="70" t="s">
        <v>667</v>
      </c>
      <c r="C5386" s="10">
        <v>66</v>
      </c>
      <c r="D5386" s="10">
        <v>252</v>
      </c>
      <c r="E5386" s="10" t="s">
        <v>39</v>
      </c>
      <c r="F5386" t="s">
        <v>646</v>
      </c>
    </row>
    <row r="5387" spans="1:7" x14ac:dyDescent="0.35">
      <c r="A5387" s="2">
        <v>43185</v>
      </c>
      <c r="B5387" s="70" t="s">
        <v>667</v>
      </c>
      <c r="C5387" s="10">
        <v>71</v>
      </c>
      <c r="D5387" s="10">
        <v>311</v>
      </c>
      <c r="E5387" s="10" t="s">
        <v>36</v>
      </c>
      <c r="F5387" t="s">
        <v>646</v>
      </c>
      <c r="G5387" t="s">
        <v>651</v>
      </c>
    </row>
    <row r="5388" spans="1:7" x14ac:dyDescent="0.35">
      <c r="A5388" s="2">
        <v>43185</v>
      </c>
      <c r="B5388" s="70" t="s">
        <v>667</v>
      </c>
      <c r="C5388" s="10">
        <v>72</v>
      </c>
      <c r="D5388" s="10">
        <v>311</v>
      </c>
      <c r="E5388" s="10" t="s">
        <v>39</v>
      </c>
      <c r="F5388" t="s">
        <v>646</v>
      </c>
    </row>
    <row r="5389" spans="1:7" x14ac:dyDescent="0.35">
      <c r="A5389" s="2">
        <v>43185</v>
      </c>
      <c r="B5389" s="70" t="s">
        <v>667</v>
      </c>
      <c r="C5389" s="10">
        <v>69</v>
      </c>
      <c r="D5389" s="10">
        <v>278</v>
      </c>
      <c r="E5389" s="10" t="s">
        <v>34</v>
      </c>
      <c r="F5389" t="s">
        <v>646</v>
      </c>
    </row>
    <row r="5390" spans="1:7" x14ac:dyDescent="0.35">
      <c r="A5390" s="2">
        <v>43185</v>
      </c>
      <c r="B5390" s="70" t="s">
        <v>667</v>
      </c>
      <c r="C5390" s="10">
        <v>75</v>
      </c>
      <c r="D5390" s="10">
        <v>444</v>
      </c>
      <c r="E5390" s="10" t="s">
        <v>39</v>
      </c>
      <c r="F5390" t="s">
        <v>476</v>
      </c>
    </row>
    <row r="5391" spans="1:7" x14ac:dyDescent="0.35">
      <c r="A5391" s="2">
        <v>43185</v>
      </c>
      <c r="B5391" s="70" t="s">
        <v>667</v>
      </c>
      <c r="C5391" s="10">
        <v>75</v>
      </c>
      <c r="D5391" s="10">
        <v>367</v>
      </c>
      <c r="E5391" s="10" t="s">
        <v>39</v>
      </c>
      <c r="F5391" t="s">
        <v>476</v>
      </c>
    </row>
    <row r="5392" spans="1:7" x14ac:dyDescent="0.35">
      <c r="A5392" s="2">
        <v>43185</v>
      </c>
      <c r="B5392" s="70" t="s">
        <v>667</v>
      </c>
      <c r="C5392" s="10">
        <v>68</v>
      </c>
      <c r="D5392" s="10">
        <v>233</v>
      </c>
      <c r="E5392" s="10" t="s">
        <v>40</v>
      </c>
      <c r="F5392" t="s">
        <v>476</v>
      </c>
    </row>
    <row r="5393" spans="1:24" x14ac:dyDescent="0.35">
      <c r="A5393" s="2">
        <v>43185</v>
      </c>
      <c r="B5393" s="70" t="s">
        <v>667</v>
      </c>
      <c r="C5393" s="10">
        <v>74</v>
      </c>
      <c r="D5393" s="10">
        <v>397</v>
      </c>
      <c r="E5393" s="10" t="s">
        <v>39</v>
      </c>
      <c r="F5393" t="s">
        <v>476</v>
      </c>
    </row>
    <row r="5394" spans="1:24" x14ac:dyDescent="0.35">
      <c r="A5394" s="2">
        <v>43185</v>
      </c>
      <c r="B5394" s="70" t="s">
        <v>667</v>
      </c>
      <c r="C5394" s="10">
        <v>73</v>
      </c>
      <c r="D5394" s="10">
        <v>338</v>
      </c>
      <c r="E5394" s="10" t="s">
        <v>33</v>
      </c>
      <c r="F5394" t="s">
        <v>476</v>
      </c>
    </row>
    <row r="5395" spans="1:24" x14ac:dyDescent="0.35">
      <c r="A5395" s="2">
        <v>43185</v>
      </c>
      <c r="B5395" s="70" t="s">
        <v>667</v>
      </c>
      <c r="C5395" s="10">
        <v>70</v>
      </c>
      <c r="D5395" s="10">
        <v>302</v>
      </c>
      <c r="E5395" s="10" t="s">
        <v>39</v>
      </c>
      <c r="F5395" t="s">
        <v>476</v>
      </c>
    </row>
    <row r="5396" spans="1:24" x14ac:dyDescent="0.35">
      <c r="A5396" s="2">
        <v>43185</v>
      </c>
      <c r="B5396" s="70" t="s">
        <v>667</v>
      </c>
      <c r="C5396" s="10">
        <v>72</v>
      </c>
      <c r="D5396" s="10">
        <v>347</v>
      </c>
      <c r="E5396" s="10" t="s">
        <v>39</v>
      </c>
      <c r="F5396" t="s">
        <v>476</v>
      </c>
    </row>
    <row r="5397" spans="1:24" x14ac:dyDescent="0.35">
      <c r="A5397" s="2">
        <v>43185</v>
      </c>
      <c r="B5397" s="70" t="s">
        <v>667</v>
      </c>
      <c r="C5397" s="10">
        <v>70</v>
      </c>
      <c r="D5397" s="10">
        <v>318</v>
      </c>
      <c r="E5397" s="10" t="s">
        <v>39</v>
      </c>
      <c r="F5397" t="s">
        <v>476</v>
      </c>
    </row>
    <row r="5398" spans="1:24" x14ac:dyDescent="0.35">
      <c r="A5398" s="2">
        <v>43185</v>
      </c>
      <c r="B5398" s="70" t="s">
        <v>667</v>
      </c>
      <c r="C5398" s="10">
        <v>65</v>
      </c>
      <c r="D5398" s="10">
        <v>226</v>
      </c>
      <c r="E5398" s="10" t="s">
        <v>36</v>
      </c>
      <c r="F5398" t="s">
        <v>646</v>
      </c>
      <c r="G5398" t="s">
        <v>651</v>
      </c>
    </row>
    <row r="5399" spans="1:24" x14ac:dyDescent="0.35">
      <c r="A5399" s="2">
        <v>43185</v>
      </c>
      <c r="B5399" s="70" t="s">
        <v>667</v>
      </c>
      <c r="C5399" s="10">
        <v>71</v>
      </c>
      <c r="D5399" s="10">
        <v>285</v>
      </c>
      <c r="E5399" s="10" t="s">
        <v>36</v>
      </c>
      <c r="F5399" t="s">
        <v>476</v>
      </c>
    </row>
    <row r="5400" spans="1:24" x14ac:dyDescent="0.35">
      <c r="A5400" s="2">
        <v>43185</v>
      </c>
      <c r="B5400" s="70" t="s">
        <v>667</v>
      </c>
      <c r="C5400" s="10">
        <v>70</v>
      </c>
      <c r="D5400" s="10">
        <v>282</v>
      </c>
      <c r="E5400" s="10" t="s">
        <v>40</v>
      </c>
      <c r="F5400" t="s">
        <v>476</v>
      </c>
      <c r="G5400" t="s">
        <v>651</v>
      </c>
      <c r="N5400" t="s">
        <v>42</v>
      </c>
      <c r="O5400" t="s">
        <v>39</v>
      </c>
      <c r="P5400" t="s">
        <v>40</v>
      </c>
      <c r="Q5400" t="s">
        <v>36</v>
      </c>
      <c r="R5400" t="s">
        <v>33</v>
      </c>
      <c r="S5400" t="s">
        <v>34</v>
      </c>
      <c r="T5400" t="s">
        <v>32</v>
      </c>
      <c r="U5400" t="s">
        <v>37</v>
      </c>
    </row>
    <row r="5401" spans="1:24" x14ac:dyDescent="0.35">
      <c r="A5401" s="2">
        <v>43185</v>
      </c>
      <c r="B5401" s="70" t="s">
        <v>667</v>
      </c>
      <c r="C5401" s="10">
        <v>70</v>
      </c>
      <c r="D5401" s="10">
        <v>326</v>
      </c>
      <c r="E5401" s="10" t="s">
        <v>39</v>
      </c>
      <c r="F5401" t="s">
        <v>293</v>
      </c>
      <c r="N5401" s="5">
        <f>COUNTIF(E5350:E5401,"VA")</f>
        <v>1</v>
      </c>
      <c r="O5401" s="5">
        <f>COUNTIF(E5350:E5402,"VB")</f>
        <v>28</v>
      </c>
      <c r="P5401" s="5">
        <f>COUNTIF(E5350:E5402,"VIA0")</f>
        <v>7</v>
      </c>
      <c r="Q5401" s="5">
        <f>COUNTIF(E5350:E5402,"VIA1")</f>
        <v>5</v>
      </c>
      <c r="R5401" s="5">
        <f>COUNTIF(E5350:E5402,"VIA2")</f>
        <v>8</v>
      </c>
      <c r="S5401" s="5">
        <f>COUNTIF(E5350:E5402,"VIA3")</f>
        <v>2</v>
      </c>
      <c r="T5401" s="5">
        <f>COUNTIF(E5350:E5402,"VIA4")</f>
        <v>0</v>
      </c>
      <c r="U5401" s="5">
        <f>COUNTIF(E5378:E5402,"VIB")</f>
        <v>0</v>
      </c>
      <c r="W5401">
        <f>AVERAGE(C5350:C5401)</f>
        <v>71</v>
      </c>
      <c r="X5401">
        <f>AVERAGE(D5350:D5401)</f>
        <v>312.69230769230768</v>
      </c>
    </row>
    <row r="5402" spans="1:24" s="4" customFormat="1" x14ac:dyDescent="0.35">
      <c r="A5402" s="3">
        <v>43185</v>
      </c>
      <c r="B5402" s="44" t="s">
        <v>667</v>
      </c>
      <c r="C5402" s="11">
        <v>184</v>
      </c>
      <c r="D5402" s="11">
        <v>8253</v>
      </c>
      <c r="E5402" s="11" t="s">
        <v>98</v>
      </c>
      <c r="N5402" s="6">
        <f>N5401/51*100</f>
        <v>1.9607843137254901</v>
      </c>
      <c r="O5402" s="6">
        <f t="shared" ref="O5402:U5402" si="153">O5401/51*100</f>
        <v>54.901960784313729</v>
      </c>
      <c r="P5402" s="6">
        <f t="shared" si="153"/>
        <v>13.725490196078432</v>
      </c>
      <c r="Q5402" s="6">
        <f t="shared" si="153"/>
        <v>9.8039215686274517</v>
      </c>
      <c r="R5402" s="6">
        <f t="shared" si="153"/>
        <v>15.686274509803921</v>
      </c>
      <c r="S5402" s="6">
        <f t="shared" si="153"/>
        <v>3.9215686274509802</v>
      </c>
      <c r="T5402" s="6">
        <f t="shared" si="153"/>
        <v>0</v>
      </c>
      <c r="U5402" s="6">
        <f t="shared" si="153"/>
        <v>0</v>
      </c>
    </row>
    <row r="5403" spans="1:24" x14ac:dyDescent="0.35">
      <c r="A5403" s="2">
        <v>43185</v>
      </c>
      <c r="B5403" s="36" t="s">
        <v>668</v>
      </c>
      <c r="C5403" s="10">
        <v>72</v>
      </c>
      <c r="D5403" s="10">
        <v>286</v>
      </c>
      <c r="E5403" s="10" t="s">
        <v>39</v>
      </c>
      <c r="F5403" s="10" t="s">
        <v>476</v>
      </c>
    </row>
    <row r="5404" spans="1:24" x14ac:dyDescent="0.35">
      <c r="A5404" s="2">
        <v>43185</v>
      </c>
      <c r="B5404" s="36" t="s">
        <v>668</v>
      </c>
      <c r="C5404" s="10">
        <v>76</v>
      </c>
      <c r="D5404" s="10">
        <v>381</v>
      </c>
      <c r="E5404" s="10" t="s">
        <v>39</v>
      </c>
      <c r="F5404" s="10" t="s">
        <v>476</v>
      </c>
    </row>
    <row r="5405" spans="1:24" x14ac:dyDescent="0.35">
      <c r="A5405" s="2">
        <v>43185</v>
      </c>
      <c r="B5405" s="36" t="s">
        <v>668</v>
      </c>
      <c r="C5405" s="10">
        <v>74</v>
      </c>
      <c r="D5405" s="10">
        <v>362</v>
      </c>
      <c r="E5405" s="10" t="s">
        <v>40</v>
      </c>
      <c r="F5405" s="10" t="s">
        <v>476</v>
      </c>
    </row>
    <row r="5406" spans="1:24" x14ac:dyDescent="0.35">
      <c r="A5406" s="2">
        <v>43185</v>
      </c>
      <c r="B5406" s="36" t="s">
        <v>668</v>
      </c>
      <c r="C5406" s="10">
        <v>74</v>
      </c>
      <c r="D5406" s="10">
        <v>403</v>
      </c>
      <c r="E5406" s="10" t="s">
        <v>39</v>
      </c>
      <c r="F5406" s="10" t="s">
        <v>476</v>
      </c>
    </row>
    <row r="5407" spans="1:24" x14ac:dyDescent="0.35">
      <c r="A5407" s="2">
        <v>43185</v>
      </c>
      <c r="B5407" s="36" t="s">
        <v>668</v>
      </c>
      <c r="C5407" s="10">
        <v>77</v>
      </c>
      <c r="D5407" s="10">
        <v>373</v>
      </c>
      <c r="E5407" s="10" t="s">
        <v>33</v>
      </c>
      <c r="F5407" s="10" t="s">
        <v>646</v>
      </c>
      <c r="G5407" t="s">
        <v>651</v>
      </c>
    </row>
    <row r="5408" spans="1:24" x14ac:dyDescent="0.35">
      <c r="A5408" s="2">
        <v>43185</v>
      </c>
      <c r="B5408" s="36" t="s">
        <v>668</v>
      </c>
      <c r="C5408" s="10">
        <v>68</v>
      </c>
      <c r="D5408" s="10">
        <v>256</v>
      </c>
      <c r="E5408" s="10" t="s">
        <v>40</v>
      </c>
      <c r="F5408" s="10" t="s">
        <v>476</v>
      </c>
      <c r="G5408" t="s">
        <v>651</v>
      </c>
    </row>
    <row r="5409" spans="1:7" x14ac:dyDescent="0.35">
      <c r="A5409" s="2">
        <v>43185</v>
      </c>
      <c r="B5409" s="36" t="s">
        <v>668</v>
      </c>
      <c r="C5409" s="10">
        <v>75</v>
      </c>
      <c r="D5409" s="10">
        <v>380</v>
      </c>
      <c r="E5409" s="10" t="s">
        <v>39</v>
      </c>
      <c r="F5409" s="10" t="s">
        <v>476</v>
      </c>
    </row>
    <row r="5410" spans="1:7" x14ac:dyDescent="0.35">
      <c r="A5410" s="2">
        <v>43185</v>
      </c>
      <c r="B5410" s="36" t="s">
        <v>668</v>
      </c>
      <c r="C5410" s="10">
        <v>73</v>
      </c>
      <c r="D5410" s="10">
        <v>284</v>
      </c>
      <c r="E5410" s="10" t="s">
        <v>40</v>
      </c>
      <c r="F5410" s="10" t="s">
        <v>476</v>
      </c>
    </row>
    <row r="5411" spans="1:7" x14ac:dyDescent="0.35">
      <c r="A5411" s="2">
        <v>43185</v>
      </c>
      <c r="B5411" s="36" t="s">
        <v>668</v>
      </c>
      <c r="C5411" s="10">
        <v>75</v>
      </c>
      <c r="D5411" s="10">
        <v>383</v>
      </c>
      <c r="E5411" s="10" t="s">
        <v>39</v>
      </c>
      <c r="F5411" s="10" t="s">
        <v>476</v>
      </c>
    </row>
    <row r="5412" spans="1:7" x14ac:dyDescent="0.35">
      <c r="A5412" s="2">
        <v>43185</v>
      </c>
      <c r="B5412" s="36" t="s">
        <v>668</v>
      </c>
      <c r="C5412" s="10">
        <v>70</v>
      </c>
      <c r="D5412" s="10">
        <v>273</v>
      </c>
      <c r="E5412" s="10" t="s">
        <v>39</v>
      </c>
      <c r="F5412" s="10" t="s">
        <v>476</v>
      </c>
    </row>
    <row r="5413" spans="1:7" x14ac:dyDescent="0.35">
      <c r="A5413" s="2">
        <v>43185</v>
      </c>
      <c r="B5413" s="36" t="s">
        <v>668</v>
      </c>
      <c r="C5413" s="10">
        <v>71</v>
      </c>
      <c r="D5413" s="10">
        <v>323</v>
      </c>
      <c r="E5413" s="10" t="s">
        <v>39</v>
      </c>
      <c r="F5413" s="10" t="s">
        <v>476</v>
      </c>
    </row>
    <row r="5414" spans="1:7" x14ac:dyDescent="0.35">
      <c r="A5414" s="2">
        <v>43185</v>
      </c>
      <c r="B5414" s="36" t="s">
        <v>668</v>
      </c>
      <c r="C5414" s="10">
        <v>70</v>
      </c>
      <c r="D5414" s="10">
        <v>308</v>
      </c>
      <c r="E5414" s="10" t="s">
        <v>39</v>
      </c>
      <c r="F5414" s="10" t="s">
        <v>476</v>
      </c>
    </row>
    <row r="5415" spans="1:7" x14ac:dyDescent="0.35">
      <c r="A5415" s="2">
        <v>43185</v>
      </c>
      <c r="B5415" s="36" t="s">
        <v>668</v>
      </c>
      <c r="C5415" s="10">
        <v>73</v>
      </c>
      <c r="D5415" s="10">
        <v>335</v>
      </c>
      <c r="E5415" s="10" t="s">
        <v>39</v>
      </c>
      <c r="F5415" s="10" t="s">
        <v>476</v>
      </c>
    </row>
    <row r="5416" spans="1:7" x14ac:dyDescent="0.35">
      <c r="A5416" s="2">
        <v>43185</v>
      </c>
      <c r="B5416" s="36" t="s">
        <v>668</v>
      </c>
      <c r="C5416" s="10">
        <v>72</v>
      </c>
      <c r="D5416" s="10">
        <v>350</v>
      </c>
      <c r="E5416" s="10" t="s">
        <v>39</v>
      </c>
      <c r="F5416" s="10" t="s">
        <v>476</v>
      </c>
    </row>
    <row r="5417" spans="1:7" x14ac:dyDescent="0.35">
      <c r="A5417" s="2">
        <v>43185</v>
      </c>
      <c r="B5417" s="36" t="s">
        <v>668</v>
      </c>
      <c r="C5417" s="10">
        <v>78</v>
      </c>
      <c r="D5417" s="10">
        <v>277</v>
      </c>
      <c r="E5417" s="10" t="s">
        <v>39</v>
      </c>
      <c r="F5417" s="10" t="s">
        <v>476</v>
      </c>
      <c r="G5417" t="s">
        <v>651</v>
      </c>
    </row>
    <row r="5418" spans="1:7" x14ac:dyDescent="0.35">
      <c r="A5418" s="2">
        <v>43185</v>
      </c>
      <c r="B5418" s="36" t="s">
        <v>668</v>
      </c>
      <c r="C5418" s="10">
        <v>75</v>
      </c>
      <c r="D5418" s="10">
        <v>400</v>
      </c>
      <c r="E5418" s="10" t="s">
        <v>40</v>
      </c>
      <c r="F5418" s="10" t="s">
        <v>646</v>
      </c>
      <c r="G5418" t="s">
        <v>651</v>
      </c>
    </row>
    <row r="5419" spans="1:7" x14ac:dyDescent="0.35">
      <c r="A5419" s="2">
        <v>43185</v>
      </c>
      <c r="B5419" s="36" t="s">
        <v>668</v>
      </c>
      <c r="C5419" s="10">
        <v>77</v>
      </c>
      <c r="D5419" s="10">
        <v>327</v>
      </c>
      <c r="E5419" s="10" t="s">
        <v>39</v>
      </c>
      <c r="F5419" s="10" t="s">
        <v>476</v>
      </c>
    </row>
    <row r="5420" spans="1:7" x14ac:dyDescent="0.35">
      <c r="A5420" s="2">
        <v>43185</v>
      </c>
      <c r="B5420" s="36" t="s">
        <v>668</v>
      </c>
      <c r="C5420" s="10">
        <v>67</v>
      </c>
      <c r="D5420" s="10">
        <v>288</v>
      </c>
      <c r="E5420" s="10" t="s">
        <v>39</v>
      </c>
      <c r="F5420" s="10" t="s">
        <v>476</v>
      </c>
    </row>
    <row r="5421" spans="1:7" x14ac:dyDescent="0.35">
      <c r="A5421" s="2">
        <v>43185</v>
      </c>
      <c r="B5421" s="36" t="s">
        <v>668</v>
      </c>
      <c r="C5421" s="10">
        <v>68</v>
      </c>
      <c r="D5421" s="10">
        <v>291</v>
      </c>
      <c r="E5421" s="10" t="s">
        <v>39</v>
      </c>
      <c r="F5421" s="10" t="s">
        <v>476</v>
      </c>
    </row>
    <row r="5422" spans="1:7" x14ac:dyDescent="0.35">
      <c r="A5422" s="2">
        <v>43185</v>
      </c>
      <c r="B5422" s="36" t="s">
        <v>668</v>
      </c>
      <c r="C5422" s="10">
        <v>76</v>
      </c>
      <c r="D5422" s="10">
        <v>385</v>
      </c>
      <c r="E5422" s="10" t="s">
        <v>39</v>
      </c>
      <c r="F5422" s="10" t="s">
        <v>476</v>
      </c>
    </row>
    <row r="5423" spans="1:7" x14ac:dyDescent="0.35">
      <c r="A5423" s="2">
        <v>43185</v>
      </c>
      <c r="B5423" s="36" t="s">
        <v>668</v>
      </c>
      <c r="C5423" s="10">
        <v>68</v>
      </c>
      <c r="D5423" s="10">
        <v>254</v>
      </c>
      <c r="E5423" s="10" t="s">
        <v>39</v>
      </c>
      <c r="F5423" s="10" t="s">
        <v>476</v>
      </c>
    </row>
    <row r="5424" spans="1:7" x14ac:dyDescent="0.35">
      <c r="A5424" s="2">
        <v>43185</v>
      </c>
      <c r="B5424" s="36" t="s">
        <v>668</v>
      </c>
      <c r="C5424" s="10">
        <v>70</v>
      </c>
      <c r="D5424" s="10">
        <v>313</v>
      </c>
      <c r="E5424" s="10" t="s">
        <v>39</v>
      </c>
      <c r="F5424" s="10" t="s">
        <v>476</v>
      </c>
    </row>
    <row r="5425" spans="1:7" x14ac:dyDescent="0.35">
      <c r="A5425" s="2">
        <v>43185</v>
      </c>
      <c r="B5425" s="36" t="s">
        <v>668</v>
      </c>
      <c r="C5425" s="10">
        <v>74</v>
      </c>
      <c r="D5425" s="10">
        <v>333</v>
      </c>
      <c r="E5425" s="10" t="s">
        <v>39</v>
      </c>
      <c r="F5425" s="10" t="s">
        <v>476</v>
      </c>
      <c r="G5425" t="s">
        <v>651</v>
      </c>
    </row>
    <row r="5426" spans="1:7" x14ac:dyDescent="0.35">
      <c r="A5426" s="2">
        <v>43185</v>
      </c>
      <c r="B5426" s="36" t="s">
        <v>668</v>
      </c>
      <c r="C5426" s="10">
        <v>71</v>
      </c>
      <c r="D5426" s="10">
        <v>326</v>
      </c>
      <c r="E5426" s="10" t="s">
        <v>39</v>
      </c>
      <c r="F5426" s="10" t="s">
        <v>476</v>
      </c>
    </row>
    <row r="5427" spans="1:7" x14ac:dyDescent="0.35">
      <c r="A5427" s="2">
        <v>43185</v>
      </c>
      <c r="B5427" s="36" t="s">
        <v>668</v>
      </c>
      <c r="C5427" s="10">
        <v>66</v>
      </c>
      <c r="D5427" s="10">
        <v>336</v>
      </c>
      <c r="E5427" s="10" t="s">
        <v>39</v>
      </c>
      <c r="F5427" s="10" t="s">
        <v>476</v>
      </c>
    </row>
    <row r="5428" spans="1:7" x14ac:dyDescent="0.35">
      <c r="A5428" s="2">
        <v>43185</v>
      </c>
      <c r="B5428" s="36" t="s">
        <v>668</v>
      </c>
      <c r="C5428" s="10">
        <v>80</v>
      </c>
      <c r="D5428" s="10">
        <v>440</v>
      </c>
      <c r="E5428" s="10" t="s">
        <v>39</v>
      </c>
      <c r="F5428" s="10" t="s">
        <v>476</v>
      </c>
    </row>
    <row r="5429" spans="1:7" x14ac:dyDescent="0.35">
      <c r="A5429" s="2">
        <v>43185</v>
      </c>
      <c r="B5429" s="36" t="s">
        <v>668</v>
      </c>
      <c r="C5429" s="10">
        <v>74</v>
      </c>
      <c r="D5429" s="10">
        <v>381</v>
      </c>
      <c r="E5429" s="10" t="s">
        <v>39</v>
      </c>
      <c r="F5429" s="10" t="s">
        <v>476</v>
      </c>
    </row>
    <row r="5430" spans="1:7" x14ac:dyDescent="0.35">
      <c r="A5430" s="2">
        <v>43185</v>
      </c>
      <c r="B5430" s="36" t="s">
        <v>668</v>
      </c>
      <c r="C5430" s="10">
        <v>73</v>
      </c>
      <c r="D5430" s="10">
        <v>306</v>
      </c>
      <c r="E5430" s="10" t="s">
        <v>40</v>
      </c>
      <c r="F5430" s="10" t="s">
        <v>646</v>
      </c>
    </row>
    <row r="5431" spans="1:7" x14ac:dyDescent="0.35">
      <c r="A5431" s="2">
        <v>43185</v>
      </c>
      <c r="B5431" s="36" t="s">
        <v>668</v>
      </c>
      <c r="C5431" s="10">
        <v>70</v>
      </c>
      <c r="D5431" s="10">
        <v>302</v>
      </c>
      <c r="E5431" s="10" t="s">
        <v>40</v>
      </c>
      <c r="F5431" s="10" t="s">
        <v>476</v>
      </c>
      <c r="G5431" t="s">
        <v>651</v>
      </c>
    </row>
    <row r="5432" spans="1:7" x14ac:dyDescent="0.35">
      <c r="A5432" s="2">
        <v>43185</v>
      </c>
      <c r="B5432" s="36" t="s">
        <v>668</v>
      </c>
      <c r="C5432" s="10">
        <v>69</v>
      </c>
      <c r="D5432" s="10">
        <v>288</v>
      </c>
      <c r="E5432" s="10" t="s">
        <v>39</v>
      </c>
      <c r="F5432" s="10" t="s">
        <v>646</v>
      </c>
    </row>
    <row r="5433" spans="1:7" x14ac:dyDescent="0.35">
      <c r="A5433" s="2">
        <v>43185</v>
      </c>
      <c r="B5433" s="36" t="s">
        <v>668</v>
      </c>
      <c r="C5433" s="10">
        <v>74</v>
      </c>
      <c r="D5433" s="10">
        <v>322</v>
      </c>
      <c r="E5433" s="10" t="s">
        <v>39</v>
      </c>
      <c r="F5433" s="10" t="s">
        <v>476</v>
      </c>
    </row>
    <row r="5434" spans="1:7" x14ac:dyDescent="0.35">
      <c r="A5434" s="2">
        <v>43185</v>
      </c>
      <c r="B5434" s="36" t="s">
        <v>668</v>
      </c>
      <c r="C5434" s="10">
        <v>78</v>
      </c>
      <c r="D5434" s="10">
        <v>366</v>
      </c>
      <c r="E5434" s="10" t="s">
        <v>39</v>
      </c>
      <c r="F5434" s="10" t="s">
        <v>476</v>
      </c>
      <c r="G5434" t="s">
        <v>651</v>
      </c>
    </row>
    <row r="5435" spans="1:7" x14ac:dyDescent="0.35">
      <c r="A5435" s="2">
        <v>43185</v>
      </c>
      <c r="B5435" s="36" t="s">
        <v>668</v>
      </c>
      <c r="C5435" s="10">
        <v>67</v>
      </c>
      <c r="D5435" s="10">
        <v>259</v>
      </c>
      <c r="E5435" s="10" t="s">
        <v>39</v>
      </c>
      <c r="F5435" s="10" t="s">
        <v>476</v>
      </c>
      <c r="G5435" t="s">
        <v>651</v>
      </c>
    </row>
    <row r="5436" spans="1:7" x14ac:dyDescent="0.35">
      <c r="A5436" s="2">
        <v>43185</v>
      </c>
      <c r="B5436" s="36" t="s">
        <v>668</v>
      </c>
      <c r="C5436" s="10">
        <v>62</v>
      </c>
      <c r="D5436" s="10">
        <v>210</v>
      </c>
      <c r="E5436" s="10" t="s">
        <v>39</v>
      </c>
      <c r="F5436" s="10" t="s">
        <v>293</v>
      </c>
    </row>
    <row r="5437" spans="1:7" x14ac:dyDescent="0.35">
      <c r="A5437" s="2">
        <v>43185</v>
      </c>
      <c r="B5437" s="36" t="s">
        <v>668</v>
      </c>
      <c r="C5437" s="10">
        <v>75</v>
      </c>
      <c r="D5437" s="10">
        <v>349</v>
      </c>
      <c r="E5437" s="10" t="s">
        <v>39</v>
      </c>
      <c r="F5437" s="10" t="s">
        <v>476</v>
      </c>
      <c r="G5437" t="s">
        <v>651</v>
      </c>
    </row>
    <row r="5438" spans="1:7" x14ac:dyDescent="0.35">
      <c r="A5438" s="2">
        <v>43185</v>
      </c>
      <c r="B5438" s="36" t="s">
        <v>668</v>
      </c>
      <c r="C5438" s="10">
        <v>70</v>
      </c>
      <c r="D5438" s="10">
        <v>275</v>
      </c>
      <c r="E5438" s="10" t="s">
        <v>39</v>
      </c>
      <c r="F5438" s="10" t="s">
        <v>476</v>
      </c>
      <c r="G5438" t="s">
        <v>651</v>
      </c>
    </row>
    <row r="5439" spans="1:7" x14ac:dyDescent="0.35">
      <c r="A5439" s="2">
        <v>43185</v>
      </c>
      <c r="B5439" s="36" t="s">
        <v>668</v>
      </c>
      <c r="C5439" s="10">
        <v>60</v>
      </c>
      <c r="D5439" s="10">
        <v>180</v>
      </c>
      <c r="E5439" s="10" t="s">
        <v>39</v>
      </c>
      <c r="F5439" s="10" t="s">
        <v>476</v>
      </c>
    </row>
    <row r="5440" spans="1:7" x14ac:dyDescent="0.35">
      <c r="A5440" s="2">
        <v>43185</v>
      </c>
      <c r="B5440" s="36" t="s">
        <v>668</v>
      </c>
      <c r="C5440" s="10">
        <v>68</v>
      </c>
      <c r="D5440" s="10">
        <v>289</v>
      </c>
      <c r="E5440" s="10" t="s">
        <v>39</v>
      </c>
      <c r="F5440" s="10" t="s">
        <v>476</v>
      </c>
    </row>
    <row r="5441" spans="1:24" x14ac:dyDescent="0.35">
      <c r="A5441" s="2">
        <v>43185</v>
      </c>
      <c r="B5441" s="36" t="s">
        <v>668</v>
      </c>
      <c r="C5441" s="10">
        <v>70</v>
      </c>
      <c r="D5441" s="10">
        <v>349</v>
      </c>
      <c r="E5441" s="10" t="s">
        <v>39</v>
      </c>
      <c r="F5441" s="10" t="s">
        <v>476</v>
      </c>
    </row>
    <row r="5442" spans="1:24" x14ac:dyDescent="0.35">
      <c r="A5442" s="2">
        <v>43185</v>
      </c>
      <c r="B5442" s="36" t="s">
        <v>668</v>
      </c>
      <c r="C5442" s="10">
        <v>69</v>
      </c>
      <c r="D5442" s="10">
        <v>323</v>
      </c>
      <c r="E5442" s="10" t="s">
        <v>39</v>
      </c>
      <c r="F5442" s="10" t="s">
        <v>476</v>
      </c>
      <c r="G5442" t="s">
        <v>651</v>
      </c>
    </row>
    <row r="5443" spans="1:24" x14ac:dyDescent="0.35">
      <c r="A5443" s="2">
        <v>43185</v>
      </c>
      <c r="B5443" s="36" t="s">
        <v>668</v>
      </c>
      <c r="C5443" s="10">
        <v>71</v>
      </c>
      <c r="D5443" s="10">
        <v>318</v>
      </c>
      <c r="E5443" s="10" t="s">
        <v>39</v>
      </c>
      <c r="F5443" s="10" t="s">
        <v>646</v>
      </c>
      <c r="G5443" t="s">
        <v>651</v>
      </c>
    </row>
    <row r="5444" spans="1:24" x14ac:dyDescent="0.35">
      <c r="A5444" s="2">
        <v>43185</v>
      </c>
      <c r="B5444" s="36" t="s">
        <v>668</v>
      </c>
      <c r="C5444" s="10">
        <v>71</v>
      </c>
      <c r="D5444" s="10">
        <v>331</v>
      </c>
      <c r="E5444" s="10" t="s">
        <v>39</v>
      </c>
      <c r="F5444" s="10" t="s">
        <v>476</v>
      </c>
    </row>
    <row r="5445" spans="1:24" x14ac:dyDescent="0.35">
      <c r="A5445" s="2">
        <v>43185</v>
      </c>
      <c r="B5445" s="36" t="s">
        <v>668</v>
      </c>
      <c r="C5445" s="10">
        <v>73</v>
      </c>
      <c r="D5445" s="10">
        <v>278</v>
      </c>
      <c r="E5445" s="10" t="s">
        <v>40</v>
      </c>
      <c r="F5445" s="10" t="s">
        <v>646</v>
      </c>
      <c r="G5445" t="s">
        <v>651</v>
      </c>
    </row>
    <row r="5446" spans="1:24" x14ac:dyDescent="0.35">
      <c r="A5446" s="2">
        <v>43185</v>
      </c>
      <c r="B5446" s="36" t="s">
        <v>668</v>
      </c>
      <c r="C5446" s="10">
        <v>72</v>
      </c>
      <c r="D5446" s="10">
        <v>316</v>
      </c>
      <c r="E5446" s="10" t="s">
        <v>39</v>
      </c>
      <c r="F5446" s="10" t="s">
        <v>476</v>
      </c>
    </row>
    <row r="5447" spans="1:24" x14ac:dyDescent="0.35">
      <c r="A5447" s="2">
        <v>43185</v>
      </c>
      <c r="B5447" s="36" t="s">
        <v>668</v>
      </c>
      <c r="C5447" s="10">
        <v>72</v>
      </c>
      <c r="D5447" s="10">
        <v>316</v>
      </c>
      <c r="E5447" s="10" t="s">
        <v>39</v>
      </c>
      <c r="F5447" s="10" t="s">
        <v>476</v>
      </c>
    </row>
    <row r="5448" spans="1:24" x14ac:dyDescent="0.35">
      <c r="A5448" s="2">
        <v>43185</v>
      </c>
      <c r="B5448" s="36" t="s">
        <v>668</v>
      </c>
      <c r="C5448" s="10">
        <v>74</v>
      </c>
      <c r="D5448" s="10">
        <v>273</v>
      </c>
      <c r="E5448" s="10" t="s">
        <v>39</v>
      </c>
      <c r="F5448" s="10" t="s">
        <v>476</v>
      </c>
    </row>
    <row r="5449" spans="1:24" x14ac:dyDescent="0.35">
      <c r="A5449" s="2">
        <v>43185</v>
      </c>
      <c r="B5449" s="36" t="s">
        <v>668</v>
      </c>
      <c r="C5449" s="10">
        <v>73</v>
      </c>
      <c r="D5449" s="10">
        <v>354</v>
      </c>
      <c r="E5449" s="10" t="s">
        <v>34</v>
      </c>
      <c r="F5449" s="10" t="s">
        <v>646</v>
      </c>
      <c r="G5449" t="s">
        <v>651</v>
      </c>
    </row>
    <row r="5450" spans="1:24" x14ac:dyDescent="0.35">
      <c r="A5450" s="2">
        <v>43185</v>
      </c>
      <c r="B5450" s="36" t="s">
        <v>668</v>
      </c>
      <c r="C5450" s="10">
        <v>71</v>
      </c>
      <c r="D5450" s="10">
        <v>272</v>
      </c>
      <c r="E5450" s="10" t="s">
        <v>40</v>
      </c>
      <c r="F5450" s="10" t="s">
        <v>476</v>
      </c>
      <c r="N5450" t="s">
        <v>42</v>
      </c>
      <c r="O5450" t="s">
        <v>39</v>
      </c>
      <c r="P5450" t="s">
        <v>40</v>
      </c>
      <c r="Q5450" t="s">
        <v>36</v>
      </c>
      <c r="R5450" t="s">
        <v>33</v>
      </c>
      <c r="S5450" t="s">
        <v>34</v>
      </c>
      <c r="T5450" t="s">
        <v>32</v>
      </c>
      <c r="U5450" t="s">
        <v>37</v>
      </c>
    </row>
    <row r="5451" spans="1:24" x14ac:dyDescent="0.35">
      <c r="A5451" s="2">
        <v>43185</v>
      </c>
      <c r="B5451" s="36" t="s">
        <v>668</v>
      </c>
      <c r="C5451" s="10">
        <v>70</v>
      </c>
      <c r="D5451" s="10">
        <v>246</v>
      </c>
      <c r="E5451" s="10" t="s">
        <v>39</v>
      </c>
      <c r="F5451" s="10" t="s">
        <v>476</v>
      </c>
      <c r="G5451" t="s">
        <v>651</v>
      </c>
      <c r="N5451" s="5">
        <f>COUNTIF(E5403:E5452,"VA")</f>
        <v>0</v>
      </c>
      <c r="O5451" s="5">
        <f>COUNTIF(E5403:E5452,"VB")</f>
        <v>40</v>
      </c>
      <c r="P5451" s="5">
        <f>COUNTIF(E5403:E5452,"VIA0")</f>
        <v>8</v>
      </c>
      <c r="Q5451" s="5">
        <f>COUNTIF(E5403:E5452,"VIA1")</f>
        <v>0</v>
      </c>
      <c r="R5451" s="5">
        <f>COUNTIF(E5403:E5452,"VIA2")</f>
        <v>1</v>
      </c>
      <c r="S5451" s="5">
        <f>COUNTIF(E5403:E5452,"VIA3")</f>
        <v>1</v>
      </c>
      <c r="T5451" s="5">
        <f>COUNTIF(E5403:E5452,"VIA4")</f>
        <v>0</v>
      </c>
      <c r="U5451" s="5">
        <f>COUNTIF(E5428:E5452,"VIB")</f>
        <v>0</v>
      </c>
      <c r="W5451">
        <f>AVERAGE(C5403:C5452)</f>
        <v>71.62</v>
      </c>
      <c r="X5451">
        <f>AVERAGE(D5403:D5452)</f>
        <v>316.27999999999997</v>
      </c>
    </row>
    <row r="5452" spans="1:24" s="4" customFormat="1" x14ac:dyDescent="0.35">
      <c r="A5452" s="3">
        <v>43185</v>
      </c>
      <c r="B5452" s="26" t="s">
        <v>668</v>
      </c>
      <c r="C5452" s="11">
        <v>65</v>
      </c>
      <c r="D5452" s="11">
        <v>244</v>
      </c>
      <c r="E5452" s="11" t="s">
        <v>39</v>
      </c>
      <c r="F5452" s="11" t="s">
        <v>476</v>
      </c>
      <c r="N5452" s="6">
        <f>N5451/50*100</f>
        <v>0</v>
      </c>
      <c r="O5452" s="6">
        <f t="shared" ref="O5452:U5452" si="154">O5451/50*100</f>
        <v>80</v>
      </c>
      <c r="P5452" s="6">
        <f t="shared" si="154"/>
        <v>16</v>
      </c>
      <c r="Q5452" s="6">
        <f t="shared" si="154"/>
        <v>0</v>
      </c>
      <c r="R5452" s="6">
        <f t="shared" si="154"/>
        <v>2</v>
      </c>
      <c r="S5452" s="6">
        <f t="shared" si="154"/>
        <v>2</v>
      </c>
      <c r="T5452" s="6">
        <f t="shared" si="154"/>
        <v>0</v>
      </c>
      <c r="U5452" s="6">
        <f t="shared" si="154"/>
        <v>0</v>
      </c>
    </row>
    <row r="5453" spans="1:24" x14ac:dyDescent="0.35">
      <c r="A5453" s="2">
        <v>43186</v>
      </c>
      <c r="B5453" s="70" t="s">
        <v>38</v>
      </c>
      <c r="C5453" s="10">
        <v>73</v>
      </c>
      <c r="D5453" s="10">
        <v>324</v>
      </c>
      <c r="E5453" s="10" t="s">
        <v>36</v>
      </c>
      <c r="F5453" t="s">
        <v>646</v>
      </c>
      <c r="M5453">
        <f>COUNTIF(F5453:F5469,"F-")</f>
        <v>1</v>
      </c>
    </row>
    <row r="5454" spans="1:24" x14ac:dyDescent="0.35">
      <c r="A5454" s="2">
        <v>43186</v>
      </c>
      <c r="B5454" s="70" t="s">
        <v>38</v>
      </c>
      <c r="C5454" s="10">
        <v>75</v>
      </c>
      <c r="D5454" s="10">
        <v>427</v>
      </c>
      <c r="E5454" s="10" t="s">
        <v>33</v>
      </c>
      <c r="F5454" t="s">
        <v>646</v>
      </c>
      <c r="G5454" t="s">
        <v>651</v>
      </c>
    </row>
    <row r="5455" spans="1:24" x14ac:dyDescent="0.35">
      <c r="A5455" s="2">
        <v>43186</v>
      </c>
      <c r="B5455" s="70" t="s">
        <v>38</v>
      </c>
      <c r="C5455" s="10">
        <v>118</v>
      </c>
      <c r="D5455" s="10">
        <v>1711</v>
      </c>
      <c r="E5455" s="10" t="s">
        <v>98</v>
      </c>
    </row>
    <row r="5456" spans="1:24" s="4" customFormat="1" x14ac:dyDescent="0.35">
      <c r="A5456" s="3">
        <v>43186</v>
      </c>
      <c r="B5456" s="44" t="s">
        <v>38</v>
      </c>
      <c r="C5456" s="11">
        <v>123</v>
      </c>
      <c r="D5456" s="11">
        <v>2285</v>
      </c>
      <c r="E5456" s="11" t="s">
        <v>98</v>
      </c>
    </row>
    <row r="5457" spans="1:22" x14ac:dyDescent="0.35">
      <c r="A5457" s="2">
        <v>43186</v>
      </c>
      <c r="B5457" s="70" t="s">
        <v>29</v>
      </c>
      <c r="C5457" s="10">
        <v>71</v>
      </c>
      <c r="D5457" s="10">
        <v>268</v>
      </c>
      <c r="E5457" s="10" t="s">
        <v>33</v>
      </c>
      <c r="F5457" s="10" t="s">
        <v>646</v>
      </c>
    </row>
    <row r="5458" spans="1:22" x14ac:dyDescent="0.35">
      <c r="A5458" s="2">
        <v>43186</v>
      </c>
      <c r="B5458" s="70" t="s">
        <v>29</v>
      </c>
      <c r="C5458" s="10">
        <v>75</v>
      </c>
      <c r="D5458" s="10">
        <v>411</v>
      </c>
      <c r="E5458" s="10" t="s">
        <v>33</v>
      </c>
      <c r="F5458" s="10" t="s">
        <v>646</v>
      </c>
      <c r="G5458" t="s">
        <v>651</v>
      </c>
    </row>
    <row r="5459" spans="1:22" x14ac:dyDescent="0.35">
      <c r="A5459" s="2">
        <v>43186</v>
      </c>
      <c r="B5459" s="70" t="s">
        <v>29</v>
      </c>
      <c r="C5459" s="10">
        <v>71</v>
      </c>
      <c r="D5459" s="10">
        <v>358</v>
      </c>
      <c r="E5459" s="10" t="s">
        <v>36</v>
      </c>
      <c r="F5459" s="10" t="s">
        <v>646</v>
      </c>
      <c r="G5459" t="s">
        <v>651</v>
      </c>
    </row>
    <row r="5460" spans="1:22" x14ac:dyDescent="0.35">
      <c r="A5460" s="2">
        <v>43186</v>
      </c>
      <c r="B5460" s="70" t="s">
        <v>29</v>
      </c>
      <c r="C5460" s="10">
        <v>73</v>
      </c>
      <c r="D5460" s="10">
        <v>385</v>
      </c>
      <c r="E5460" s="10" t="s">
        <v>36</v>
      </c>
      <c r="F5460" s="10" t="s">
        <v>646</v>
      </c>
    </row>
    <row r="5461" spans="1:22" x14ac:dyDescent="0.35">
      <c r="A5461" s="2">
        <v>43186</v>
      </c>
      <c r="B5461" s="70" t="s">
        <v>29</v>
      </c>
      <c r="C5461" s="10">
        <v>73</v>
      </c>
      <c r="D5461" s="10">
        <v>362</v>
      </c>
      <c r="E5461" s="10" t="s">
        <v>33</v>
      </c>
      <c r="F5461" s="10" t="s">
        <v>476</v>
      </c>
      <c r="G5461" t="s">
        <v>651</v>
      </c>
    </row>
    <row r="5462" spans="1:22" x14ac:dyDescent="0.35">
      <c r="A5462" s="2">
        <v>43186</v>
      </c>
      <c r="B5462" s="70" t="s">
        <v>29</v>
      </c>
      <c r="C5462" s="10">
        <v>73</v>
      </c>
      <c r="D5462" s="10">
        <v>390</v>
      </c>
      <c r="E5462" s="10" t="s">
        <v>33</v>
      </c>
      <c r="F5462" s="10" t="s">
        <v>476</v>
      </c>
      <c r="G5462" t="s">
        <v>651</v>
      </c>
    </row>
    <row r="5463" spans="1:22" x14ac:dyDescent="0.35">
      <c r="A5463" s="2">
        <v>43186</v>
      </c>
      <c r="B5463" s="70" t="s">
        <v>29</v>
      </c>
      <c r="C5463" s="10">
        <v>81</v>
      </c>
      <c r="D5463" s="10">
        <v>499</v>
      </c>
      <c r="E5463" s="10" t="s">
        <v>33</v>
      </c>
      <c r="F5463" s="10" t="s">
        <v>646</v>
      </c>
    </row>
    <row r="5464" spans="1:22" x14ac:dyDescent="0.35">
      <c r="A5464" s="2">
        <v>43186</v>
      </c>
      <c r="B5464" s="70" t="s">
        <v>29</v>
      </c>
      <c r="C5464" s="10">
        <v>72</v>
      </c>
      <c r="D5464" s="10">
        <v>362</v>
      </c>
      <c r="E5464" s="10" t="s">
        <v>39</v>
      </c>
      <c r="F5464" s="10" t="s">
        <v>646</v>
      </c>
      <c r="G5464" t="s">
        <v>651</v>
      </c>
    </row>
    <row r="5465" spans="1:22" x14ac:dyDescent="0.35">
      <c r="A5465" s="2">
        <v>43186</v>
      </c>
      <c r="B5465" s="70" t="s">
        <v>29</v>
      </c>
      <c r="C5465" s="10">
        <v>73</v>
      </c>
      <c r="D5465" s="10">
        <v>405</v>
      </c>
      <c r="E5465" s="10" t="s">
        <v>34</v>
      </c>
      <c r="F5465" s="10" t="s">
        <v>646</v>
      </c>
    </row>
    <row r="5466" spans="1:22" x14ac:dyDescent="0.35">
      <c r="A5466" s="2">
        <v>43186</v>
      </c>
      <c r="B5466" s="70" t="s">
        <v>29</v>
      </c>
      <c r="C5466" s="10">
        <v>73</v>
      </c>
      <c r="D5466" s="10">
        <v>359</v>
      </c>
      <c r="E5466" s="10" t="s">
        <v>33</v>
      </c>
      <c r="F5466" s="10" t="s">
        <v>293</v>
      </c>
    </row>
    <row r="5467" spans="1:22" x14ac:dyDescent="0.35">
      <c r="A5467" s="2">
        <v>43186</v>
      </c>
      <c r="B5467" s="70" t="s">
        <v>29</v>
      </c>
      <c r="C5467" s="10">
        <v>75</v>
      </c>
      <c r="D5467" s="10">
        <v>361</v>
      </c>
      <c r="E5467" s="10" t="s">
        <v>40</v>
      </c>
      <c r="F5467" s="10" t="s">
        <v>646</v>
      </c>
      <c r="G5467" t="s">
        <v>651</v>
      </c>
      <c r="N5467" t="s">
        <v>42</v>
      </c>
      <c r="O5467" t="s">
        <v>39</v>
      </c>
      <c r="P5467" t="s">
        <v>40</v>
      </c>
      <c r="Q5467" t="s">
        <v>36</v>
      </c>
      <c r="R5467" t="s">
        <v>33</v>
      </c>
      <c r="S5467" t="s">
        <v>34</v>
      </c>
      <c r="T5467" t="s">
        <v>32</v>
      </c>
      <c r="U5467" t="s">
        <v>37</v>
      </c>
    </row>
    <row r="5468" spans="1:22" x14ac:dyDescent="0.35">
      <c r="A5468" s="2">
        <v>43186</v>
      </c>
      <c r="B5468" s="70" t="s">
        <v>29</v>
      </c>
      <c r="C5468" s="10">
        <v>72</v>
      </c>
      <c r="D5468" s="10">
        <v>408</v>
      </c>
      <c r="E5468" s="10" t="s">
        <v>34</v>
      </c>
      <c r="F5468" s="10" t="s">
        <v>198</v>
      </c>
      <c r="G5468" t="s">
        <v>651</v>
      </c>
      <c r="N5468">
        <v>0</v>
      </c>
      <c r="O5468">
        <v>2</v>
      </c>
      <c r="P5468">
        <v>1</v>
      </c>
      <c r="Q5468">
        <v>3</v>
      </c>
      <c r="R5468">
        <v>7</v>
      </c>
      <c r="S5468">
        <v>2</v>
      </c>
      <c r="T5468">
        <v>0</v>
      </c>
      <c r="U5468">
        <v>0</v>
      </c>
      <c r="V5468">
        <f>SUM(N5468:U5468)</f>
        <v>15</v>
      </c>
    </row>
    <row r="5469" spans="1:22" s="4" customFormat="1" x14ac:dyDescent="0.35">
      <c r="A5469" s="3">
        <v>43186</v>
      </c>
      <c r="B5469" s="44" t="s">
        <v>29</v>
      </c>
      <c r="C5469" s="11">
        <v>70</v>
      </c>
      <c r="D5469" s="11">
        <v>276</v>
      </c>
      <c r="E5469" s="11" t="s">
        <v>39</v>
      </c>
      <c r="F5469" s="11" t="s">
        <v>476</v>
      </c>
      <c r="G5469" s="4" t="s">
        <v>651</v>
      </c>
      <c r="N5469" s="6">
        <f>N5468/15*100</f>
        <v>0</v>
      </c>
      <c r="O5469" s="6">
        <f t="shared" ref="O5469:U5469" si="155">O5468/15*100</f>
        <v>13.333333333333334</v>
      </c>
      <c r="P5469" s="6">
        <f t="shared" si="155"/>
        <v>6.666666666666667</v>
      </c>
      <c r="Q5469" s="6">
        <f t="shared" si="155"/>
        <v>20</v>
      </c>
      <c r="R5469" s="6">
        <f t="shared" si="155"/>
        <v>46.666666666666664</v>
      </c>
      <c r="S5469" s="6">
        <f t="shared" si="155"/>
        <v>13.333333333333334</v>
      </c>
      <c r="T5469" s="6">
        <f t="shared" si="155"/>
        <v>0</v>
      </c>
      <c r="U5469" s="6">
        <f t="shared" si="155"/>
        <v>0</v>
      </c>
    </row>
    <row r="5470" spans="1:22" x14ac:dyDescent="0.35">
      <c r="A5470" s="2">
        <v>43188</v>
      </c>
      <c r="B5470" s="70" t="s">
        <v>29</v>
      </c>
      <c r="C5470" s="10">
        <v>92</v>
      </c>
      <c r="D5470" s="10">
        <v>811</v>
      </c>
      <c r="E5470" s="10" t="s">
        <v>98</v>
      </c>
      <c r="M5470">
        <f>COUNTIF(F5470:F5586,"F++")</f>
        <v>0</v>
      </c>
    </row>
    <row r="5471" spans="1:22" x14ac:dyDescent="0.35">
      <c r="A5471" s="2">
        <v>43188</v>
      </c>
      <c r="B5471" s="70" t="s">
        <v>29</v>
      </c>
      <c r="C5471" s="10">
        <v>90</v>
      </c>
      <c r="D5471" s="10">
        <v>761</v>
      </c>
      <c r="E5471" s="10" t="s">
        <v>98</v>
      </c>
    </row>
    <row r="5472" spans="1:22" x14ac:dyDescent="0.35">
      <c r="A5472" s="2">
        <v>43188</v>
      </c>
      <c r="B5472" s="70" t="s">
        <v>29</v>
      </c>
      <c r="C5472" s="10">
        <v>111</v>
      </c>
      <c r="D5472" s="10">
        <v>1757</v>
      </c>
      <c r="E5472" s="10" t="s">
        <v>98</v>
      </c>
    </row>
    <row r="5473" spans="1:8" x14ac:dyDescent="0.35">
      <c r="A5473" s="2">
        <v>43188</v>
      </c>
      <c r="B5473" s="70" t="s">
        <v>29</v>
      </c>
      <c r="C5473" s="10">
        <v>106</v>
      </c>
      <c r="D5473" s="10">
        <v>1643</v>
      </c>
      <c r="E5473" s="10" t="s">
        <v>98</v>
      </c>
    </row>
    <row r="5474" spans="1:8" x14ac:dyDescent="0.35">
      <c r="A5474" s="2">
        <v>43188</v>
      </c>
      <c r="B5474" s="70" t="s">
        <v>29</v>
      </c>
      <c r="C5474" s="10">
        <v>73</v>
      </c>
      <c r="D5474" s="10">
        <v>360</v>
      </c>
      <c r="E5474" s="10" t="s">
        <v>33</v>
      </c>
      <c r="F5474" s="10" t="s">
        <v>646</v>
      </c>
      <c r="H5474" t="s">
        <v>657</v>
      </c>
    </row>
    <row r="5475" spans="1:8" x14ac:dyDescent="0.35">
      <c r="A5475" s="2">
        <v>43188</v>
      </c>
      <c r="B5475" s="70" t="s">
        <v>29</v>
      </c>
      <c r="C5475" s="10">
        <v>75</v>
      </c>
      <c r="D5475" s="10">
        <v>322</v>
      </c>
      <c r="E5475" s="10" t="s">
        <v>36</v>
      </c>
      <c r="F5475" s="10" t="s">
        <v>476</v>
      </c>
      <c r="G5475" t="s">
        <v>651</v>
      </c>
    </row>
    <row r="5476" spans="1:8" x14ac:dyDescent="0.35">
      <c r="A5476" s="2">
        <v>43188</v>
      </c>
      <c r="B5476" s="70" t="s">
        <v>29</v>
      </c>
      <c r="C5476" s="10">
        <v>72</v>
      </c>
      <c r="D5476" s="10">
        <v>336</v>
      </c>
      <c r="E5476" s="10" t="s">
        <v>33</v>
      </c>
      <c r="F5476" s="10" t="s">
        <v>646</v>
      </c>
      <c r="H5476" t="s">
        <v>656</v>
      </c>
    </row>
    <row r="5477" spans="1:8" x14ac:dyDescent="0.35">
      <c r="A5477" s="2">
        <v>43188</v>
      </c>
      <c r="B5477" s="70" t="s">
        <v>29</v>
      </c>
      <c r="C5477" s="10">
        <v>71</v>
      </c>
      <c r="D5477" s="10">
        <v>272</v>
      </c>
      <c r="E5477" s="10" t="s">
        <v>39</v>
      </c>
      <c r="F5477" s="10" t="s">
        <v>476</v>
      </c>
    </row>
    <row r="5478" spans="1:8" x14ac:dyDescent="0.35">
      <c r="A5478" s="2">
        <v>43188</v>
      </c>
      <c r="B5478" s="70" t="s">
        <v>29</v>
      </c>
      <c r="C5478" s="10">
        <v>69</v>
      </c>
      <c r="D5478" s="10">
        <v>246</v>
      </c>
      <c r="E5478" s="10" t="s">
        <v>39</v>
      </c>
      <c r="F5478" s="10" t="s">
        <v>476</v>
      </c>
      <c r="G5478" t="s">
        <v>651</v>
      </c>
    </row>
    <row r="5479" spans="1:8" x14ac:dyDescent="0.35">
      <c r="A5479" s="2">
        <v>43188</v>
      </c>
      <c r="B5479" s="70" t="s">
        <v>29</v>
      </c>
      <c r="C5479" s="10">
        <v>74</v>
      </c>
      <c r="D5479" s="10">
        <v>343</v>
      </c>
      <c r="E5479" s="10" t="s">
        <v>39</v>
      </c>
      <c r="F5479" s="10" t="s">
        <v>476</v>
      </c>
      <c r="G5479" t="s">
        <v>651</v>
      </c>
    </row>
    <row r="5480" spans="1:8" x14ac:dyDescent="0.35">
      <c r="A5480" s="2">
        <v>43188</v>
      </c>
      <c r="B5480" s="70" t="s">
        <v>29</v>
      </c>
      <c r="C5480" s="10">
        <v>75</v>
      </c>
      <c r="D5480" s="10">
        <v>310</v>
      </c>
      <c r="E5480" s="10" t="s">
        <v>39</v>
      </c>
      <c r="F5480" s="10" t="s">
        <v>646</v>
      </c>
    </row>
    <row r="5481" spans="1:8" x14ac:dyDescent="0.35">
      <c r="A5481" s="2">
        <v>43188</v>
      </c>
      <c r="B5481" s="70" t="s">
        <v>29</v>
      </c>
      <c r="C5481" s="10">
        <v>70</v>
      </c>
      <c r="D5481" s="10">
        <v>305</v>
      </c>
      <c r="E5481" s="10" t="s">
        <v>33</v>
      </c>
      <c r="F5481" s="10" t="s">
        <v>476</v>
      </c>
      <c r="G5481" t="s">
        <v>651</v>
      </c>
    </row>
    <row r="5482" spans="1:8" x14ac:dyDescent="0.35">
      <c r="A5482" s="2">
        <v>43188</v>
      </c>
      <c r="B5482" s="70" t="s">
        <v>29</v>
      </c>
      <c r="C5482" s="10">
        <v>71</v>
      </c>
      <c r="D5482" s="10">
        <v>247</v>
      </c>
      <c r="E5482" s="10" t="s">
        <v>40</v>
      </c>
      <c r="F5482" s="10" t="s">
        <v>476</v>
      </c>
      <c r="G5482" t="s">
        <v>651</v>
      </c>
    </row>
    <row r="5483" spans="1:8" x14ac:dyDescent="0.35">
      <c r="A5483" s="2">
        <v>43188</v>
      </c>
      <c r="B5483" s="70" t="s">
        <v>29</v>
      </c>
      <c r="C5483" s="10">
        <v>70</v>
      </c>
      <c r="D5483" s="10">
        <v>275</v>
      </c>
      <c r="E5483" s="10" t="s">
        <v>33</v>
      </c>
      <c r="F5483" s="10" t="s">
        <v>476</v>
      </c>
    </row>
    <row r="5484" spans="1:8" x14ac:dyDescent="0.35">
      <c r="A5484" s="2">
        <v>43188</v>
      </c>
      <c r="B5484" s="70" t="s">
        <v>29</v>
      </c>
      <c r="C5484" s="10">
        <v>71</v>
      </c>
      <c r="D5484" s="10">
        <v>272</v>
      </c>
      <c r="E5484" s="10" t="s">
        <v>33</v>
      </c>
      <c r="F5484" s="10" t="s">
        <v>646</v>
      </c>
      <c r="G5484" t="s">
        <v>651</v>
      </c>
      <c r="H5484" t="s">
        <v>658</v>
      </c>
    </row>
    <row r="5485" spans="1:8" x14ac:dyDescent="0.35">
      <c r="A5485" s="2">
        <v>43188</v>
      </c>
      <c r="B5485" s="70" t="s">
        <v>29</v>
      </c>
      <c r="C5485" s="10">
        <v>71</v>
      </c>
      <c r="D5485" s="10">
        <v>266</v>
      </c>
      <c r="E5485" s="10" t="s">
        <v>40</v>
      </c>
      <c r="F5485" s="10" t="s">
        <v>476</v>
      </c>
      <c r="G5485" t="s">
        <v>651</v>
      </c>
    </row>
    <row r="5486" spans="1:8" x14ac:dyDescent="0.35">
      <c r="A5486" s="2">
        <v>43188</v>
      </c>
      <c r="B5486" s="70" t="s">
        <v>29</v>
      </c>
      <c r="C5486" s="10">
        <v>72</v>
      </c>
      <c r="D5486" s="10">
        <v>333</v>
      </c>
      <c r="E5486" s="10" t="s">
        <v>33</v>
      </c>
      <c r="F5486" s="10" t="s">
        <v>476</v>
      </c>
      <c r="G5486" t="s">
        <v>651</v>
      </c>
    </row>
    <row r="5487" spans="1:8" x14ac:dyDescent="0.35">
      <c r="A5487" s="2">
        <v>43188</v>
      </c>
      <c r="B5487" s="70" t="s">
        <v>29</v>
      </c>
      <c r="C5487" s="10">
        <v>76</v>
      </c>
      <c r="D5487" s="10">
        <v>343</v>
      </c>
      <c r="E5487" s="10" t="s">
        <v>34</v>
      </c>
      <c r="F5487" s="10" t="s">
        <v>476</v>
      </c>
      <c r="G5487" t="s">
        <v>651</v>
      </c>
    </row>
    <row r="5488" spans="1:8" x14ac:dyDescent="0.35">
      <c r="A5488" s="2">
        <v>43188</v>
      </c>
      <c r="B5488" s="70" t="s">
        <v>29</v>
      </c>
      <c r="C5488" s="10">
        <v>73</v>
      </c>
      <c r="D5488" s="10">
        <v>320</v>
      </c>
      <c r="E5488" s="10" t="s">
        <v>34</v>
      </c>
      <c r="F5488" s="10" t="s">
        <v>476</v>
      </c>
      <c r="H5488" t="s">
        <v>658</v>
      </c>
    </row>
    <row r="5489" spans="1:9" x14ac:dyDescent="0.35">
      <c r="A5489" s="2">
        <v>43188</v>
      </c>
      <c r="B5489" s="70" t="s">
        <v>29</v>
      </c>
      <c r="C5489" s="10">
        <v>69</v>
      </c>
      <c r="D5489" s="10">
        <v>257</v>
      </c>
      <c r="E5489" s="10" t="s">
        <v>34</v>
      </c>
      <c r="F5489" s="10" t="s">
        <v>476</v>
      </c>
    </row>
    <row r="5490" spans="1:9" x14ac:dyDescent="0.35">
      <c r="A5490" s="2">
        <v>43188</v>
      </c>
      <c r="B5490" s="70" t="s">
        <v>29</v>
      </c>
      <c r="C5490" s="10">
        <v>66</v>
      </c>
      <c r="D5490" s="10">
        <v>224</v>
      </c>
      <c r="E5490" s="10" t="s">
        <v>33</v>
      </c>
      <c r="F5490" s="10" t="s">
        <v>476</v>
      </c>
    </row>
    <row r="5491" spans="1:9" x14ac:dyDescent="0.35">
      <c r="A5491" s="2">
        <v>43188</v>
      </c>
      <c r="B5491" s="70" t="s">
        <v>29</v>
      </c>
      <c r="C5491" s="10">
        <v>70</v>
      </c>
      <c r="D5491" s="10">
        <v>274</v>
      </c>
      <c r="E5491" s="10" t="s">
        <v>40</v>
      </c>
      <c r="F5491" s="10" t="s">
        <v>476</v>
      </c>
      <c r="G5491" t="s">
        <v>651</v>
      </c>
    </row>
    <row r="5492" spans="1:9" x14ac:dyDescent="0.35">
      <c r="A5492" s="2">
        <v>43188</v>
      </c>
      <c r="B5492" s="70" t="s">
        <v>29</v>
      </c>
      <c r="C5492" s="10">
        <v>66</v>
      </c>
      <c r="D5492" s="10">
        <v>208</v>
      </c>
      <c r="E5492" s="10" t="s">
        <v>40</v>
      </c>
      <c r="F5492" s="10" t="s">
        <v>646</v>
      </c>
      <c r="G5492" t="s">
        <v>651</v>
      </c>
    </row>
    <row r="5493" spans="1:9" x14ac:dyDescent="0.35">
      <c r="A5493" s="2">
        <v>43188</v>
      </c>
      <c r="B5493" s="70" t="s">
        <v>29</v>
      </c>
      <c r="C5493" s="10">
        <v>75</v>
      </c>
      <c r="D5493" s="10">
        <v>328</v>
      </c>
      <c r="E5493" s="10" t="s">
        <v>33</v>
      </c>
      <c r="F5493" s="10" t="s">
        <v>646</v>
      </c>
      <c r="G5493" t="s">
        <v>651</v>
      </c>
    </row>
    <row r="5494" spans="1:9" x14ac:dyDescent="0.35">
      <c r="A5494" s="2">
        <v>43188</v>
      </c>
      <c r="B5494" s="70" t="s">
        <v>29</v>
      </c>
      <c r="C5494" s="10">
        <v>81</v>
      </c>
      <c r="D5494" s="10">
        <v>472</v>
      </c>
      <c r="E5494" s="10" t="s">
        <v>40</v>
      </c>
      <c r="F5494" s="10" t="s">
        <v>293</v>
      </c>
    </row>
    <row r="5495" spans="1:9" x14ac:dyDescent="0.35">
      <c r="A5495" s="2">
        <v>43188</v>
      </c>
      <c r="B5495" s="70" t="s">
        <v>29</v>
      </c>
      <c r="C5495" s="10">
        <v>73</v>
      </c>
      <c r="D5495" s="10">
        <v>311</v>
      </c>
      <c r="E5495" s="10" t="s">
        <v>33</v>
      </c>
      <c r="F5495" s="10" t="s">
        <v>293</v>
      </c>
      <c r="G5495" t="s">
        <v>651</v>
      </c>
      <c r="I5495" t="s">
        <v>659</v>
      </c>
    </row>
    <row r="5496" spans="1:9" x14ac:dyDescent="0.35">
      <c r="A5496" s="2">
        <v>43188</v>
      </c>
      <c r="B5496" s="70" t="s">
        <v>29</v>
      </c>
      <c r="C5496" s="10">
        <v>74</v>
      </c>
      <c r="D5496" s="10">
        <v>380</v>
      </c>
      <c r="E5496" s="10" t="s">
        <v>39</v>
      </c>
      <c r="F5496" s="10" t="s">
        <v>646</v>
      </c>
      <c r="G5496" t="s">
        <v>651</v>
      </c>
    </row>
    <row r="5497" spans="1:9" x14ac:dyDescent="0.35">
      <c r="A5497" s="2">
        <v>43188</v>
      </c>
      <c r="B5497" s="70" t="s">
        <v>29</v>
      </c>
      <c r="C5497" s="10">
        <v>73</v>
      </c>
      <c r="D5497" s="10">
        <v>307</v>
      </c>
      <c r="E5497" s="10" t="s">
        <v>33</v>
      </c>
      <c r="F5497" s="10" t="s">
        <v>646</v>
      </c>
      <c r="G5497" t="s">
        <v>651</v>
      </c>
    </row>
    <row r="5498" spans="1:9" x14ac:dyDescent="0.35">
      <c r="A5498" s="2">
        <v>43188</v>
      </c>
      <c r="B5498" s="70" t="s">
        <v>29</v>
      </c>
      <c r="C5498" s="10">
        <v>67</v>
      </c>
      <c r="D5498" s="10">
        <v>245</v>
      </c>
      <c r="E5498" s="10" t="s">
        <v>33</v>
      </c>
      <c r="F5498" s="10" t="s">
        <v>476</v>
      </c>
    </row>
    <row r="5499" spans="1:9" x14ac:dyDescent="0.35">
      <c r="A5499" s="2">
        <v>43188</v>
      </c>
      <c r="B5499" s="70" t="s">
        <v>29</v>
      </c>
      <c r="C5499" s="10">
        <v>73</v>
      </c>
      <c r="D5499" s="10">
        <v>339</v>
      </c>
      <c r="E5499" s="10" t="s">
        <v>33</v>
      </c>
      <c r="F5499" s="10" t="s">
        <v>646</v>
      </c>
      <c r="G5499" t="s">
        <v>651</v>
      </c>
    </row>
    <row r="5500" spans="1:9" x14ac:dyDescent="0.35">
      <c r="A5500" s="2">
        <v>43188</v>
      </c>
      <c r="B5500" s="70" t="s">
        <v>29</v>
      </c>
      <c r="C5500" s="10">
        <v>71</v>
      </c>
      <c r="D5500" s="10">
        <v>310</v>
      </c>
      <c r="E5500" s="10" t="s">
        <v>33</v>
      </c>
      <c r="F5500" s="10" t="s">
        <v>646</v>
      </c>
      <c r="G5500" t="s">
        <v>651</v>
      </c>
      <c r="I5500" t="s">
        <v>659</v>
      </c>
    </row>
    <row r="5501" spans="1:9" x14ac:dyDescent="0.35">
      <c r="A5501" s="2">
        <v>43188</v>
      </c>
      <c r="B5501" s="70" t="s">
        <v>29</v>
      </c>
      <c r="C5501" s="10">
        <v>70</v>
      </c>
      <c r="D5501" s="10">
        <v>289</v>
      </c>
      <c r="E5501" s="10" t="s">
        <v>33</v>
      </c>
      <c r="F5501" s="10" t="s">
        <v>476</v>
      </c>
      <c r="G5501" t="s">
        <v>651</v>
      </c>
    </row>
    <row r="5502" spans="1:9" x14ac:dyDescent="0.35">
      <c r="A5502" s="2">
        <v>43188</v>
      </c>
      <c r="B5502" s="70" t="s">
        <v>29</v>
      </c>
      <c r="C5502" s="10">
        <v>74</v>
      </c>
      <c r="D5502" s="10">
        <v>345</v>
      </c>
      <c r="E5502" s="10" t="s">
        <v>33</v>
      </c>
      <c r="F5502" s="10" t="s">
        <v>476</v>
      </c>
      <c r="G5502" t="s">
        <v>651</v>
      </c>
    </row>
    <row r="5503" spans="1:9" x14ac:dyDescent="0.35">
      <c r="A5503" s="2">
        <v>43188</v>
      </c>
      <c r="B5503" s="70" t="s">
        <v>29</v>
      </c>
      <c r="C5503" s="10">
        <v>71</v>
      </c>
      <c r="D5503" s="10">
        <v>274</v>
      </c>
      <c r="E5503" s="10" t="s">
        <v>39</v>
      </c>
      <c r="F5503" s="10" t="s">
        <v>646</v>
      </c>
      <c r="G5503" t="s">
        <v>651</v>
      </c>
    </row>
    <row r="5504" spans="1:9" x14ac:dyDescent="0.35">
      <c r="A5504" s="2">
        <v>43188</v>
      </c>
      <c r="B5504" s="70" t="s">
        <v>29</v>
      </c>
      <c r="C5504" s="10">
        <v>73</v>
      </c>
      <c r="D5504" s="10">
        <v>319</v>
      </c>
      <c r="E5504" s="10" t="s">
        <v>34</v>
      </c>
      <c r="F5504" s="10" t="s">
        <v>476</v>
      </c>
      <c r="G5504" t="s">
        <v>651</v>
      </c>
    </row>
    <row r="5505" spans="1:7" x14ac:dyDescent="0.35">
      <c r="A5505" s="2">
        <v>43188</v>
      </c>
      <c r="B5505" s="70" t="s">
        <v>29</v>
      </c>
      <c r="C5505" s="10">
        <v>73</v>
      </c>
      <c r="D5505" s="10">
        <v>314</v>
      </c>
      <c r="E5505" s="10" t="s">
        <v>33</v>
      </c>
      <c r="F5505" s="10" t="s">
        <v>646</v>
      </c>
      <c r="G5505" t="s">
        <v>651</v>
      </c>
    </row>
    <row r="5506" spans="1:7" x14ac:dyDescent="0.35">
      <c r="A5506" s="2">
        <v>43188</v>
      </c>
      <c r="B5506" s="70" t="s">
        <v>29</v>
      </c>
      <c r="C5506" s="10">
        <v>70</v>
      </c>
      <c r="D5506" s="10">
        <v>252</v>
      </c>
      <c r="E5506" s="10" t="s">
        <v>34</v>
      </c>
      <c r="F5506" s="10" t="s">
        <v>476</v>
      </c>
    </row>
    <row r="5507" spans="1:7" x14ac:dyDescent="0.35">
      <c r="A5507" s="2">
        <v>43188</v>
      </c>
      <c r="B5507" s="70" t="s">
        <v>29</v>
      </c>
      <c r="C5507" s="10">
        <v>70</v>
      </c>
      <c r="D5507" s="10">
        <v>268</v>
      </c>
      <c r="E5507" s="10" t="s">
        <v>39</v>
      </c>
      <c r="F5507" s="10" t="s">
        <v>646</v>
      </c>
      <c r="G5507" t="s">
        <v>651</v>
      </c>
    </row>
    <row r="5508" spans="1:7" x14ac:dyDescent="0.35">
      <c r="A5508" s="2">
        <v>43188</v>
      </c>
      <c r="B5508" s="70" t="s">
        <v>29</v>
      </c>
      <c r="C5508" s="10">
        <v>76</v>
      </c>
      <c r="D5508" s="10">
        <v>333</v>
      </c>
      <c r="E5508" s="10" t="s">
        <v>39</v>
      </c>
      <c r="F5508" s="10" t="s">
        <v>646</v>
      </c>
      <c r="G5508" t="s">
        <v>651</v>
      </c>
    </row>
    <row r="5509" spans="1:7" x14ac:dyDescent="0.35">
      <c r="A5509" s="2">
        <v>43188</v>
      </c>
      <c r="B5509" s="70" t="s">
        <v>29</v>
      </c>
      <c r="C5509" s="10">
        <v>74</v>
      </c>
      <c r="D5509" s="10">
        <v>312</v>
      </c>
      <c r="E5509" s="10" t="s">
        <v>33</v>
      </c>
      <c r="F5509" s="10" t="s">
        <v>476</v>
      </c>
    </row>
    <row r="5510" spans="1:7" x14ac:dyDescent="0.35">
      <c r="A5510" s="2">
        <v>43188</v>
      </c>
      <c r="B5510" s="70" t="s">
        <v>29</v>
      </c>
      <c r="C5510" s="10">
        <v>71</v>
      </c>
      <c r="D5510" s="10">
        <v>287</v>
      </c>
      <c r="E5510" s="10" t="s">
        <v>40</v>
      </c>
      <c r="F5510" s="10" t="s">
        <v>476</v>
      </c>
      <c r="G5510" t="s">
        <v>651</v>
      </c>
    </row>
    <row r="5511" spans="1:7" x14ac:dyDescent="0.35">
      <c r="A5511" s="2">
        <v>43188</v>
      </c>
      <c r="B5511" s="70" t="s">
        <v>29</v>
      </c>
      <c r="C5511" s="10">
        <v>74</v>
      </c>
      <c r="D5511" s="10">
        <v>333</v>
      </c>
      <c r="E5511" s="10" t="s">
        <v>33</v>
      </c>
      <c r="F5511" s="10" t="s">
        <v>293</v>
      </c>
      <c r="G5511" t="s">
        <v>651</v>
      </c>
    </row>
    <row r="5512" spans="1:7" x14ac:dyDescent="0.35">
      <c r="A5512" s="2">
        <v>43188</v>
      </c>
      <c r="B5512" s="70" t="s">
        <v>29</v>
      </c>
      <c r="C5512" s="10">
        <v>69</v>
      </c>
      <c r="D5512" s="10">
        <v>281</v>
      </c>
      <c r="E5512" s="10" t="s">
        <v>33</v>
      </c>
      <c r="F5512" s="10" t="s">
        <v>293</v>
      </c>
      <c r="G5512" t="s">
        <v>651</v>
      </c>
    </row>
    <row r="5513" spans="1:7" x14ac:dyDescent="0.35">
      <c r="A5513" s="2">
        <v>43188</v>
      </c>
      <c r="B5513" s="70" t="s">
        <v>29</v>
      </c>
      <c r="C5513" s="10">
        <v>67</v>
      </c>
      <c r="D5513" s="10">
        <v>247</v>
      </c>
      <c r="E5513" s="10" t="s">
        <v>33</v>
      </c>
      <c r="F5513" s="10" t="s">
        <v>646</v>
      </c>
      <c r="G5513" t="s">
        <v>651</v>
      </c>
    </row>
    <row r="5514" spans="1:7" x14ac:dyDescent="0.35">
      <c r="A5514" s="2">
        <v>43188</v>
      </c>
      <c r="B5514" s="70" t="s">
        <v>29</v>
      </c>
      <c r="C5514" s="10">
        <v>75</v>
      </c>
      <c r="D5514" s="10">
        <v>337</v>
      </c>
      <c r="E5514" s="10" t="s">
        <v>40</v>
      </c>
      <c r="F5514" s="10" t="s">
        <v>476</v>
      </c>
      <c r="G5514" t="s">
        <v>651</v>
      </c>
    </row>
    <row r="5515" spans="1:7" x14ac:dyDescent="0.35">
      <c r="A5515" s="2">
        <v>43188</v>
      </c>
      <c r="B5515" s="70" t="s">
        <v>29</v>
      </c>
      <c r="C5515" s="10">
        <v>71</v>
      </c>
      <c r="D5515" s="10">
        <v>283</v>
      </c>
      <c r="E5515" s="10" t="s">
        <v>33</v>
      </c>
      <c r="F5515" s="10" t="s">
        <v>476</v>
      </c>
      <c r="G5515" t="s">
        <v>651</v>
      </c>
    </row>
    <row r="5516" spans="1:7" x14ac:dyDescent="0.35">
      <c r="A5516" s="2">
        <v>43188</v>
      </c>
      <c r="B5516" s="70" t="s">
        <v>29</v>
      </c>
      <c r="C5516" s="10">
        <v>67</v>
      </c>
      <c r="D5516" s="10">
        <v>221</v>
      </c>
      <c r="E5516" s="10" t="s">
        <v>40</v>
      </c>
      <c r="F5516" s="10" t="s">
        <v>476</v>
      </c>
      <c r="G5516" t="s">
        <v>651</v>
      </c>
    </row>
    <row r="5517" spans="1:7" x14ac:dyDescent="0.35">
      <c r="A5517" s="2">
        <v>43188</v>
      </c>
      <c r="B5517" s="70" t="s">
        <v>29</v>
      </c>
      <c r="C5517" s="10">
        <v>72</v>
      </c>
      <c r="D5517" s="10">
        <v>296</v>
      </c>
      <c r="E5517" s="10" t="s">
        <v>33</v>
      </c>
      <c r="F5517" s="10" t="s">
        <v>476</v>
      </c>
      <c r="G5517" t="s">
        <v>651</v>
      </c>
    </row>
    <row r="5518" spans="1:7" x14ac:dyDescent="0.35">
      <c r="A5518" s="2">
        <v>43188</v>
      </c>
      <c r="B5518" s="70" t="s">
        <v>29</v>
      </c>
      <c r="C5518" s="10">
        <v>72</v>
      </c>
      <c r="D5518" s="10">
        <v>286</v>
      </c>
      <c r="E5518" s="10" t="s">
        <v>39</v>
      </c>
      <c r="F5518" s="10" t="s">
        <v>476</v>
      </c>
    </row>
    <row r="5519" spans="1:7" x14ac:dyDescent="0.35">
      <c r="A5519" s="2">
        <v>43188</v>
      </c>
      <c r="B5519" s="70" t="s">
        <v>29</v>
      </c>
      <c r="C5519" s="10">
        <v>74</v>
      </c>
      <c r="D5519" s="10">
        <v>309</v>
      </c>
      <c r="E5519" s="10" t="s">
        <v>36</v>
      </c>
      <c r="F5519" s="10" t="s">
        <v>293</v>
      </c>
    </row>
    <row r="5520" spans="1:7" x14ac:dyDescent="0.35">
      <c r="A5520" s="2">
        <v>43188</v>
      </c>
      <c r="B5520" s="70" t="s">
        <v>29</v>
      </c>
      <c r="C5520" s="10">
        <v>76</v>
      </c>
      <c r="D5520" s="10">
        <v>364</v>
      </c>
      <c r="E5520" s="10" t="s">
        <v>39</v>
      </c>
      <c r="F5520" s="10" t="s">
        <v>293</v>
      </c>
      <c r="G5520" t="s">
        <v>651</v>
      </c>
    </row>
    <row r="5521" spans="1:24" x14ac:dyDescent="0.35">
      <c r="A5521" s="2">
        <v>43188</v>
      </c>
      <c r="B5521" s="70" t="s">
        <v>29</v>
      </c>
      <c r="C5521" s="10">
        <v>74</v>
      </c>
      <c r="D5521" s="10">
        <v>305</v>
      </c>
      <c r="E5521" s="10" t="s">
        <v>33</v>
      </c>
      <c r="F5521" s="10" t="s">
        <v>293</v>
      </c>
      <c r="G5521" t="s">
        <v>651</v>
      </c>
    </row>
    <row r="5522" spans="1:24" x14ac:dyDescent="0.35">
      <c r="A5522" s="2">
        <v>43188</v>
      </c>
      <c r="B5522" s="70" t="s">
        <v>29</v>
      </c>
      <c r="C5522" s="10">
        <v>70</v>
      </c>
      <c r="D5522" s="10">
        <v>270</v>
      </c>
      <c r="E5522" s="10" t="s">
        <v>33</v>
      </c>
      <c r="F5522" s="10" t="s">
        <v>476</v>
      </c>
      <c r="G5522" t="s">
        <v>651</v>
      </c>
    </row>
    <row r="5523" spans="1:24" x14ac:dyDescent="0.35">
      <c r="A5523" s="2">
        <v>43188</v>
      </c>
      <c r="B5523" s="70" t="s">
        <v>29</v>
      </c>
      <c r="C5523" s="10">
        <v>67</v>
      </c>
      <c r="D5523" s="10">
        <v>233</v>
      </c>
      <c r="E5523" s="10" t="s">
        <v>36</v>
      </c>
      <c r="F5523" s="10" t="s">
        <v>646</v>
      </c>
      <c r="G5523" t="s">
        <v>651</v>
      </c>
      <c r="N5523" t="s">
        <v>42</v>
      </c>
      <c r="O5523" t="s">
        <v>39</v>
      </c>
      <c r="P5523" t="s">
        <v>40</v>
      </c>
      <c r="Q5523" t="s">
        <v>36</v>
      </c>
      <c r="R5523" t="s">
        <v>33</v>
      </c>
      <c r="S5523" t="s">
        <v>34</v>
      </c>
      <c r="T5523" t="s">
        <v>32</v>
      </c>
      <c r="U5523" t="s">
        <v>37</v>
      </c>
    </row>
    <row r="5524" spans="1:24" x14ac:dyDescent="0.35">
      <c r="A5524" s="2">
        <v>43188</v>
      </c>
      <c r="B5524" s="70" t="s">
        <v>29</v>
      </c>
      <c r="C5524" s="10">
        <v>74</v>
      </c>
      <c r="D5524" s="10">
        <v>305</v>
      </c>
      <c r="E5524" s="10" t="s">
        <v>33</v>
      </c>
      <c r="F5524" s="10" t="s">
        <v>646</v>
      </c>
      <c r="G5524" t="s">
        <v>651</v>
      </c>
      <c r="N5524" s="5">
        <f>COUNTIF(E5457:E5525,"VA")</f>
        <v>0</v>
      </c>
      <c r="O5524" s="5">
        <f>COUNTIF(E5457:E5525,"VB")</f>
        <v>12</v>
      </c>
      <c r="P5524" s="5">
        <f>COUNTIF(E5457:E5525,"VIA0")</f>
        <v>9</v>
      </c>
      <c r="Q5524" s="5">
        <f>COUNTIF(E5457:E5525,"VIA1")</f>
        <v>5</v>
      </c>
      <c r="R5524" s="5">
        <f>COUNTIF(E5457:E5525,"VIA2")</f>
        <v>31</v>
      </c>
      <c r="S5524" s="5">
        <f>COUNTIF(E5457:E5525,"VIA3")</f>
        <v>8</v>
      </c>
      <c r="T5524" s="5">
        <f>COUNTIF(E5457:E5525,"VIA4")</f>
        <v>0</v>
      </c>
      <c r="U5524" s="5">
        <f>COUNTIF(E5470:E5525,"VIB")</f>
        <v>0</v>
      </c>
      <c r="W5524">
        <f>AVERAGE(C5474:C5525,C5457:C5469)</f>
        <v>72.184615384615384</v>
      </c>
      <c r="X5524">
        <f>AVERAGE(D5474:D5525,D5457:D5469)</f>
        <v>313.93846153846152</v>
      </c>
    </row>
    <row r="5525" spans="1:24" s="4" customFormat="1" x14ac:dyDescent="0.35">
      <c r="A5525" s="3">
        <v>43188</v>
      </c>
      <c r="B5525" s="44" t="s">
        <v>29</v>
      </c>
      <c r="C5525" s="11">
        <v>75</v>
      </c>
      <c r="D5525" s="11">
        <v>294</v>
      </c>
      <c r="E5525" s="11" t="s">
        <v>34</v>
      </c>
      <c r="F5525" s="11" t="s">
        <v>476</v>
      </c>
      <c r="G5525" s="4" t="s">
        <v>651</v>
      </c>
      <c r="N5525" s="6">
        <f t="shared" ref="N5525:S5525" si="156">N5524/65*100</f>
        <v>0</v>
      </c>
      <c r="O5525" s="6">
        <f t="shared" si="156"/>
        <v>18.461538461538463</v>
      </c>
      <c r="P5525" s="6">
        <f t="shared" si="156"/>
        <v>13.846153846153847</v>
      </c>
      <c r="Q5525" s="6">
        <f t="shared" si="156"/>
        <v>7.6923076923076925</v>
      </c>
      <c r="R5525" s="6">
        <f t="shared" si="156"/>
        <v>47.692307692307693</v>
      </c>
      <c r="S5525" s="6">
        <f t="shared" si="156"/>
        <v>12.307692307692308</v>
      </c>
      <c r="T5525" s="6">
        <f t="shared" ref="T5525:U5525" si="157">T5524/50*100</f>
        <v>0</v>
      </c>
      <c r="U5525" s="6">
        <f t="shared" si="157"/>
        <v>0</v>
      </c>
    </row>
    <row r="5526" spans="1:24" x14ac:dyDescent="0.35">
      <c r="A5526" s="2">
        <v>43188</v>
      </c>
      <c r="B5526" s="70" t="s">
        <v>38</v>
      </c>
      <c r="C5526" s="10">
        <v>113</v>
      </c>
      <c r="D5526" s="10">
        <v>1566</v>
      </c>
      <c r="E5526" s="10" t="s">
        <v>98</v>
      </c>
    </row>
    <row r="5527" spans="1:24" x14ac:dyDescent="0.35">
      <c r="A5527" s="2">
        <v>43188</v>
      </c>
      <c r="B5527" s="70" t="s">
        <v>38</v>
      </c>
      <c r="C5527" s="10">
        <v>128</v>
      </c>
      <c r="D5527" s="10">
        <v>2664</v>
      </c>
      <c r="E5527" s="10" t="s">
        <v>98</v>
      </c>
    </row>
    <row r="5528" spans="1:24" x14ac:dyDescent="0.35">
      <c r="A5528" s="2">
        <v>43188</v>
      </c>
      <c r="B5528" s="70" t="s">
        <v>38</v>
      </c>
      <c r="C5528" s="10">
        <v>109</v>
      </c>
      <c r="D5528" s="10">
        <v>1496</v>
      </c>
      <c r="E5528" s="10" t="s">
        <v>98</v>
      </c>
    </row>
    <row r="5529" spans="1:24" x14ac:dyDescent="0.35">
      <c r="A5529" s="2">
        <v>43188</v>
      </c>
      <c r="B5529" s="70" t="s">
        <v>38</v>
      </c>
      <c r="C5529" s="10">
        <v>95</v>
      </c>
      <c r="D5529" s="10">
        <v>1278</v>
      </c>
      <c r="E5529" s="10" t="s">
        <v>98</v>
      </c>
      <c r="G5529" t="s">
        <v>660</v>
      </c>
    </row>
    <row r="5530" spans="1:24" x14ac:dyDescent="0.35">
      <c r="A5530" s="2">
        <v>43188</v>
      </c>
      <c r="B5530" s="70" t="s">
        <v>38</v>
      </c>
      <c r="C5530" s="10">
        <v>119</v>
      </c>
      <c r="D5530" s="10">
        <v>2043</v>
      </c>
      <c r="E5530" s="10" t="s">
        <v>98</v>
      </c>
    </row>
    <row r="5531" spans="1:24" x14ac:dyDescent="0.35">
      <c r="A5531" s="2">
        <v>43188</v>
      </c>
      <c r="B5531" s="70" t="s">
        <v>38</v>
      </c>
      <c r="C5531" s="10">
        <v>144</v>
      </c>
      <c r="D5531" s="10">
        <v>3840</v>
      </c>
      <c r="E5531" s="10" t="s">
        <v>98</v>
      </c>
      <c r="G5531" t="s">
        <v>661</v>
      </c>
    </row>
    <row r="5532" spans="1:24" x14ac:dyDescent="0.35">
      <c r="A5532" s="2">
        <v>43188</v>
      </c>
      <c r="B5532" s="70" t="s">
        <v>38</v>
      </c>
      <c r="C5532" s="10">
        <v>95</v>
      </c>
      <c r="D5532" s="10">
        <v>978</v>
      </c>
      <c r="E5532" s="10" t="s">
        <v>98</v>
      </c>
    </row>
    <row r="5533" spans="1:24" x14ac:dyDescent="0.35">
      <c r="A5533" s="2">
        <v>43188</v>
      </c>
      <c r="B5533" s="70" t="s">
        <v>38</v>
      </c>
      <c r="C5533" s="10">
        <v>129</v>
      </c>
      <c r="D5533" s="10">
        <v>2546</v>
      </c>
      <c r="E5533" s="10" t="s">
        <v>98</v>
      </c>
    </row>
    <row r="5534" spans="1:24" x14ac:dyDescent="0.35">
      <c r="A5534" s="2">
        <v>43188</v>
      </c>
      <c r="B5534" s="70" t="s">
        <v>38</v>
      </c>
      <c r="C5534" s="10">
        <v>105</v>
      </c>
      <c r="D5534" s="10">
        <v>1342</v>
      </c>
      <c r="E5534" s="10" t="s">
        <v>98</v>
      </c>
      <c r="Q5534">
        <f>AVERAGE(C5526:C5534,C5455:C5456)</f>
        <v>116.18181818181819</v>
      </c>
      <c r="R5534">
        <f>AVERAGE(D5526:D5534,D5455:D5456)</f>
        <v>1977.1818181818182</v>
      </c>
    </row>
    <row r="5535" spans="1:24" x14ac:dyDescent="0.35">
      <c r="A5535" s="2">
        <v>43188</v>
      </c>
      <c r="B5535" s="70" t="s">
        <v>38</v>
      </c>
      <c r="C5535" s="10">
        <v>69</v>
      </c>
      <c r="D5535" s="10">
        <v>332</v>
      </c>
      <c r="E5535" s="10" t="s">
        <v>39</v>
      </c>
      <c r="F5535" t="s">
        <v>646</v>
      </c>
    </row>
    <row r="5536" spans="1:24" x14ac:dyDescent="0.35">
      <c r="A5536" s="2">
        <v>43188</v>
      </c>
      <c r="B5536" s="70" t="s">
        <v>38</v>
      </c>
      <c r="C5536" s="10">
        <v>70</v>
      </c>
      <c r="D5536" s="10">
        <v>307</v>
      </c>
      <c r="E5536" s="10" t="s">
        <v>40</v>
      </c>
      <c r="F5536" t="s">
        <v>646</v>
      </c>
      <c r="G5536" t="s">
        <v>651</v>
      </c>
    </row>
    <row r="5537" spans="1:7" x14ac:dyDescent="0.35">
      <c r="A5537" s="2">
        <v>43188</v>
      </c>
      <c r="B5537" s="70" t="s">
        <v>38</v>
      </c>
      <c r="C5537" s="10">
        <v>77</v>
      </c>
      <c r="D5537" s="10">
        <v>351</v>
      </c>
      <c r="E5537" s="10" t="s">
        <v>40</v>
      </c>
      <c r="F5537" t="s">
        <v>646</v>
      </c>
      <c r="G5537" t="s">
        <v>651</v>
      </c>
    </row>
    <row r="5538" spans="1:7" x14ac:dyDescent="0.35">
      <c r="A5538" s="2">
        <v>43188</v>
      </c>
      <c r="B5538" s="70" t="s">
        <v>38</v>
      </c>
      <c r="C5538" s="10">
        <v>76</v>
      </c>
      <c r="D5538" s="10">
        <v>352</v>
      </c>
      <c r="E5538" s="10" t="s">
        <v>39</v>
      </c>
      <c r="F5538" t="s">
        <v>476</v>
      </c>
    </row>
    <row r="5539" spans="1:7" x14ac:dyDescent="0.35">
      <c r="A5539" s="2">
        <v>43188</v>
      </c>
      <c r="B5539" s="70" t="s">
        <v>38</v>
      </c>
      <c r="C5539" s="10">
        <v>75</v>
      </c>
      <c r="D5539" s="10">
        <v>346</v>
      </c>
      <c r="E5539" s="10" t="s">
        <v>39</v>
      </c>
      <c r="F5539" t="s">
        <v>476</v>
      </c>
      <c r="G5539" t="s">
        <v>651</v>
      </c>
    </row>
    <row r="5540" spans="1:7" x14ac:dyDescent="0.35">
      <c r="A5540" s="2">
        <v>43188</v>
      </c>
      <c r="B5540" s="70" t="s">
        <v>38</v>
      </c>
      <c r="C5540" s="10">
        <v>81</v>
      </c>
      <c r="D5540" s="10">
        <v>441</v>
      </c>
      <c r="E5540" s="10" t="s">
        <v>39</v>
      </c>
      <c r="F5540" t="s">
        <v>476</v>
      </c>
      <c r="G5540" t="s">
        <v>651</v>
      </c>
    </row>
    <row r="5541" spans="1:7" x14ac:dyDescent="0.35">
      <c r="A5541" s="2">
        <v>43188</v>
      </c>
      <c r="B5541" s="70" t="s">
        <v>38</v>
      </c>
      <c r="C5541" s="10">
        <v>75</v>
      </c>
      <c r="D5541" s="10">
        <v>310</v>
      </c>
      <c r="E5541" s="10" t="s">
        <v>34</v>
      </c>
      <c r="F5541" t="s">
        <v>646</v>
      </c>
      <c r="G5541" t="s">
        <v>651</v>
      </c>
    </row>
    <row r="5542" spans="1:7" x14ac:dyDescent="0.35">
      <c r="A5542" s="2">
        <v>43188</v>
      </c>
      <c r="B5542" s="70" t="s">
        <v>38</v>
      </c>
      <c r="C5542" s="10">
        <v>73</v>
      </c>
      <c r="D5542" s="10">
        <v>331</v>
      </c>
      <c r="E5542" s="10" t="s">
        <v>36</v>
      </c>
      <c r="F5542" t="s">
        <v>476</v>
      </c>
      <c r="G5542" t="s">
        <v>651</v>
      </c>
    </row>
    <row r="5543" spans="1:7" x14ac:dyDescent="0.35">
      <c r="A5543" s="2">
        <v>43188</v>
      </c>
      <c r="B5543" s="70" t="s">
        <v>38</v>
      </c>
      <c r="C5543" s="10">
        <v>78</v>
      </c>
      <c r="D5543" s="10">
        <v>450</v>
      </c>
      <c r="E5543" s="10" t="s">
        <v>39</v>
      </c>
      <c r="F5543" t="s">
        <v>646</v>
      </c>
      <c r="G5543" t="s">
        <v>651</v>
      </c>
    </row>
    <row r="5544" spans="1:7" x14ac:dyDescent="0.35">
      <c r="A5544" s="2">
        <v>43188</v>
      </c>
      <c r="B5544" s="70" t="s">
        <v>38</v>
      </c>
      <c r="C5544" s="10">
        <v>75</v>
      </c>
      <c r="D5544" s="10">
        <v>318</v>
      </c>
      <c r="E5544" s="10" t="s">
        <v>39</v>
      </c>
      <c r="F5544" t="s">
        <v>476</v>
      </c>
      <c r="G5544" t="s">
        <v>651</v>
      </c>
    </row>
    <row r="5545" spans="1:7" x14ac:dyDescent="0.35">
      <c r="A5545" s="2">
        <v>43188</v>
      </c>
      <c r="B5545" s="70" t="s">
        <v>38</v>
      </c>
      <c r="C5545" s="10">
        <v>73</v>
      </c>
      <c r="D5545" s="10">
        <v>363</v>
      </c>
      <c r="E5545" s="10" t="s">
        <v>34</v>
      </c>
      <c r="F5545" t="s">
        <v>293</v>
      </c>
      <c r="G5545" t="s">
        <v>651</v>
      </c>
    </row>
    <row r="5546" spans="1:7" x14ac:dyDescent="0.35">
      <c r="A5546" s="2">
        <v>43188</v>
      </c>
      <c r="B5546" s="70" t="s">
        <v>38</v>
      </c>
      <c r="C5546" s="10">
        <v>70</v>
      </c>
      <c r="D5546" s="10">
        <v>340</v>
      </c>
      <c r="E5546" s="10" t="s">
        <v>39</v>
      </c>
      <c r="F5546" t="s">
        <v>476</v>
      </c>
    </row>
    <row r="5547" spans="1:7" x14ac:dyDescent="0.35">
      <c r="A5547" s="2">
        <v>43188</v>
      </c>
      <c r="B5547" s="70" t="s">
        <v>38</v>
      </c>
      <c r="C5547" s="10">
        <v>72</v>
      </c>
      <c r="D5547" s="10">
        <v>332</v>
      </c>
      <c r="E5547" s="10" t="s">
        <v>39</v>
      </c>
      <c r="F5547" t="s">
        <v>293</v>
      </c>
    </row>
    <row r="5548" spans="1:7" x14ac:dyDescent="0.35">
      <c r="A5548" s="2">
        <v>43188</v>
      </c>
      <c r="B5548" s="70" t="s">
        <v>38</v>
      </c>
      <c r="C5548" s="10">
        <v>72</v>
      </c>
      <c r="D5548" s="10">
        <v>348</v>
      </c>
      <c r="E5548" s="10" t="s">
        <v>39</v>
      </c>
      <c r="F5548" t="s">
        <v>646</v>
      </c>
      <c r="G5548" t="s">
        <v>651</v>
      </c>
    </row>
    <row r="5549" spans="1:7" x14ac:dyDescent="0.35">
      <c r="A5549" s="2">
        <v>43188</v>
      </c>
      <c r="B5549" s="70" t="s">
        <v>38</v>
      </c>
      <c r="C5549" s="10">
        <v>74</v>
      </c>
      <c r="D5549" s="10">
        <v>353</v>
      </c>
      <c r="E5549" s="10" t="s">
        <v>40</v>
      </c>
      <c r="F5549" t="s">
        <v>293</v>
      </c>
      <c r="G5549" t="s">
        <v>651</v>
      </c>
    </row>
    <row r="5550" spans="1:7" x14ac:dyDescent="0.35">
      <c r="A5550" s="2">
        <v>43188</v>
      </c>
      <c r="B5550" s="70" t="s">
        <v>38</v>
      </c>
      <c r="C5550" s="10">
        <v>77</v>
      </c>
      <c r="D5550" s="10">
        <v>340</v>
      </c>
      <c r="E5550" s="10" t="s">
        <v>40</v>
      </c>
      <c r="F5550" t="s">
        <v>646</v>
      </c>
      <c r="G5550" t="s">
        <v>651</v>
      </c>
    </row>
    <row r="5551" spans="1:7" x14ac:dyDescent="0.35">
      <c r="A5551" s="2">
        <v>43188</v>
      </c>
      <c r="B5551" s="70" t="s">
        <v>38</v>
      </c>
      <c r="C5551" s="10">
        <v>78</v>
      </c>
      <c r="D5551" s="10">
        <v>384</v>
      </c>
      <c r="E5551" s="10" t="s">
        <v>34</v>
      </c>
      <c r="F5551" t="s">
        <v>646</v>
      </c>
      <c r="G5551" t="s">
        <v>651</v>
      </c>
    </row>
    <row r="5552" spans="1:7" x14ac:dyDescent="0.35">
      <c r="A5552" s="2">
        <v>43188</v>
      </c>
      <c r="B5552" s="70" t="s">
        <v>38</v>
      </c>
      <c r="C5552" s="10">
        <v>74</v>
      </c>
      <c r="D5552" s="10">
        <v>402</v>
      </c>
      <c r="E5552" s="10" t="s">
        <v>33</v>
      </c>
      <c r="F5552" t="s">
        <v>476</v>
      </c>
      <c r="G5552" t="s">
        <v>651</v>
      </c>
    </row>
    <row r="5553" spans="1:7" x14ac:dyDescent="0.35">
      <c r="A5553" s="2">
        <v>43188</v>
      </c>
      <c r="B5553" s="70" t="s">
        <v>38</v>
      </c>
      <c r="C5553" s="10">
        <v>75</v>
      </c>
      <c r="D5553" s="10">
        <v>392</v>
      </c>
      <c r="E5553" s="10" t="s">
        <v>34</v>
      </c>
      <c r="F5553" t="s">
        <v>646</v>
      </c>
      <c r="G5553" t="s">
        <v>651</v>
      </c>
    </row>
    <row r="5554" spans="1:7" x14ac:dyDescent="0.35">
      <c r="A5554" s="2">
        <v>43188</v>
      </c>
      <c r="B5554" s="70" t="s">
        <v>38</v>
      </c>
      <c r="C5554" s="10">
        <v>77</v>
      </c>
      <c r="D5554" s="10">
        <v>359</v>
      </c>
      <c r="E5554" s="10" t="s">
        <v>34</v>
      </c>
      <c r="F5554" t="s">
        <v>476</v>
      </c>
      <c r="G5554" t="s">
        <v>651</v>
      </c>
    </row>
    <row r="5555" spans="1:7" x14ac:dyDescent="0.35">
      <c r="A5555" s="2">
        <v>43188</v>
      </c>
      <c r="B5555" s="70" t="s">
        <v>38</v>
      </c>
      <c r="C5555" s="10">
        <v>75</v>
      </c>
      <c r="D5555" s="10">
        <v>347</v>
      </c>
      <c r="E5555" s="10" t="s">
        <v>40</v>
      </c>
      <c r="F5555" t="s">
        <v>646</v>
      </c>
      <c r="G5555" t="s">
        <v>651</v>
      </c>
    </row>
    <row r="5556" spans="1:7" x14ac:dyDescent="0.35">
      <c r="A5556" s="2">
        <v>43188</v>
      </c>
      <c r="B5556" s="70" t="s">
        <v>38</v>
      </c>
      <c r="C5556" s="10">
        <v>72</v>
      </c>
      <c r="D5556" s="10">
        <v>332</v>
      </c>
      <c r="E5556" s="10" t="s">
        <v>33</v>
      </c>
      <c r="F5556" t="s">
        <v>476</v>
      </c>
      <c r="G5556" t="s">
        <v>651</v>
      </c>
    </row>
    <row r="5557" spans="1:7" x14ac:dyDescent="0.35">
      <c r="A5557" s="2">
        <v>43188</v>
      </c>
      <c r="B5557" s="70" t="s">
        <v>38</v>
      </c>
      <c r="C5557" s="10">
        <v>75</v>
      </c>
      <c r="D5557" s="10">
        <v>363</v>
      </c>
      <c r="E5557" s="10" t="s">
        <v>34</v>
      </c>
      <c r="F5557" t="s">
        <v>476</v>
      </c>
      <c r="G5557" t="s">
        <v>651</v>
      </c>
    </row>
    <row r="5558" spans="1:7" x14ac:dyDescent="0.35">
      <c r="A5558" s="2">
        <v>43188</v>
      </c>
      <c r="B5558" s="70" t="s">
        <v>38</v>
      </c>
      <c r="C5558" s="10">
        <v>73</v>
      </c>
      <c r="D5558" s="10">
        <v>354</v>
      </c>
      <c r="E5558" s="10" t="s">
        <v>40</v>
      </c>
      <c r="F5558" t="s">
        <v>646</v>
      </c>
      <c r="G5558" t="s">
        <v>651</v>
      </c>
    </row>
    <row r="5559" spans="1:7" x14ac:dyDescent="0.35">
      <c r="A5559" s="2">
        <v>43188</v>
      </c>
      <c r="B5559" s="70" t="s">
        <v>38</v>
      </c>
      <c r="C5559" s="10">
        <v>71</v>
      </c>
      <c r="D5559" s="10">
        <v>329</v>
      </c>
      <c r="E5559" s="10" t="s">
        <v>33</v>
      </c>
      <c r="F5559" t="s">
        <v>646</v>
      </c>
      <c r="G5559" t="s">
        <v>651</v>
      </c>
    </row>
    <row r="5560" spans="1:7" x14ac:dyDescent="0.35">
      <c r="A5560" s="2">
        <v>43188</v>
      </c>
      <c r="B5560" s="70" t="s">
        <v>38</v>
      </c>
      <c r="C5560" s="10">
        <v>73</v>
      </c>
      <c r="D5560" s="10">
        <v>322</v>
      </c>
      <c r="E5560" s="10" t="s">
        <v>36</v>
      </c>
      <c r="F5560" t="s">
        <v>476</v>
      </c>
      <c r="G5560" t="s">
        <v>651</v>
      </c>
    </row>
    <row r="5561" spans="1:7" x14ac:dyDescent="0.35">
      <c r="A5561" s="2">
        <v>43188</v>
      </c>
      <c r="B5561" s="70" t="s">
        <v>38</v>
      </c>
      <c r="C5561" s="10">
        <v>73</v>
      </c>
      <c r="D5561" s="10">
        <v>318</v>
      </c>
      <c r="E5561" s="10" t="s">
        <v>33</v>
      </c>
      <c r="F5561" t="s">
        <v>476</v>
      </c>
      <c r="G5561" t="s">
        <v>651</v>
      </c>
    </row>
    <row r="5562" spans="1:7" x14ac:dyDescent="0.35">
      <c r="A5562" s="2">
        <v>43188</v>
      </c>
      <c r="B5562" s="70" t="s">
        <v>38</v>
      </c>
      <c r="C5562" s="10">
        <v>77</v>
      </c>
      <c r="D5562" s="10">
        <v>403</v>
      </c>
      <c r="E5562" s="10" t="s">
        <v>33</v>
      </c>
      <c r="F5562" t="s">
        <v>646</v>
      </c>
      <c r="G5562" t="s">
        <v>651</v>
      </c>
    </row>
    <row r="5563" spans="1:7" x14ac:dyDescent="0.35">
      <c r="A5563" s="2">
        <v>43188</v>
      </c>
      <c r="B5563" s="70" t="s">
        <v>38</v>
      </c>
      <c r="C5563" s="10">
        <v>73</v>
      </c>
      <c r="D5563" s="10">
        <v>356</v>
      </c>
      <c r="E5563" s="10" t="s">
        <v>36</v>
      </c>
      <c r="F5563" t="s">
        <v>476</v>
      </c>
      <c r="G5563" t="s">
        <v>651</v>
      </c>
    </row>
    <row r="5564" spans="1:7" x14ac:dyDescent="0.35">
      <c r="A5564" s="2">
        <v>43188</v>
      </c>
      <c r="B5564" s="70" t="s">
        <v>38</v>
      </c>
      <c r="C5564" s="10">
        <v>73</v>
      </c>
      <c r="D5564" s="10">
        <v>366</v>
      </c>
      <c r="E5564" s="10" t="s">
        <v>33</v>
      </c>
      <c r="F5564" t="s">
        <v>646</v>
      </c>
      <c r="G5564" t="s">
        <v>651</v>
      </c>
    </row>
    <row r="5565" spans="1:7" x14ac:dyDescent="0.35">
      <c r="A5565" s="2">
        <v>43188</v>
      </c>
      <c r="B5565" s="70" t="s">
        <v>38</v>
      </c>
      <c r="C5565" s="10">
        <v>75</v>
      </c>
      <c r="D5565" s="10">
        <v>353</v>
      </c>
      <c r="E5565" s="10" t="s">
        <v>40</v>
      </c>
      <c r="F5565" t="s">
        <v>476</v>
      </c>
      <c r="G5565" t="s">
        <v>651</v>
      </c>
    </row>
    <row r="5566" spans="1:7" x14ac:dyDescent="0.35">
      <c r="A5566" s="2">
        <v>43188</v>
      </c>
      <c r="B5566" s="70" t="s">
        <v>38</v>
      </c>
      <c r="C5566" s="10">
        <v>71</v>
      </c>
      <c r="D5566" s="10">
        <v>327</v>
      </c>
      <c r="E5566" s="10" t="s">
        <v>33</v>
      </c>
      <c r="F5566" t="s">
        <v>476</v>
      </c>
      <c r="G5566" t="s">
        <v>651</v>
      </c>
    </row>
    <row r="5567" spans="1:7" x14ac:dyDescent="0.35">
      <c r="A5567" s="2">
        <v>43188</v>
      </c>
      <c r="B5567" s="70" t="s">
        <v>38</v>
      </c>
      <c r="C5567" s="10">
        <v>74</v>
      </c>
      <c r="D5567" s="10">
        <v>352</v>
      </c>
      <c r="E5567" s="10" t="s">
        <v>34</v>
      </c>
      <c r="F5567" t="s">
        <v>476</v>
      </c>
      <c r="G5567" t="s">
        <v>651</v>
      </c>
    </row>
    <row r="5568" spans="1:7" x14ac:dyDescent="0.35">
      <c r="A5568" s="2">
        <v>43188</v>
      </c>
      <c r="B5568" s="70" t="s">
        <v>38</v>
      </c>
      <c r="C5568" s="10">
        <v>74</v>
      </c>
      <c r="D5568" s="10">
        <v>322</v>
      </c>
      <c r="E5568" s="10" t="s">
        <v>36</v>
      </c>
      <c r="F5568" t="s">
        <v>476</v>
      </c>
      <c r="G5568" t="s">
        <v>651</v>
      </c>
    </row>
    <row r="5569" spans="1:24" x14ac:dyDescent="0.35">
      <c r="A5569" s="2">
        <v>43188</v>
      </c>
      <c r="B5569" s="70" t="s">
        <v>38</v>
      </c>
      <c r="C5569" s="10">
        <v>70</v>
      </c>
      <c r="D5569" s="10">
        <v>335</v>
      </c>
      <c r="E5569" s="10" t="s">
        <v>34</v>
      </c>
      <c r="F5569" t="s">
        <v>476</v>
      </c>
      <c r="G5569" t="s">
        <v>651</v>
      </c>
    </row>
    <row r="5570" spans="1:24" x14ac:dyDescent="0.35">
      <c r="A5570" s="2">
        <v>43188</v>
      </c>
      <c r="B5570" s="70" t="s">
        <v>38</v>
      </c>
      <c r="C5570" s="10">
        <v>71</v>
      </c>
      <c r="D5570" s="10">
        <v>237</v>
      </c>
      <c r="E5570" s="10" t="s">
        <v>40</v>
      </c>
      <c r="F5570" t="s">
        <v>476</v>
      </c>
      <c r="G5570" t="s">
        <v>651</v>
      </c>
    </row>
    <row r="5571" spans="1:24" x14ac:dyDescent="0.35">
      <c r="A5571" s="2">
        <v>43188</v>
      </c>
      <c r="B5571" s="70" t="s">
        <v>38</v>
      </c>
      <c r="C5571" s="10">
        <v>68</v>
      </c>
      <c r="D5571" s="10">
        <v>259</v>
      </c>
      <c r="E5571" s="10" t="s">
        <v>40</v>
      </c>
      <c r="F5571" t="s">
        <v>646</v>
      </c>
      <c r="G5571" t="s">
        <v>651</v>
      </c>
    </row>
    <row r="5572" spans="1:24" x14ac:dyDescent="0.35">
      <c r="A5572" s="2">
        <v>43188</v>
      </c>
      <c r="B5572" s="70" t="s">
        <v>38</v>
      </c>
      <c r="C5572" s="10">
        <v>69</v>
      </c>
      <c r="D5572" s="10">
        <v>294</v>
      </c>
      <c r="E5572" s="10" t="s">
        <v>39</v>
      </c>
      <c r="F5572" t="s">
        <v>646</v>
      </c>
      <c r="G5572" t="s">
        <v>651</v>
      </c>
    </row>
    <row r="5573" spans="1:24" x14ac:dyDescent="0.35">
      <c r="A5573" s="2">
        <v>43188</v>
      </c>
      <c r="B5573" s="70" t="s">
        <v>38</v>
      </c>
      <c r="C5573" s="10">
        <v>76</v>
      </c>
      <c r="D5573" s="10">
        <v>432</v>
      </c>
      <c r="E5573" s="10" t="s">
        <v>39</v>
      </c>
      <c r="F5573" t="s">
        <v>646</v>
      </c>
      <c r="G5573" t="s">
        <v>651</v>
      </c>
    </row>
    <row r="5574" spans="1:24" x14ac:dyDescent="0.35">
      <c r="A5574" s="2">
        <v>43188</v>
      </c>
      <c r="B5574" s="70" t="s">
        <v>38</v>
      </c>
      <c r="C5574" s="10">
        <v>73</v>
      </c>
      <c r="D5574" s="10">
        <v>349</v>
      </c>
      <c r="E5574" s="10" t="s">
        <v>39</v>
      </c>
      <c r="F5574" t="s">
        <v>293</v>
      </c>
      <c r="G5574" t="s">
        <v>651</v>
      </c>
    </row>
    <row r="5575" spans="1:24" x14ac:dyDescent="0.35">
      <c r="A5575" s="2">
        <v>43188</v>
      </c>
      <c r="B5575" s="70" t="s">
        <v>38</v>
      </c>
      <c r="C5575" s="10">
        <v>74</v>
      </c>
      <c r="D5575" s="10">
        <v>338</v>
      </c>
      <c r="E5575" s="10" t="s">
        <v>39</v>
      </c>
      <c r="F5575" t="s">
        <v>476</v>
      </c>
      <c r="G5575" t="s">
        <v>651</v>
      </c>
    </row>
    <row r="5576" spans="1:24" x14ac:dyDescent="0.35">
      <c r="A5576" s="2">
        <v>43188</v>
      </c>
      <c r="B5576" s="70" t="s">
        <v>38</v>
      </c>
      <c r="C5576" s="10">
        <v>71</v>
      </c>
      <c r="D5576" s="10">
        <v>311</v>
      </c>
      <c r="E5576" s="10" t="s">
        <v>40</v>
      </c>
      <c r="F5576" t="s">
        <v>646</v>
      </c>
      <c r="G5576" t="s">
        <v>651</v>
      </c>
    </row>
    <row r="5577" spans="1:24" x14ac:dyDescent="0.35">
      <c r="A5577" s="2">
        <v>43188</v>
      </c>
      <c r="B5577" s="70" t="s">
        <v>38</v>
      </c>
      <c r="C5577" s="10">
        <v>71</v>
      </c>
      <c r="D5577" s="10">
        <v>304</v>
      </c>
      <c r="E5577" s="10" t="s">
        <v>40</v>
      </c>
      <c r="F5577" t="s">
        <v>476</v>
      </c>
      <c r="G5577" t="s">
        <v>651</v>
      </c>
    </row>
    <row r="5578" spans="1:24" x14ac:dyDescent="0.35">
      <c r="A5578" s="2">
        <v>43188</v>
      </c>
      <c r="B5578" s="70" t="s">
        <v>38</v>
      </c>
      <c r="C5578" s="10">
        <v>78</v>
      </c>
      <c r="D5578" s="10">
        <v>415</v>
      </c>
      <c r="E5578" s="10" t="s">
        <v>33</v>
      </c>
      <c r="F5578" t="s">
        <v>476</v>
      </c>
      <c r="G5578" t="s">
        <v>651</v>
      </c>
    </row>
    <row r="5579" spans="1:24" x14ac:dyDescent="0.35">
      <c r="A5579" s="2">
        <v>43188</v>
      </c>
      <c r="B5579" s="70" t="s">
        <v>38</v>
      </c>
      <c r="C5579" s="10">
        <v>70</v>
      </c>
      <c r="D5579" s="10">
        <v>329</v>
      </c>
      <c r="E5579" s="10" t="s">
        <v>34</v>
      </c>
      <c r="F5579" t="s">
        <v>646</v>
      </c>
      <c r="G5579" t="s">
        <v>651</v>
      </c>
      <c r="N5579" t="s">
        <v>42</v>
      </c>
      <c r="O5579" t="s">
        <v>39</v>
      </c>
      <c r="P5579" t="s">
        <v>40</v>
      </c>
      <c r="Q5579" t="s">
        <v>36</v>
      </c>
      <c r="R5579" t="s">
        <v>33</v>
      </c>
      <c r="S5579" t="s">
        <v>34</v>
      </c>
      <c r="T5579" t="s">
        <v>32</v>
      </c>
      <c r="U5579" t="s">
        <v>37</v>
      </c>
      <c r="W5579">
        <f>AVERAGE(C5535:C5586,C5474:C5525,C5457:C5469,C5453:C5454)</f>
        <v>72.848739495798313</v>
      </c>
      <c r="X5579">
        <f>AVERAGE(D5535:D5586,D5474:D5525,D5457:D5469,D5453:D5454)</f>
        <v>330.29411764705884</v>
      </c>
    </row>
    <row r="5580" spans="1:24" x14ac:dyDescent="0.35">
      <c r="A5580" s="2">
        <v>43188</v>
      </c>
      <c r="B5580" s="70" t="s">
        <v>38</v>
      </c>
      <c r="C5580" s="10">
        <v>74</v>
      </c>
      <c r="D5580" s="10">
        <v>390</v>
      </c>
      <c r="E5580" s="10" t="s">
        <v>33</v>
      </c>
      <c r="F5580" t="s">
        <v>646</v>
      </c>
      <c r="G5580" t="s">
        <v>651</v>
      </c>
      <c r="N5580" s="5">
        <f>N5585+N5524</f>
        <v>0</v>
      </c>
      <c r="O5580" s="5">
        <f t="shared" ref="O5580:U5580" si="158">O5585+O5524</f>
        <v>26</v>
      </c>
      <c r="P5580" s="5">
        <f t="shared" si="158"/>
        <v>20</v>
      </c>
      <c r="Q5580" s="5">
        <f t="shared" si="158"/>
        <v>10</v>
      </c>
      <c r="R5580" s="5">
        <f t="shared" si="158"/>
        <v>46</v>
      </c>
      <c r="S5580" s="5">
        <f t="shared" si="158"/>
        <v>17</v>
      </c>
      <c r="T5580" s="5">
        <f t="shared" si="158"/>
        <v>0</v>
      </c>
      <c r="U5580" s="5">
        <f t="shared" si="158"/>
        <v>0</v>
      </c>
    </row>
    <row r="5581" spans="1:24" x14ac:dyDescent="0.35">
      <c r="A5581" s="2">
        <v>43188</v>
      </c>
      <c r="B5581" s="70" t="s">
        <v>38</v>
      </c>
      <c r="C5581" s="10">
        <v>72</v>
      </c>
      <c r="D5581" s="10">
        <v>301</v>
      </c>
      <c r="E5581" s="10" t="s">
        <v>33</v>
      </c>
      <c r="F5581" t="s">
        <v>646</v>
      </c>
      <c r="G5581" t="s">
        <v>651</v>
      </c>
      <c r="N5581" s="6">
        <f>N5580/119*100</f>
        <v>0</v>
      </c>
      <c r="O5581" s="6">
        <f t="shared" ref="O5581:U5581" si="159">O5580/119*100</f>
        <v>21.84873949579832</v>
      </c>
      <c r="P5581" s="6">
        <f t="shared" si="159"/>
        <v>16.806722689075631</v>
      </c>
      <c r="Q5581" s="6">
        <f t="shared" si="159"/>
        <v>8.4033613445378155</v>
      </c>
      <c r="R5581" s="6">
        <f t="shared" si="159"/>
        <v>38.655462184873954</v>
      </c>
      <c r="S5581" s="6">
        <f t="shared" si="159"/>
        <v>14.285714285714285</v>
      </c>
      <c r="T5581" s="6">
        <f t="shared" si="159"/>
        <v>0</v>
      </c>
      <c r="U5581" s="6">
        <f t="shared" si="159"/>
        <v>0</v>
      </c>
      <c r="V5581" s="4"/>
      <c r="W5581" s="4"/>
      <c r="X5581" s="4"/>
    </row>
    <row r="5582" spans="1:24" x14ac:dyDescent="0.35">
      <c r="A5582" s="2">
        <v>43188</v>
      </c>
      <c r="B5582" s="70" t="s">
        <v>38</v>
      </c>
      <c r="C5582" s="10">
        <v>74</v>
      </c>
      <c r="D5582" s="10">
        <v>384</v>
      </c>
      <c r="E5582" s="10" t="s">
        <v>39</v>
      </c>
      <c r="F5582" t="s">
        <v>476</v>
      </c>
    </row>
    <row r="5583" spans="1:24" x14ac:dyDescent="0.35">
      <c r="A5583" s="2">
        <v>43188</v>
      </c>
      <c r="B5583" s="70" t="s">
        <v>38</v>
      </c>
      <c r="C5583" s="10">
        <v>75</v>
      </c>
      <c r="D5583" s="10">
        <v>337</v>
      </c>
      <c r="E5583" s="10" t="s">
        <v>33</v>
      </c>
      <c r="F5583" t="s">
        <v>476</v>
      </c>
      <c r="G5583" t="s">
        <v>651</v>
      </c>
    </row>
    <row r="5584" spans="1:24" x14ac:dyDescent="0.35">
      <c r="A5584" s="2">
        <v>43188</v>
      </c>
      <c r="B5584" s="70" t="s">
        <v>38</v>
      </c>
      <c r="C5584" s="10">
        <v>77</v>
      </c>
      <c r="D5584" s="10">
        <v>444</v>
      </c>
      <c r="E5584" s="10" t="s">
        <v>33</v>
      </c>
      <c r="F5584" t="s">
        <v>476</v>
      </c>
      <c r="G5584" t="s">
        <v>651</v>
      </c>
      <c r="N5584" t="s">
        <v>42</v>
      </c>
      <c r="O5584" t="s">
        <v>39</v>
      </c>
      <c r="P5584" t="s">
        <v>40</v>
      </c>
      <c r="Q5584" t="s">
        <v>36</v>
      </c>
      <c r="R5584" t="s">
        <v>33</v>
      </c>
      <c r="S5584" t="s">
        <v>34</v>
      </c>
      <c r="T5584" t="s">
        <v>32</v>
      </c>
      <c r="U5584" t="s">
        <v>37</v>
      </c>
      <c r="W5584">
        <f>AVERAGE(C5535:C5586,C5453:C5454)</f>
        <v>73.648148148148152</v>
      </c>
      <c r="X5584">
        <f>AVERAGE(D5535:D5586,D5453:D5454)</f>
        <v>349.98148148148147</v>
      </c>
    </row>
    <row r="5585" spans="1:21" x14ac:dyDescent="0.35">
      <c r="A5585" s="2">
        <v>43188</v>
      </c>
      <c r="B5585" s="70" t="s">
        <v>38</v>
      </c>
      <c r="C5585" s="10">
        <v>72</v>
      </c>
      <c r="D5585" s="10">
        <v>301</v>
      </c>
      <c r="E5585" s="10" t="s">
        <v>33</v>
      </c>
      <c r="F5585" t="s">
        <v>476</v>
      </c>
      <c r="G5585" t="s">
        <v>651</v>
      </c>
      <c r="N5585" s="5">
        <f>COUNTIF(E5535:E5586,"VA")</f>
        <v>0</v>
      </c>
      <c r="O5585" s="5">
        <f>COUNTIF(E5526:E5586,"VB")</f>
        <v>14</v>
      </c>
      <c r="P5585" s="5">
        <f>COUNTIF(E5527:E5586,"VIA0")</f>
        <v>11</v>
      </c>
      <c r="Q5585" s="5">
        <v>5</v>
      </c>
      <c r="R5585" s="5">
        <v>15</v>
      </c>
      <c r="S5585" s="5">
        <f>COUNTIF(E5526:E5586,"VIA3")</f>
        <v>9</v>
      </c>
      <c r="T5585" s="5">
        <f>COUNTIF(E5526:E5586,"VIA4")</f>
        <v>0</v>
      </c>
      <c r="U5585" s="5">
        <f>COUNTIF(E5526:E5586,"VIB")</f>
        <v>0</v>
      </c>
    </row>
    <row r="5586" spans="1:21" s="4" customFormat="1" x14ac:dyDescent="0.35">
      <c r="A5586" s="3">
        <v>43188</v>
      </c>
      <c r="B5586" s="44" t="s">
        <v>38</v>
      </c>
      <c r="C5586" s="11">
        <v>74</v>
      </c>
      <c r="D5586" s="11">
        <v>393</v>
      </c>
      <c r="E5586" s="11" t="s">
        <v>33</v>
      </c>
      <c r="F5586" s="4" t="s">
        <v>476</v>
      </c>
      <c r="G5586" s="4" t="s">
        <v>651</v>
      </c>
      <c r="N5586" s="6">
        <f t="shared" ref="N5586:S5586" si="160">N5585/54*100</f>
        <v>0</v>
      </c>
      <c r="O5586" s="6">
        <f t="shared" si="160"/>
        <v>25.925925925925924</v>
      </c>
      <c r="P5586" s="6">
        <f t="shared" si="160"/>
        <v>20.37037037037037</v>
      </c>
      <c r="Q5586" s="6">
        <f t="shared" si="160"/>
        <v>9.2592592592592595</v>
      </c>
      <c r="R5586" s="6">
        <f t="shared" si="160"/>
        <v>27.777777777777779</v>
      </c>
      <c r="S5586" s="6">
        <f t="shared" si="160"/>
        <v>16.666666666666664</v>
      </c>
      <c r="T5586" s="6">
        <f t="shared" ref="T5586:U5586" si="161">T5585/50*100</f>
        <v>0</v>
      </c>
      <c r="U5586" s="6">
        <f t="shared" si="161"/>
        <v>0</v>
      </c>
    </row>
    <row r="5587" spans="1:21" s="5" customFormat="1" x14ac:dyDescent="0.35">
      <c r="A5587" s="2">
        <v>43192</v>
      </c>
      <c r="B5587" s="70" t="s">
        <v>38</v>
      </c>
      <c r="C5587" s="10">
        <v>89</v>
      </c>
      <c r="D5587" s="10">
        <v>724</v>
      </c>
      <c r="E5587" s="10" t="s">
        <v>59</v>
      </c>
      <c r="F5587" s="10"/>
      <c r="M5587">
        <f>COUNTIF(F5587:F5708,"F0")</f>
        <v>89</v>
      </c>
    </row>
    <row r="5588" spans="1:21" s="5" customFormat="1" x14ac:dyDescent="0.35">
      <c r="A5588" s="2">
        <v>43192</v>
      </c>
      <c r="B5588" s="70" t="s">
        <v>38</v>
      </c>
      <c r="C5588" s="10">
        <v>100</v>
      </c>
      <c r="D5588" s="10">
        <v>724</v>
      </c>
      <c r="E5588" s="10" t="s">
        <v>59</v>
      </c>
      <c r="F5588" s="10"/>
    </row>
    <row r="5589" spans="1:21" x14ac:dyDescent="0.35">
      <c r="A5589" s="2">
        <v>43192</v>
      </c>
      <c r="B5589" s="70" t="s">
        <v>38</v>
      </c>
      <c r="C5589" s="10">
        <v>69</v>
      </c>
      <c r="D5589" s="10">
        <v>255</v>
      </c>
      <c r="E5589" s="10" t="s">
        <v>33</v>
      </c>
      <c r="F5589" s="10" t="s">
        <v>646</v>
      </c>
    </row>
    <row r="5590" spans="1:21" x14ac:dyDescent="0.35">
      <c r="A5590" s="2">
        <v>43192</v>
      </c>
      <c r="B5590" s="70" t="s">
        <v>38</v>
      </c>
      <c r="C5590" s="10">
        <v>63</v>
      </c>
      <c r="D5590" s="10">
        <v>191</v>
      </c>
      <c r="E5590" s="10" t="s">
        <v>40</v>
      </c>
      <c r="F5590" s="10" t="s">
        <v>476</v>
      </c>
    </row>
    <row r="5591" spans="1:21" x14ac:dyDescent="0.35">
      <c r="A5591" s="2">
        <v>43192</v>
      </c>
      <c r="B5591" s="70" t="s">
        <v>38</v>
      </c>
      <c r="C5591" s="10">
        <v>68</v>
      </c>
      <c r="D5591" s="10">
        <v>243</v>
      </c>
      <c r="E5591" s="10" t="s">
        <v>39</v>
      </c>
      <c r="F5591" s="10" t="s">
        <v>476</v>
      </c>
    </row>
    <row r="5592" spans="1:21" x14ac:dyDescent="0.35">
      <c r="A5592" s="2">
        <v>43192</v>
      </c>
      <c r="B5592" s="70" t="s">
        <v>38</v>
      </c>
      <c r="C5592" s="10">
        <v>70</v>
      </c>
      <c r="D5592" s="10">
        <v>260</v>
      </c>
      <c r="E5592" s="10" t="s">
        <v>33</v>
      </c>
      <c r="F5592" s="10" t="s">
        <v>476</v>
      </c>
    </row>
    <row r="5593" spans="1:21" x14ac:dyDescent="0.35">
      <c r="A5593" s="2">
        <v>43192</v>
      </c>
      <c r="B5593" s="70" t="s">
        <v>38</v>
      </c>
      <c r="C5593" s="10">
        <v>73</v>
      </c>
      <c r="D5593" s="10">
        <v>393</v>
      </c>
      <c r="E5593" s="10" t="s">
        <v>34</v>
      </c>
      <c r="F5593" s="10" t="s">
        <v>476</v>
      </c>
    </row>
    <row r="5594" spans="1:21" x14ac:dyDescent="0.35">
      <c r="A5594" s="2">
        <v>43192</v>
      </c>
      <c r="B5594" s="70" t="s">
        <v>38</v>
      </c>
      <c r="C5594" s="10">
        <v>79</v>
      </c>
      <c r="D5594" s="10">
        <v>338</v>
      </c>
      <c r="E5594" s="10" t="s">
        <v>34</v>
      </c>
      <c r="F5594" s="10" t="s">
        <v>476</v>
      </c>
    </row>
    <row r="5595" spans="1:21" x14ac:dyDescent="0.35">
      <c r="A5595" s="2">
        <v>43192</v>
      </c>
      <c r="B5595" s="70" t="s">
        <v>38</v>
      </c>
      <c r="C5595" s="10">
        <v>71</v>
      </c>
      <c r="D5595" s="10">
        <v>284</v>
      </c>
      <c r="E5595" s="10" t="s">
        <v>34</v>
      </c>
      <c r="F5595" s="10" t="s">
        <v>476</v>
      </c>
    </row>
    <row r="5596" spans="1:21" x14ac:dyDescent="0.35">
      <c r="A5596" s="2">
        <v>43192</v>
      </c>
      <c r="B5596" s="70" t="s">
        <v>38</v>
      </c>
      <c r="C5596" s="10">
        <v>74</v>
      </c>
      <c r="D5596" s="10">
        <v>300</v>
      </c>
      <c r="E5596" s="10" t="s">
        <v>34</v>
      </c>
      <c r="F5596" s="10" t="s">
        <v>476</v>
      </c>
    </row>
    <row r="5597" spans="1:21" x14ac:dyDescent="0.35">
      <c r="A5597" s="2">
        <v>43192</v>
      </c>
      <c r="B5597" s="70" t="s">
        <v>38</v>
      </c>
      <c r="C5597" s="10">
        <v>73</v>
      </c>
      <c r="D5597" s="10">
        <v>280</v>
      </c>
      <c r="E5597" s="10" t="s">
        <v>33</v>
      </c>
      <c r="F5597" s="10" t="s">
        <v>646</v>
      </c>
    </row>
    <row r="5598" spans="1:21" x14ac:dyDescent="0.35">
      <c r="A5598" s="2">
        <v>43192</v>
      </c>
      <c r="B5598" s="70" t="s">
        <v>38</v>
      </c>
      <c r="C5598" s="10">
        <v>72</v>
      </c>
      <c r="D5598" s="10">
        <v>286</v>
      </c>
      <c r="E5598" s="10" t="s">
        <v>34</v>
      </c>
      <c r="F5598" s="10" t="s">
        <v>476</v>
      </c>
    </row>
    <row r="5599" spans="1:21" x14ac:dyDescent="0.35">
      <c r="A5599" s="2">
        <v>43192</v>
      </c>
      <c r="B5599" s="70" t="s">
        <v>38</v>
      </c>
      <c r="C5599" s="10">
        <v>70</v>
      </c>
      <c r="D5599" s="10">
        <v>246</v>
      </c>
      <c r="E5599" s="10" t="s">
        <v>33</v>
      </c>
      <c r="F5599" s="10" t="s">
        <v>476</v>
      </c>
    </row>
    <row r="5600" spans="1:21" x14ac:dyDescent="0.35">
      <c r="A5600" s="2">
        <v>43192</v>
      </c>
      <c r="B5600" s="70" t="s">
        <v>38</v>
      </c>
      <c r="C5600" s="10">
        <v>67</v>
      </c>
      <c r="D5600" s="10">
        <v>238</v>
      </c>
      <c r="E5600" s="10" t="s">
        <v>40</v>
      </c>
      <c r="F5600" s="10" t="s">
        <v>646</v>
      </c>
    </row>
    <row r="5601" spans="1:6" x14ac:dyDescent="0.35">
      <c r="A5601" s="2">
        <v>43192</v>
      </c>
      <c r="B5601" s="70" t="s">
        <v>38</v>
      </c>
      <c r="C5601" s="10">
        <v>66</v>
      </c>
      <c r="D5601" s="10">
        <v>223</v>
      </c>
      <c r="E5601" s="10" t="s">
        <v>40</v>
      </c>
      <c r="F5601" s="10" t="s">
        <v>646</v>
      </c>
    </row>
    <row r="5602" spans="1:6" x14ac:dyDescent="0.35">
      <c r="A5602" s="2">
        <v>43192</v>
      </c>
      <c r="B5602" s="70" t="s">
        <v>38</v>
      </c>
      <c r="C5602" s="10">
        <v>73</v>
      </c>
      <c r="D5602" s="10">
        <v>284</v>
      </c>
      <c r="E5602" s="10" t="s">
        <v>34</v>
      </c>
      <c r="F5602" s="10" t="s">
        <v>476</v>
      </c>
    </row>
    <row r="5603" spans="1:6" x14ac:dyDescent="0.35">
      <c r="A5603" s="2">
        <v>43192</v>
      </c>
      <c r="B5603" s="70" t="s">
        <v>38</v>
      </c>
      <c r="C5603" s="10">
        <v>71</v>
      </c>
      <c r="D5603" s="10">
        <v>319</v>
      </c>
      <c r="E5603" s="10" t="s">
        <v>33</v>
      </c>
      <c r="F5603" s="10" t="s">
        <v>476</v>
      </c>
    </row>
    <row r="5604" spans="1:6" x14ac:dyDescent="0.35">
      <c r="A5604" s="2">
        <v>43192</v>
      </c>
      <c r="B5604" s="70" t="s">
        <v>38</v>
      </c>
      <c r="C5604" s="10">
        <v>70</v>
      </c>
      <c r="D5604" s="10">
        <v>358</v>
      </c>
      <c r="E5604" s="10" t="s">
        <v>33</v>
      </c>
      <c r="F5604" s="10" t="s">
        <v>476</v>
      </c>
    </row>
    <row r="5605" spans="1:6" x14ac:dyDescent="0.35">
      <c r="A5605" s="2">
        <v>43192</v>
      </c>
      <c r="B5605" s="70" t="s">
        <v>38</v>
      </c>
      <c r="C5605" s="10">
        <v>67</v>
      </c>
      <c r="D5605" s="10">
        <v>252</v>
      </c>
      <c r="E5605" s="10" t="s">
        <v>33</v>
      </c>
      <c r="F5605" s="10" t="s">
        <v>476</v>
      </c>
    </row>
    <row r="5606" spans="1:6" x14ac:dyDescent="0.35">
      <c r="A5606" s="2">
        <v>43192</v>
      </c>
      <c r="B5606" s="70" t="s">
        <v>38</v>
      </c>
      <c r="C5606" s="10">
        <v>70</v>
      </c>
      <c r="D5606" s="10">
        <v>278</v>
      </c>
      <c r="E5606" s="10" t="s">
        <v>34</v>
      </c>
      <c r="F5606" s="10" t="s">
        <v>476</v>
      </c>
    </row>
    <row r="5607" spans="1:6" x14ac:dyDescent="0.35">
      <c r="A5607" s="2">
        <v>43192</v>
      </c>
      <c r="B5607" s="70" t="s">
        <v>38</v>
      </c>
      <c r="C5607" s="10">
        <v>67</v>
      </c>
      <c r="D5607" s="10">
        <v>255</v>
      </c>
      <c r="E5607" s="10" t="s">
        <v>36</v>
      </c>
      <c r="F5607" s="10" t="s">
        <v>476</v>
      </c>
    </row>
    <row r="5608" spans="1:6" x14ac:dyDescent="0.35">
      <c r="A5608" s="2">
        <v>43192</v>
      </c>
      <c r="B5608" s="70" t="s">
        <v>38</v>
      </c>
      <c r="C5608" s="10">
        <v>67</v>
      </c>
      <c r="D5608" s="10">
        <v>225</v>
      </c>
      <c r="E5608" s="10" t="s">
        <v>33</v>
      </c>
      <c r="F5608" s="10" t="s">
        <v>646</v>
      </c>
    </row>
    <row r="5609" spans="1:6" x14ac:dyDescent="0.35">
      <c r="A5609" s="2">
        <v>43192</v>
      </c>
      <c r="B5609" s="70" t="s">
        <v>38</v>
      </c>
      <c r="C5609" s="10">
        <v>70</v>
      </c>
      <c r="D5609" s="10">
        <v>300</v>
      </c>
      <c r="E5609" s="10" t="s">
        <v>33</v>
      </c>
      <c r="F5609" s="10" t="s">
        <v>476</v>
      </c>
    </row>
    <row r="5610" spans="1:6" x14ac:dyDescent="0.35">
      <c r="A5610" s="2">
        <v>43192</v>
      </c>
      <c r="B5610" s="70" t="s">
        <v>38</v>
      </c>
      <c r="C5610" s="10">
        <v>65</v>
      </c>
      <c r="D5610" s="10">
        <v>253</v>
      </c>
      <c r="E5610" s="10" t="s">
        <v>34</v>
      </c>
      <c r="F5610" s="10" t="s">
        <v>476</v>
      </c>
    </row>
    <row r="5611" spans="1:6" x14ac:dyDescent="0.35">
      <c r="A5611" s="2">
        <v>43192</v>
      </c>
      <c r="B5611" s="70" t="s">
        <v>38</v>
      </c>
      <c r="C5611" s="10">
        <v>72</v>
      </c>
      <c r="D5611" s="10">
        <v>283</v>
      </c>
      <c r="E5611" s="10" t="s">
        <v>34</v>
      </c>
      <c r="F5611" s="10" t="s">
        <v>476</v>
      </c>
    </row>
    <row r="5612" spans="1:6" x14ac:dyDescent="0.35">
      <c r="A5612" s="2">
        <v>43192</v>
      </c>
      <c r="B5612" s="70" t="s">
        <v>38</v>
      </c>
      <c r="C5612" s="10">
        <v>75</v>
      </c>
      <c r="D5612" s="10">
        <v>375</v>
      </c>
      <c r="E5612" s="10" t="s">
        <v>34</v>
      </c>
      <c r="F5612" s="10" t="s">
        <v>476</v>
      </c>
    </row>
    <row r="5613" spans="1:6" x14ac:dyDescent="0.35">
      <c r="A5613" s="2">
        <v>43192</v>
      </c>
      <c r="B5613" s="70" t="s">
        <v>38</v>
      </c>
      <c r="C5613" s="10">
        <v>67</v>
      </c>
      <c r="D5613" s="10">
        <v>212</v>
      </c>
      <c r="E5613" s="10" t="s">
        <v>33</v>
      </c>
      <c r="F5613" s="10" t="s">
        <v>646</v>
      </c>
    </row>
    <row r="5614" spans="1:6" x14ac:dyDescent="0.35">
      <c r="A5614" s="2">
        <v>43192</v>
      </c>
      <c r="B5614" s="70" t="s">
        <v>38</v>
      </c>
      <c r="C5614" s="10">
        <v>75</v>
      </c>
      <c r="D5614" s="10">
        <v>335</v>
      </c>
      <c r="E5614" s="10" t="s">
        <v>34</v>
      </c>
      <c r="F5614" s="10" t="s">
        <v>476</v>
      </c>
    </row>
    <row r="5615" spans="1:6" x14ac:dyDescent="0.35">
      <c r="A5615" s="2">
        <v>43192</v>
      </c>
      <c r="B5615" s="70" t="s">
        <v>38</v>
      </c>
      <c r="C5615" s="10">
        <v>75</v>
      </c>
      <c r="D5615" s="10">
        <v>330</v>
      </c>
      <c r="E5615" s="10" t="s">
        <v>34</v>
      </c>
      <c r="F5615" s="10" t="s">
        <v>476</v>
      </c>
    </row>
    <row r="5616" spans="1:6" x14ac:dyDescent="0.35">
      <c r="A5616" s="2">
        <v>43192</v>
      </c>
      <c r="B5616" s="70" t="s">
        <v>38</v>
      </c>
      <c r="C5616" s="10">
        <v>72</v>
      </c>
      <c r="D5616" s="10">
        <v>264</v>
      </c>
      <c r="E5616" s="10" t="s">
        <v>34</v>
      </c>
      <c r="F5616" s="10" t="s">
        <v>476</v>
      </c>
    </row>
    <row r="5617" spans="1:7" x14ac:dyDescent="0.35">
      <c r="A5617" s="2">
        <v>43192</v>
      </c>
      <c r="B5617" s="70" t="s">
        <v>38</v>
      </c>
      <c r="C5617" s="10">
        <v>69</v>
      </c>
      <c r="D5617" s="10">
        <v>245</v>
      </c>
      <c r="E5617" s="10" t="s">
        <v>33</v>
      </c>
      <c r="F5617" s="10" t="s">
        <v>476</v>
      </c>
    </row>
    <row r="5618" spans="1:7" x14ac:dyDescent="0.35">
      <c r="A5618" s="2">
        <v>43192</v>
      </c>
      <c r="B5618" s="70" t="s">
        <v>38</v>
      </c>
      <c r="C5618" s="10">
        <v>75</v>
      </c>
      <c r="D5618" s="10">
        <v>323</v>
      </c>
      <c r="E5618" s="10" t="s">
        <v>34</v>
      </c>
      <c r="F5618" s="10" t="s">
        <v>476</v>
      </c>
    </row>
    <row r="5619" spans="1:7" x14ac:dyDescent="0.35">
      <c r="A5619" s="2">
        <v>43192</v>
      </c>
      <c r="B5619" s="70" t="s">
        <v>38</v>
      </c>
      <c r="C5619" s="10">
        <v>62</v>
      </c>
      <c r="D5619" s="10">
        <v>176</v>
      </c>
      <c r="E5619" s="10" t="s">
        <v>40</v>
      </c>
      <c r="F5619" s="10" t="s">
        <v>646</v>
      </c>
    </row>
    <row r="5620" spans="1:7" x14ac:dyDescent="0.35">
      <c r="A5620" s="2">
        <v>43192</v>
      </c>
      <c r="B5620" s="70" t="s">
        <v>38</v>
      </c>
      <c r="C5620" s="10">
        <v>76</v>
      </c>
      <c r="D5620" s="10">
        <v>340</v>
      </c>
      <c r="E5620" s="10" t="s">
        <v>33</v>
      </c>
      <c r="F5620" s="10" t="s">
        <v>476</v>
      </c>
    </row>
    <row r="5621" spans="1:7" x14ac:dyDescent="0.35">
      <c r="A5621" s="2">
        <v>43192</v>
      </c>
      <c r="B5621" s="70" t="s">
        <v>38</v>
      </c>
      <c r="C5621" s="10">
        <v>66</v>
      </c>
      <c r="D5621" s="10">
        <v>236</v>
      </c>
      <c r="E5621" s="10" t="s">
        <v>33</v>
      </c>
      <c r="F5621" s="10" t="s">
        <v>476</v>
      </c>
    </row>
    <row r="5622" spans="1:7" x14ac:dyDescent="0.35">
      <c r="A5622" s="2">
        <v>43192</v>
      </c>
      <c r="B5622" s="70" t="s">
        <v>38</v>
      </c>
      <c r="C5622" s="10">
        <v>72</v>
      </c>
      <c r="D5622" s="10">
        <v>296</v>
      </c>
      <c r="E5622" s="10" t="s">
        <v>34</v>
      </c>
      <c r="F5622" s="10" t="s">
        <v>476</v>
      </c>
    </row>
    <row r="5623" spans="1:7" x14ac:dyDescent="0.35">
      <c r="A5623" s="2">
        <v>43192</v>
      </c>
      <c r="B5623" s="70" t="s">
        <v>38</v>
      </c>
      <c r="C5623" s="10">
        <v>79</v>
      </c>
      <c r="D5623" s="10">
        <v>333</v>
      </c>
      <c r="E5623" s="10" t="s">
        <v>33</v>
      </c>
      <c r="F5623" s="10" t="s">
        <v>476</v>
      </c>
    </row>
    <row r="5624" spans="1:7" x14ac:dyDescent="0.35">
      <c r="A5624" s="2">
        <v>43192</v>
      </c>
      <c r="B5624" s="70" t="s">
        <v>38</v>
      </c>
      <c r="C5624" s="10">
        <v>83</v>
      </c>
      <c r="D5624" s="10">
        <v>433</v>
      </c>
      <c r="E5624" s="10" t="s">
        <v>40</v>
      </c>
      <c r="F5624" s="10" t="s">
        <v>476</v>
      </c>
      <c r="G5624" t="s">
        <v>663</v>
      </c>
    </row>
    <row r="5625" spans="1:7" x14ac:dyDescent="0.35">
      <c r="A5625" s="2">
        <v>43192</v>
      </c>
      <c r="B5625" s="70" t="s">
        <v>38</v>
      </c>
      <c r="C5625" s="10">
        <v>68</v>
      </c>
      <c r="D5625" s="10">
        <v>254</v>
      </c>
      <c r="E5625" s="10" t="s">
        <v>33</v>
      </c>
      <c r="F5625" s="10" t="s">
        <v>646</v>
      </c>
    </row>
    <row r="5626" spans="1:7" x14ac:dyDescent="0.35">
      <c r="A5626" s="2">
        <v>43192</v>
      </c>
      <c r="B5626" s="70" t="s">
        <v>38</v>
      </c>
      <c r="C5626" s="10">
        <v>75</v>
      </c>
      <c r="D5626" s="10">
        <v>319</v>
      </c>
      <c r="E5626" s="10" t="s">
        <v>33</v>
      </c>
      <c r="F5626" s="10" t="s">
        <v>476</v>
      </c>
    </row>
    <row r="5627" spans="1:7" x14ac:dyDescent="0.35">
      <c r="A5627" s="2">
        <v>43192</v>
      </c>
      <c r="B5627" s="70" t="s">
        <v>38</v>
      </c>
      <c r="C5627" s="10">
        <v>73</v>
      </c>
      <c r="D5627" s="10">
        <v>305</v>
      </c>
      <c r="E5627" s="10" t="s">
        <v>33</v>
      </c>
      <c r="F5627" s="10" t="s">
        <v>476</v>
      </c>
    </row>
    <row r="5628" spans="1:7" x14ac:dyDescent="0.35">
      <c r="A5628" s="2">
        <v>43192</v>
      </c>
      <c r="B5628" s="70" t="s">
        <v>38</v>
      </c>
      <c r="C5628" s="10">
        <v>76</v>
      </c>
      <c r="D5628" s="10">
        <v>322</v>
      </c>
      <c r="E5628" s="10" t="s">
        <v>33</v>
      </c>
      <c r="F5628" s="10" t="s">
        <v>476</v>
      </c>
    </row>
    <row r="5629" spans="1:7" x14ac:dyDescent="0.35">
      <c r="A5629" s="2">
        <v>43192</v>
      </c>
      <c r="B5629" s="70" t="s">
        <v>38</v>
      </c>
      <c r="C5629" s="10">
        <v>71</v>
      </c>
      <c r="D5629" s="10">
        <v>309</v>
      </c>
      <c r="E5629" s="10" t="s">
        <v>34</v>
      </c>
      <c r="F5629" s="10" t="s">
        <v>476</v>
      </c>
    </row>
    <row r="5630" spans="1:7" x14ac:dyDescent="0.35">
      <c r="A5630" s="2">
        <v>43192</v>
      </c>
      <c r="B5630" s="70" t="s">
        <v>38</v>
      </c>
      <c r="C5630" s="10">
        <v>71</v>
      </c>
      <c r="D5630" s="10">
        <v>302</v>
      </c>
      <c r="E5630" s="10" t="s">
        <v>34</v>
      </c>
      <c r="F5630" s="10" t="s">
        <v>476</v>
      </c>
    </row>
    <row r="5631" spans="1:7" x14ac:dyDescent="0.35">
      <c r="A5631" s="2">
        <v>43192</v>
      </c>
      <c r="B5631" s="70" t="s">
        <v>38</v>
      </c>
      <c r="C5631" s="10">
        <v>64</v>
      </c>
      <c r="D5631" s="10">
        <v>196</v>
      </c>
      <c r="E5631" s="10" t="s">
        <v>32</v>
      </c>
      <c r="F5631" s="10" t="s">
        <v>476</v>
      </c>
    </row>
    <row r="5632" spans="1:7" x14ac:dyDescent="0.35">
      <c r="A5632" s="2">
        <v>43192</v>
      </c>
      <c r="B5632" s="70" t="s">
        <v>38</v>
      </c>
      <c r="C5632" s="10">
        <v>75</v>
      </c>
      <c r="D5632" s="10">
        <v>328</v>
      </c>
      <c r="E5632" s="10" t="s">
        <v>34</v>
      </c>
      <c r="F5632" s="10" t="s">
        <v>476</v>
      </c>
      <c r="G5632" t="s">
        <v>663</v>
      </c>
    </row>
    <row r="5633" spans="1:24" x14ac:dyDescent="0.35">
      <c r="A5633" s="2">
        <v>43192</v>
      </c>
      <c r="B5633" s="70" t="s">
        <v>38</v>
      </c>
      <c r="C5633" s="10">
        <v>76</v>
      </c>
      <c r="D5633" s="10">
        <v>337</v>
      </c>
      <c r="E5633" s="10" t="s">
        <v>40</v>
      </c>
      <c r="F5633" s="10" t="s">
        <v>476</v>
      </c>
    </row>
    <row r="5634" spans="1:24" x14ac:dyDescent="0.35">
      <c r="A5634" s="2">
        <v>43192</v>
      </c>
      <c r="B5634" s="70" t="s">
        <v>38</v>
      </c>
      <c r="C5634" s="10">
        <v>75</v>
      </c>
      <c r="D5634" s="10">
        <v>387</v>
      </c>
      <c r="E5634" s="10" t="s">
        <v>34</v>
      </c>
      <c r="F5634" s="10" t="s">
        <v>646</v>
      </c>
    </row>
    <row r="5635" spans="1:24" x14ac:dyDescent="0.35">
      <c r="A5635" s="2">
        <v>43192</v>
      </c>
      <c r="B5635" s="70" t="s">
        <v>38</v>
      </c>
      <c r="C5635" s="10">
        <v>72</v>
      </c>
      <c r="D5635" s="10">
        <v>289</v>
      </c>
      <c r="E5635" s="10" t="s">
        <v>32</v>
      </c>
      <c r="F5635" s="10" t="s">
        <v>476</v>
      </c>
    </row>
    <row r="5636" spans="1:24" x14ac:dyDescent="0.35">
      <c r="A5636" s="2">
        <v>43192</v>
      </c>
      <c r="B5636" s="70" t="s">
        <v>38</v>
      </c>
      <c r="C5636" s="10">
        <v>66</v>
      </c>
      <c r="D5636" s="10">
        <v>235</v>
      </c>
      <c r="E5636" s="10" t="s">
        <v>36</v>
      </c>
      <c r="F5636" s="10" t="s">
        <v>646</v>
      </c>
    </row>
    <row r="5637" spans="1:24" x14ac:dyDescent="0.35">
      <c r="A5637" s="2">
        <v>43192</v>
      </c>
      <c r="B5637" s="70" t="s">
        <v>38</v>
      </c>
      <c r="C5637" s="10">
        <v>75</v>
      </c>
      <c r="D5637" s="10">
        <v>337</v>
      </c>
      <c r="E5637" s="10" t="s">
        <v>32</v>
      </c>
      <c r="F5637" s="10" t="s">
        <v>646</v>
      </c>
    </row>
    <row r="5638" spans="1:24" x14ac:dyDescent="0.35">
      <c r="A5638" s="2">
        <v>43192</v>
      </c>
      <c r="B5638" s="70" t="s">
        <v>38</v>
      </c>
      <c r="C5638" s="10">
        <v>73</v>
      </c>
      <c r="D5638" s="10">
        <v>296</v>
      </c>
      <c r="E5638" s="10" t="s">
        <v>33</v>
      </c>
      <c r="F5638" s="10" t="s">
        <v>476</v>
      </c>
    </row>
    <row r="5639" spans="1:24" x14ac:dyDescent="0.35">
      <c r="A5639" s="2">
        <v>43192</v>
      </c>
      <c r="B5639" s="70" t="s">
        <v>38</v>
      </c>
      <c r="C5639" s="10">
        <v>66</v>
      </c>
      <c r="D5639" s="10">
        <v>216</v>
      </c>
      <c r="E5639" s="10" t="s">
        <v>34</v>
      </c>
      <c r="F5639" s="10" t="s">
        <v>476</v>
      </c>
    </row>
    <row r="5640" spans="1:24" x14ac:dyDescent="0.35">
      <c r="A5640" s="2">
        <v>43192</v>
      </c>
      <c r="B5640" s="70" t="s">
        <v>38</v>
      </c>
      <c r="C5640" s="10">
        <v>64</v>
      </c>
      <c r="D5640" s="10">
        <v>234</v>
      </c>
      <c r="E5640" s="10" t="s">
        <v>34</v>
      </c>
      <c r="F5640" s="10" t="s">
        <v>476</v>
      </c>
    </row>
    <row r="5641" spans="1:24" x14ac:dyDescent="0.35">
      <c r="A5641" s="2">
        <v>43192</v>
      </c>
      <c r="B5641" s="70" t="s">
        <v>38</v>
      </c>
      <c r="C5641" s="10">
        <v>68</v>
      </c>
      <c r="D5641" s="10">
        <v>223</v>
      </c>
      <c r="E5641" s="10" t="s">
        <v>32</v>
      </c>
      <c r="F5641" s="10" t="s">
        <v>476</v>
      </c>
    </row>
    <row r="5642" spans="1:24" x14ac:dyDescent="0.35">
      <c r="A5642" s="2">
        <v>43192</v>
      </c>
      <c r="B5642" s="70" t="s">
        <v>38</v>
      </c>
      <c r="C5642" s="10">
        <v>71</v>
      </c>
      <c r="D5642" s="10">
        <v>272</v>
      </c>
      <c r="E5642" s="10" t="s">
        <v>34</v>
      </c>
      <c r="F5642" s="10" t="s">
        <v>476</v>
      </c>
    </row>
    <row r="5643" spans="1:24" x14ac:dyDescent="0.35">
      <c r="A5643" s="2">
        <v>43192</v>
      </c>
      <c r="B5643" s="70" t="s">
        <v>38</v>
      </c>
      <c r="C5643" s="10">
        <v>74</v>
      </c>
      <c r="D5643" s="10">
        <v>350</v>
      </c>
      <c r="E5643" s="10" t="s">
        <v>40</v>
      </c>
      <c r="F5643" s="10" t="s">
        <v>293</v>
      </c>
    </row>
    <row r="5644" spans="1:24" x14ac:dyDescent="0.35">
      <c r="A5644" s="2">
        <v>43192</v>
      </c>
      <c r="B5644" s="70" t="s">
        <v>38</v>
      </c>
      <c r="C5644" s="10">
        <v>72</v>
      </c>
      <c r="D5644" s="10">
        <v>276</v>
      </c>
      <c r="E5644" s="10" t="s">
        <v>32</v>
      </c>
      <c r="F5644" s="10" t="s">
        <v>476</v>
      </c>
    </row>
    <row r="5645" spans="1:24" x14ac:dyDescent="0.35">
      <c r="A5645" s="2">
        <v>43192</v>
      </c>
      <c r="B5645" s="70" t="s">
        <v>38</v>
      </c>
      <c r="C5645" s="10">
        <v>71</v>
      </c>
      <c r="D5645" s="10">
        <v>255</v>
      </c>
      <c r="E5645" s="10" t="s">
        <v>40</v>
      </c>
      <c r="F5645" s="10" t="s">
        <v>476</v>
      </c>
    </row>
    <row r="5646" spans="1:24" x14ac:dyDescent="0.35">
      <c r="A5646" s="2">
        <v>43192</v>
      </c>
      <c r="B5646" s="70" t="s">
        <v>38</v>
      </c>
      <c r="C5646" s="10">
        <v>65</v>
      </c>
      <c r="D5646" s="10">
        <v>200</v>
      </c>
      <c r="E5646" s="10" t="s">
        <v>34</v>
      </c>
      <c r="F5646" s="10" t="s">
        <v>646</v>
      </c>
      <c r="N5646" t="s">
        <v>42</v>
      </c>
      <c r="O5646" t="s">
        <v>39</v>
      </c>
      <c r="P5646" t="s">
        <v>40</v>
      </c>
      <c r="Q5646" t="s">
        <v>36</v>
      </c>
      <c r="R5646" t="s">
        <v>33</v>
      </c>
      <c r="S5646" t="s">
        <v>34</v>
      </c>
      <c r="T5646" t="s">
        <v>32</v>
      </c>
      <c r="U5646" t="s">
        <v>37</v>
      </c>
    </row>
    <row r="5647" spans="1:24" x14ac:dyDescent="0.35">
      <c r="A5647" s="2">
        <v>43192</v>
      </c>
      <c r="B5647" s="70" t="s">
        <v>38</v>
      </c>
      <c r="C5647" s="10">
        <v>72</v>
      </c>
      <c r="D5647" s="10">
        <v>265</v>
      </c>
      <c r="E5647" s="10" t="s">
        <v>34</v>
      </c>
      <c r="F5647" s="10" t="s">
        <v>646</v>
      </c>
      <c r="N5647" s="5">
        <f>COUNTIF(E5587:E5648,"VA")</f>
        <v>0</v>
      </c>
      <c r="O5647" s="5">
        <f>COUNTIF(E5588:E5648,"VB")</f>
        <v>1</v>
      </c>
      <c r="P5647" s="5">
        <f>COUNTIF(E5589:E5648,"VIA0")</f>
        <v>9</v>
      </c>
      <c r="Q5647" s="5">
        <f>COUNTIF(E5589:E5648,"VIA1")</f>
        <v>2</v>
      </c>
      <c r="R5647" s="5">
        <f>COUNTIF(E5589:E5648,"VIA2")</f>
        <v>19</v>
      </c>
      <c r="S5647" s="5">
        <f>COUNTIF(E5588:E5648,"VIA3")</f>
        <v>24</v>
      </c>
      <c r="T5647" s="5">
        <f>COUNTIF(E5588:E5648,"VIA4")</f>
        <v>5</v>
      </c>
      <c r="U5647" s="5">
        <f>COUNTIF(E5588:E5648,"VIB")</f>
        <v>0</v>
      </c>
      <c r="W5647">
        <f>AVERAGE(C5589:C5648)</f>
        <v>70.933333333333337</v>
      </c>
      <c r="X5647">
        <f>AVERAGE(D5589:D5648)</f>
        <v>283.64999999999998</v>
      </c>
    </row>
    <row r="5648" spans="1:24" s="4" customFormat="1" x14ac:dyDescent="0.35">
      <c r="A5648" s="3">
        <v>43192</v>
      </c>
      <c r="B5648" s="44" t="s">
        <v>38</v>
      </c>
      <c r="C5648" s="11">
        <v>70</v>
      </c>
      <c r="D5648" s="11">
        <v>270</v>
      </c>
      <c r="E5648" s="11" t="s">
        <v>40</v>
      </c>
      <c r="F5648" s="11" t="s">
        <v>476</v>
      </c>
      <c r="N5648" s="6">
        <f>N5647/60*100</f>
        <v>0</v>
      </c>
      <c r="O5648" s="6">
        <f t="shared" ref="O5648:U5648" si="162">O5647/60*100</f>
        <v>1.6666666666666667</v>
      </c>
      <c r="P5648" s="6">
        <f t="shared" si="162"/>
        <v>15</v>
      </c>
      <c r="Q5648" s="6">
        <f t="shared" si="162"/>
        <v>3.3333333333333335</v>
      </c>
      <c r="R5648" s="6">
        <f t="shared" si="162"/>
        <v>31.666666666666664</v>
      </c>
      <c r="S5648" s="6">
        <f t="shared" si="162"/>
        <v>40</v>
      </c>
      <c r="T5648" s="6">
        <f t="shared" si="162"/>
        <v>8.3333333333333321</v>
      </c>
      <c r="U5648" s="6">
        <f t="shared" si="162"/>
        <v>0</v>
      </c>
    </row>
    <row r="5649" spans="1:8" x14ac:dyDescent="0.35">
      <c r="A5649" s="2">
        <v>43192</v>
      </c>
      <c r="B5649" s="70" t="s">
        <v>29</v>
      </c>
      <c r="C5649" s="10">
        <v>74</v>
      </c>
      <c r="D5649" s="10">
        <v>345</v>
      </c>
      <c r="E5649" s="10" t="s">
        <v>34</v>
      </c>
      <c r="F5649" s="10" t="s">
        <v>476</v>
      </c>
    </row>
    <row r="5650" spans="1:8" x14ac:dyDescent="0.35">
      <c r="A5650" s="2">
        <v>43192</v>
      </c>
      <c r="B5650" s="70" t="s">
        <v>29</v>
      </c>
      <c r="C5650" s="10">
        <v>70</v>
      </c>
      <c r="D5650" s="10">
        <v>264</v>
      </c>
      <c r="E5650" s="10" t="s">
        <v>40</v>
      </c>
      <c r="F5650" s="10" t="s">
        <v>476</v>
      </c>
      <c r="G5650" t="s">
        <v>651</v>
      </c>
    </row>
    <row r="5651" spans="1:8" x14ac:dyDescent="0.35">
      <c r="A5651" s="2">
        <v>43192</v>
      </c>
      <c r="B5651" s="70" t="s">
        <v>29</v>
      </c>
      <c r="C5651" s="10">
        <v>67</v>
      </c>
      <c r="D5651" s="10">
        <v>270</v>
      </c>
      <c r="E5651" s="10" t="s">
        <v>33</v>
      </c>
      <c r="F5651" s="10" t="s">
        <v>476</v>
      </c>
      <c r="G5651" t="s">
        <v>651</v>
      </c>
    </row>
    <row r="5652" spans="1:8" x14ac:dyDescent="0.35">
      <c r="A5652" s="2">
        <v>43192</v>
      </c>
      <c r="B5652" s="70" t="s">
        <v>29</v>
      </c>
      <c r="C5652" s="10">
        <v>74</v>
      </c>
      <c r="D5652" s="10">
        <v>309</v>
      </c>
      <c r="E5652" s="10" t="s">
        <v>33</v>
      </c>
      <c r="F5652" s="10" t="s">
        <v>476</v>
      </c>
    </row>
    <row r="5653" spans="1:8" x14ac:dyDescent="0.35">
      <c r="A5653" s="2">
        <v>43192</v>
      </c>
      <c r="B5653" s="70" t="s">
        <v>29</v>
      </c>
      <c r="C5653" s="10">
        <v>71</v>
      </c>
      <c r="D5653" s="10">
        <v>274</v>
      </c>
      <c r="E5653" s="10" t="s">
        <v>33</v>
      </c>
      <c r="F5653" s="10" t="s">
        <v>646</v>
      </c>
      <c r="G5653" t="s">
        <v>651</v>
      </c>
    </row>
    <row r="5654" spans="1:8" x14ac:dyDescent="0.35">
      <c r="A5654" s="2">
        <v>43192</v>
      </c>
      <c r="B5654" s="70" t="s">
        <v>29</v>
      </c>
      <c r="C5654" s="10">
        <v>71</v>
      </c>
      <c r="D5654" s="10">
        <v>281</v>
      </c>
      <c r="E5654" s="10" t="s">
        <v>33</v>
      </c>
      <c r="F5654" s="10" t="s">
        <v>476</v>
      </c>
      <c r="H5654" t="s">
        <v>664</v>
      </c>
    </row>
    <row r="5655" spans="1:8" x14ac:dyDescent="0.35">
      <c r="A5655" s="2">
        <v>43192</v>
      </c>
      <c r="B5655" s="70" t="s">
        <v>29</v>
      </c>
      <c r="C5655" s="10">
        <v>73</v>
      </c>
      <c r="D5655" s="10">
        <v>269</v>
      </c>
      <c r="E5655" s="10" t="s">
        <v>33</v>
      </c>
      <c r="F5655" s="10" t="s">
        <v>476</v>
      </c>
    </row>
    <row r="5656" spans="1:8" x14ac:dyDescent="0.35">
      <c r="A5656" s="2">
        <v>43192</v>
      </c>
      <c r="B5656" s="70" t="s">
        <v>29</v>
      </c>
      <c r="C5656" s="10">
        <v>71</v>
      </c>
      <c r="D5656" s="10">
        <v>235</v>
      </c>
      <c r="E5656" s="10" t="s">
        <v>34</v>
      </c>
      <c r="F5656" s="10" t="s">
        <v>476</v>
      </c>
      <c r="G5656" t="s">
        <v>651</v>
      </c>
    </row>
    <row r="5657" spans="1:8" x14ac:dyDescent="0.35">
      <c r="A5657" s="2">
        <v>43192</v>
      </c>
      <c r="B5657" s="70" t="s">
        <v>29</v>
      </c>
      <c r="C5657" s="10">
        <v>66</v>
      </c>
      <c r="E5657" s="10" t="s">
        <v>33</v>
      </c>
      <c r="F5657" s="10" t="s">
        <v>646</v>
      </c>
      <c r="G5657" t="s">
        <v>651</v>
      </c>
      <c r="H5657" t="s">
        <v>663</v>
      </c>
    </row>
    <row r="5658" spans="1:8" x14ac:dyDescent="0.35">
      <c r="A5658" s="2">
        <v>43192</v>
      </c>
      <c r="B5658" s="70" t="s">
        <v>29</v>
      </c>
      <c r="C5658" s="10">
        <v>75</v>
      </c>
      <c r="D5658">
        <v>322</v>
      </c>
      <c r="E5658" s="10" t="s">
        <v>32</v>
      </c>
      <c r="F5658" s="10" t="s">
        <v>476</v>
      </c>
      <c r="G5658" t="s">
        <v>651</v>
      </c>
    </row>
    <row r="5659" spans="1:8" x14ac:dyDescent="0.35">
      <c r="A5659" s="2">
        <v>43192</v>
      </c>
      <c r="B5659" s="70" t="s">
        <v>29</v>
      </c>
      <c r="C5659" s="10">
        <v>68</v>
      </c>
      <c r="D5659">
        <v>231</v>
      </c>
      <c r="E5659" s="10" t="s">
        <v>33</v>
      </c>
      <c r="F5659" s="10" t="s">
        <v>476</v>
      </c>
      <c r="G5659" t="s">
        <v>651</v>
      </c>
    </row>
    <row r="5660" spans="1:8" x14ac:dyDescent="0.35">
      <c r="A5660" s="2">
        <v>43192</v>
      </c>
      <c r="B5660" s="70" t="s">
        <v>29</v>
      </c>
      <c r="C5660" s="10">
        <v>73</v>
      </c>
      <c r="D5660">
        <v>303</v>
      </c>
      <c r="E5660" s="10" t="s">
        <v>34</v>
      </c>
      <c r="F5660" s="10" t="s">
        <v>476</v>
      </c>
      <c r="G5660" t="s">
        <v>651</v>
      </c>
    </row>
    <row r="5661" spans="1:8" x14ac:dyDescent="0.35">
      <c r="A5661" s="2">
        <v>43192</v>
      </c>
      <c r="B5661" s="70" t="s">
        <v>29</v>
      </c>
      <c r="C5661" s="10">
        <v>70</v>
      </c>
      <c r="D5661">
        <v>243</v>
      </c>
      <c r="E5661" s="10" t="s">
        <v>33</v>
      </c>
      <c r="F5661" s="10" t="s">
        <v>646</v>
      </c>
      <c r="G5661" t="s">
        <v>651</v>
      </c>
    </row>
    <row r="5662" spans="1:8" x14ac:dyDescent="0.35">
      <c r="A5662" s="2">
        <v>43192</v>
      </c>
      <c r="B5662" s="70" t="s">
        <v>29</v>
      </c>
      <c r="C5662" s="10">
        <v>67</v>
      </c>
      <c r="D5662">
        <v>261</v>
      </c>
      <c r="E5662" s="10" t="s">
        <v>34</v>
      </c>
      <c r="F5662" s="10" t="s">
        <v>476</v>
      </c>
      <c r="G5662" t="s">
        <v>651</v>
      </c>
    </row>
    <row r="5663" spans="1:8" x14ac:dyDescent="0.35">
      <c r="A5663" s="2">
        <v>43192</v>
      </c>
      <c r="B5663" s="70" t="s">
        <v>29</v>
      </c>
      <c r="C5663" s="10">
        <v>74</v>
      </c>
      <c r="D5663">
        <v>344</v>
      </c>
      <c r="E5663" s="10" t="s">
        <v>34</v>
      </c>
      <c r="F5663" s="10" t="s">
        <v>476</v>
      </c>
      <c r="G5663" t="s">
        <v>651</v>
      </c>
    </row>
    <row r="5664" spans="1:8" x14ac:dyDescent="0.35">
      <c r="A5664" s="2">
        <v>43192</v>
      </c>
      <c r="B5664" s="70" t="s">
        <v>29</v>
      </c>
      <c r="C5664" s="10">
        <v>70</v>
      </c>
      <c r="D5664">
        <v>288</v>
      </c>
      <c r="E5664" s="10" t="s">
        <v>40</v>
      </c>
      <c r="F5664" s="10" t="s">
        <v>476</v>
      </c>
      <c r="G5664" t="s">
        <v>651</v>
      </c>
    </row>
    <row r="5665" spans="1:8" x14ac:dyDescent="0.35">
      <c r="A5665" s="2">
        <v>43192</v>
      </c>
      <c r="B5665" s="70" t="s">
        <v>29</v>
      </c>
      <c r="C5665" s="10">
        <v>70</v>
      </c>
      <c r="D5665">
        <v>302</v>
      </c>
      <c r="E5665" s="10" t="s">
        <v>33</v>
      </c>
      <c r="F5665" s="10" t="s">
        <v>646</v>
      </c>
      <c r="G5665" t="s">
        <v>651</v>
      </c>
    </row>
    <row r="5666" spans="1:8" x14ac:dyDescent="0.35">
      <c r="A5666" s="2">
        <v>43192</v>
      </c>
      <c r="B5666" s="70" t="s">
        <v>29</v>
      </c>
      <c r="C5666" s="10">
        <v>67</v>
      </c>
      <c r="D5666">
        <v>233</v>
      </c>
      <c r="E5666" s="10" t="s">
        <v>34</v>
      </c>
      <c r="F5666" s="10" t="s">
        <v>476</v>
      </c>
      <c r="G5666" t="s">
        <v>651</v>
      </c>
      <c r="H5666" t="s">
        <v>665</v>
      </c>
    </row>
    <row r="5667" spans="1:8" x14ac:dyDescent="0.35">
      <c r="A5667" s="2">
        <v>43192</v>
      </c>
      <c r="B5667" s="70" t="s">
        <v>29</v>
      </c>
      <c r="C5667" s="10">
        <v>70</v>
      </c>
      <c r="D5667">
        <v>291</v>
      </c>
      <c r="E5667" s="10" t="s">
        <v>33</v>
      </c>
      <c r="F5667" s="10" t="s">
        <v>476</v>
      </c>
      <c r="G5667" t="s">
        <v>651</v>
      </c>
    </row>
    <row r="5668" spans="1:8" x14ac:dyDescent="0.35">
      <c r="A5668" s="2">
        <v>43192</v>
      </c>
      <c r="B5668" s="70" t="s">
        <v>29</v>
      </c>
      <c r="C5668" s="10">
        <v>68</v>
      </c>
      <c r="D5668">
        <v>273</v>
      </c>
      <c r="E5668" s="10" t="s">
        <v>34</v>
      </c>
      <c r="F5668" s="10" t="s">
        <v>646</v>
      </c>
      <c r="G5668" t="s">
        <v>651</v>
      </c>
    </row>
    <row r="5669" spans="1:8" x14ac:dyDescent="0.35">
      <c r="A5669" s="2">
        <v>43192</v>
      </c>
      <c r="B5669" s="70" t="s">
        <v>29</v>
      </c>
      <c r="C5669" s="10">
        <v>77</v>
      </c>
      <c r="D5669">
        <v>387</v>
      </c>
      <c r="E5669" s="10" t="s">
        <v>33</v>
      </c>
      <c r="F5669" s="10" t="s">
        <v>646</v>
      </c>
      <c r="G5669" t="s">
        <v>651</v>
      </c>
    </row>
    <row r="5670" spans="1:8" x14ac:dyDescent="0.35">
      <c r="A5670" s="2">
        <v>43192</v>
      </c>
      <c r="B5670" s="70" t="s">
        <v>29</v>
      </c>
      <c r="C5670" s="10">
        <v>65</v>
      </c>
      <c r="D5670">
        <v>226</v>
      </c>
      <c r="E5670" s="10" t="s">
        <v>34</v>
      </c>
      <c r="F5670" s="10" t="s">
        <v>476</v>
      </c>
      <c r="G5670" t="s">
        <v>651</v>
      </c>
    </row>
    <row r="5671" spans="1:8" x14ac:dyDescent="0.35">
      <c r="A5671" s="2">
        <v>43192</v>
      </c>
      <c r="B5671" s="70" t="s">
        <v>29</v>
      </c>
      <c r="C5671" s="10">
        <v>67</v>
      </c>
      <c r="D5671">
        <v>245</v>
      </c>
      <c r="E5671" s="10" t="s">
        <v>34</v>
      </c>
      <c r="F5671" s="10" t="s">
        <v>476</v>
      </c>
      <c r="G5671" t="s">
        <v>651</v>
      </c>
    </row>
    <row r="5672" spans="1:8" x14ac:dyDescent="0.35">
      <c r="A5672" s="2">
        <v>43192</v>
      </c>
      <c r="B5672" s="70" t="s">
        <v>29</v>
      </c>
      <c r="C5672" s="10">
        <v>65</v>
      </c>
      <c r="D5672">
        <v>242</v>
      </c>
      <c r="E5672" s="10" t="s">
        <v>34</v>
      </c>
      <c r="F5672" s="10" t="s">
        <v>476</v>
      </c>
      <c r="G5672" t="s">
        <v>651</v>
      </c>
    </row>
    <row r="5673" spans="1:8" x14ac:dyDescent="0.35">
      <c r="A5673" s="2">
        <v>43192</v>
      </c>
      <c r="B5673" s="70" t="s">
        <v>29</v>
      </c>
      <c r="C5673" s="10">
        <v>68</v>
      </c>
      <c r="D5673">
        <v>226</v>
      </c>
      <c r="E5673" s="10" t="s">
        <v>40</v>
      </c>
      <c r="F5673" s="10" t="s">
        <v>476</v>
      </c>
      <c r="H5673" t="s">
        <v>666</v>
      </c>
    </row>
    <row r="5674" spans="1:8" x14ac:dyDescent="0.35">
      <c r="A5674" s="2">
        <v>43192</v>
      </c>
      <c r="B5674" s="70" t="s">
        <v>29</v>
      </c>
      <c r="C5674" s="10">
        <v>70</v>
      </c>
      <c r="D5674">
        <v>301</v>
      </c>
      <c r="E5674" s="10" t="s">
        <v>34</v>
      </c>
      <c r="F5674" s="10" t="s">
        <v>476</v>
      </c>
    </row>
    <row r="5675" spans="1:8" x14ac:dyDescent="0.35">
      <c r="A5675" s="2">
        <v>43192</v>
      </c>
      <c r="B5675" s="70" t="s">
        <v>29</v>
      </c>
      <c r="C5675" s="10">
        <v>76</v>
      </c>
      <c r="D5675">
        <v>403</v>
      </c>
      <c r="E5675" s="10" t="s">
        <v>33</v>
      </c>
      <c r="F5675" s="10" t="s">
        <v>476</v>
      </c>
      <c r="G5675" t="s">
        <v>651</v>
      </c>
    </row>
    <row r="5676" spans="1:8" x14ac:dyDescent="0.35">
      <c r="A5676" s="2">
        <v>43192</v>
      </c>
      <c r="B5676" s="70" t="s">
        <v>29</v>
      </c>
      <c r="C5676" s="10">
        <v>71</v>
      </c>
      <c r="D5676">
        <v>297</v>
      </c>
      <c r="E5676" s="10" t="s">
        <v>34</v>
      </c>
      <c r="F5676" s="10" t="s">
        <v>476</v>
      </c>
      <c r="G5676" t="s">
        <v>651</v>
      </c>
    </row>
    <row r="5677" spans="1:8" x14ac:dyDescent="0.35">
      <c r="A5677" s="2">
        <v>43192</v>
      </c>
      <c r="B5677" s="70" t="s">
        <v>29</v>
      </c>
      <c r="C5677" s="10">
        <v>68</v>
      </c>
      <c r="D5677">
        <v>248</v>
      </c>
      <c r="E5677" s="10" t="s">
        <v>40</v>
      </c>
      <c r="F5677" s="10" t="s">
        <v>476</v>
      </c>
      <c r="G5677" t="s">
        <v>651</v>
      </c>
    </row>
    <row r="5678" spans="1:8" x14ac:dyDescent="0.35">
      <c r="A5678" s="2">
        <v>43192</v>
      </c>
      <c r="B5678" s="70" t="s">
        <v>29</v>
      </c>
      <c r="C5678" s="10">
        <v>65</v>
      </c>
      <c r="D5678">
        <v>246</v>
      </c>
      <c r="E5678" s="10" t="s">
        <v>33</v>
      </c>
      <c r="F5678" s="10" t="s">
        <v>476</v>
      </c>
      <c r="G5678" t="s">
        <v>651</v>
      </c>
    </row>
    <row r="5679" spans="1:8" x14ac:dyDescent="0.35">
      <c r="A5679" s="2">
        <v>43192</v>
      </c>
      <c r="B5679" s="70" t="s">
        <v>29</v>
      </c>
      <c r="C5679" s="10">
        <v>72</v>
      </c>
      <c r="D5679">
        <v>405</v>
      </c>
      <c r="E5679" s="10" t="s">
        <v>40</v>
      </c>
      <c r="F5679" s="10" t="s">
        <v>476</v>
      </c>
      <c r="G5679" t="s">
        <v>651</v>
      </c>
    </row>
    <row r="5680" spans="1:8" x14ac:dyDescent="0.35">
      <c r="A5680" s="2">
        <v>43192</v>
      </c>
      <c r="B5680" s="70" t="s">
        <v>29</v>
      </c>
      <c r="C5680" s="10">
        <v>69</v>
      </c>
      <c r="D5680">
        <v>307</v>
      </c>
      <c r="E5680" s="10" t="s">
        <v>40</v>
      </c>
      <c r="F5680" s="10" t="s">
        <v>476</v>
      </c>
      <c r="G5680" t="s">
        <v>651</v>
      </c>
    </row>
    <row r="5681" spans="1:8" x14ac:dyDescent="0.35">
      <c r="A5681" s="2">
        <v>43192</v>
      </c>
      <c r="B5681" s="70" t="s">
        <v>29</v>
      </c>
      <c r="C5681" s="10">
        <v>71</v>
      </c>
      <c r="D5681">
        <v>280</v>
      </c>
      <c r="E5681" s="10" t="s">
        <v>34</v>
      </c>
      <c r="F5681" s="10" t="s">
        <v>476</v>
      </c>
      <c r="G5681" t="s">
        <v>651</v>
      </c>
    </row>
    <row r="5682" spans="1:8" x14ac:dyDescent="0.35">
      <c r="A5682" s="2">
        <v>43192</v>
      </c>
      <c r="B5682" s="70" t="s">
        <v>29</v>
      </c>
      <c r="C5682" s="10">
        <v>70</v>
      </c>
      <c r="D5682">
        <v>307</v>
      </c>
      <c r="E5682" s="10" t="s">
        <v>33</v>
      </c>
      <c r="F5682" s="10" t="s">
        <v>476</v>
      </c>
      <c r="G5682" t="s">
        <v>651</v>
      </c>
    </row>
    <row r="5683" spans="1:8" x14ac:dyDescent="0.35">
      <c r="A5683" s="2">
        <v>43192</v>
      </c>
      <c r="B5683" s="70" t="s">
        <v>29</v>
      </c>
      <c r="C5683" s="10">
        <v>69</v>
      </c>
      <c r="D5683">
        <v>272</v>
      </c>
      <c r="E5683" s="10" t="s">
        <v>32</v>
      </c>
      <c r="F5683" s="10" t="s">
        <v>476</v>
      </c>
      <c r="G5683" t="s">
        <v>651</v>
      </c>
    </row>
    <row r="5684" spans="1:8" x14ac:dyDescent="0.35">
      <c r="A5684" s="2">
        <v>43192</v>
      </c>
      <c r="B5684" s="70" t="s">
        <v>29</v>
      </c>
      <c r="C5684" s="10">
        <v>71</v>
      </c>
      <c r="D5684">
        <v>255</v>
      </c>
      <c r="E5684" s="10" t="s">
        <v>33</v>
      </c>
      <c r="F5684" s="10" t="s">
        <v>646</v>
      </c>
    </row>
    <row r="5685" spans="1:8" x14ac:dyDescent="0.35">
      <c r="A5685" s="2">
        <v>43192</v>
      </c>
      <c r="B5685" s="70" t="s">
        <v>29</v>
      </c>
      <c r="C5685" s="10">
        <v>71</v>
      </c>
      <c r="D5685">
        <v>303</v>
      </c>
      <c r="E5685" s="10" t="s">
        <v>34</v>
      </c>
      <c r="F5685" s="10" t="s">
        <v>646</v>
      </c>
      <c r="G5685" t="s">
        <v>651</v>
      </c>
    </row>
    <row r="5686" spans="1:8" x14ac:dyDescent="0.35">
      <c r="A5686" s="2">
        <v>43192</v>
      </c>
      <c r="B5686" s="70" t="s">
        <v>29</v>
      </c>
      <c r="C5686" s="10">
        <v>71</v>
      </c>
      <c r="D5686">
        <v>245</v>
      </c>
      <c r="E5686" s="10" t="s">
        <v>32</v>
      </c>
      <c r="F5686" s="10" t="s">
        <v>476</v>
      </c>
      <c r="G5686" t="s">
        <v>651</v>
      </c>
    </row>
    <row r="5687" spans="1:8" x14ac:dyDescent="0.35">
      <c r="A5687" s="2">
        <v>43192</v>
      </c>
      <c r="B5687" s="70" t="s">
        <v>29</v>
      </c>
      <c r="C5687" s="10">
        <v>67</v>
      </c>
      <c r="D5687">
        <v>264</v>
      </c>
      <c r="E5687" s="10" t="s">
        <v>33</v>
      </c>
      <c r="F5687" s="10" t="s">
        <v>293</v>
      </c>
      <c r="G5687" t="s">
        <v>651</v>
      </c>
      <c r="H5687" t="s">
        <v>663</v>
      </c>
    </row>
    <row r="5688" spans="1:8" x14ac:dyDescent="0.35">
      <c r="A5688" s="2">
        <v>43192</v>
      </c>
      <c r="B5688" s="70" t="s">
        <v>29</v>
      </c>
      <c r="C5688" s="10">
        <v>71</v>
      </c>
      <c r="D5688">
        <v>320</v>
      </c>
      <c r="E5688" s="10" t="s">
        <v>33</v>
      </c>
      <c r="F5688" s="10" t="s">
        <v>646</v>
      </c>
      <c r="G5688" t="s">
        <v>651</v>
      </c>
    </row>
    <row r="5689" spans="1:8" x14ac:dyDescent="0.35">
      <c r="A5689" s="2">
        <v>43192</v>
      </c>
      <c r="B5689" s="70" t="s">
        <v>29</v>
      </c>
      <c r="C5689" s="10">
        <v>67</v>
      </c>
      <c r="D5689">
        <v>230</v>
      </c>
      <c r="E5689" s="10" t="s">
        <v>39</v>
      </c>
      <c r="F5689" s="10" t="s">
        <v>293</v>
      </c>
    </row>
    <row r="5690" spans="1:8" x14ac:dyDescent="0.35">
      <c r="A5690" s="2">
        <v>43192</v>
      </c>
      <c r="B5690" s="70" t="s">
        <v>29</v>
      </c>
      <c r="C5690" s="10">
        <v>73</v>
      </c>
      <c r="D5690">
        <v>387</v>
      </c>
      <c r="E5690" s="10" t="s">
        <v>33</v>
      </c>
      <c r="F5690" s="10" t="s">
        <v>646</v>
      </c>
      <c r="G5690" t="s">
        <v>651</v>
      </c>
    </row>
    <row r="5691" spans="1:8" x14ac:dyDescent="0.35">
      <c r="A5691" s="2">
        <v>43192</v>
      </c>
      <c r="B5691" s="70" t="s">
        <v>29</v>
      </c>
      <c r="C5691" s="10">
        <v>72</v>
      </c>
      <c r="D5691">
        <v>274</v>
      </c>
      <c r="E5691" s="10" t="s">
        <v>40</v>
      </c>
      <c r="F5691" s="10" t="s">
        <v>476</v>
      </c>
      <c r="G5691" t="s">
        <v>651</v>
      </c>
    </row>
    <row r="5692" spans="1:8" x14ac:dyDescent="0.35">
      <c r="A5692" s="2">
        <v>43192</v>
      </c>
      <c r="B5692" s="70" t="s">
        <v>29</v>
      </c>
      <c r="C5692" s="10">
        <v>75</v>
      </c>
      <c r="D5692">
        <v>309</v>
      </c>
      <c r="E5692" s="10" t="s">
        <v>40</v>
      </c>
      <c r="F5692" s="10" t="s">
        <v>476</v>
      </c>
      <c r="G5692" t="s">
        <v>651</v>
      </c>
    </row>
    <row r="5693" spans="1:8" x14ac:dyDescent="0.35">
      <c r="A5693" s="2">
        <v>43192</v>
      </c>
      <c r="B5693" s="70" t="s">
        <v>29</v>
      </c>
      <c r="C5693" s="10">
        <v>66</v>
      </c>
      <c r="D5693">
        <v>181</v>
      </c>
      <c r="E5693" s="10" t="s">
        <v>32</v>
      </c>
      <c r="F5693" s="10" t="s">
        <v>646</v>
      </c>
      <c r="G5693" t="s">
        <v>651</v>
      </c>
    </row>
    <row r="5694" spans="1:8" x14ac:dyDescent="0.35">
      <c r="A5694" s="2">
        <v>43192</v>
      </c>
      <c r="B5694" s="70" t="s">
        <v>29</v>
      </c>
      <c r="C5694" s="10">
        <v>70</v>
      </c>
      <c r="D5694">
        <v>274</v>
      </c>
      <c r="E5694" s="10" t="s">
        <v>33</v>
      </c>
      <c r="F5694" s="10" t="s">
        <v>476</v>
      </c>
      <c r="G5694" t="s">
        <v>651</v>
      </c>
    </row>
    <row r="5695" spans="1:8" x14ac:dyDescent="0.35">
      <c r="A5695" s="2">
        <v>43192</v>
      </c>
      <c r="B5695" s="70" t="s">
        <v>29</v>
      </c>
      <c r="C5695" s="10">
        <v>72</v>
      </c>
      <c r="D5695">
        <v>324</v>
      </c>
      <c r="E5695" s="10" t="s">
        <v>32</v>
      </c>
      <c r="F5695" s="10" t="s">
        <v>476</v>
      </c>
      <c r="G5695" t="s">
        <v>651</v>
      </c>
    </row>
    <row r="5696" spans="1:8" x14ac:dyDescent="0.35">
      <c r="A5696" s="2">
        <v>43192</v>
      </c>
      <c r="B5696" s="70" t="s">
        <v>29</v>
      </c>
      <c r="C5696" s="10">
        <v>79</v>
      </c>
      <c r="D5696">
        <v>410</v>
      </c>
      <c r="E5696" s="10" t="s">
        <v>33</v>
      </c>
      <c r="F5696" s="10" t="s">
        <v>476</v>
      </c>
      <c r="G5696" t="s">
        <v>651</v>
      </c>
    </row>
    <row r="5697" spans="1:24" x14ac:dyDescent="0.35">
      <c r="A5697" s="2">
        <v>43192</v>
      </c>
      <c r="B5697" s="70" t="s">
        <v>29</v>
      </c>
      <c r="C5697" s="10">
        <v>70</v>
      </c>
      <c r="D5697">
        <v>310</v>
      </c>
      <c r="E5697" s="10" t="s">
        <v>34</v>
      </c>
      <c r="F5697" s="10" t="s">
        <v>476</v>
      </c>
      <c r="G5697" t="s">
        <v>651</v>
      </c>
      <c r="H5697" t="s">
        <v>663</v>
      </c>
    </row>
    <row r="5698" spans="1:24" x14ac:dyDescent="0.35">
      <c r="A5698" s="2">
        <v>43192</v>
      </c>
      <c r="B5698" s="70" t="s">
        <v>29</v>
      </c>
      <c r="C5698" s="10">
        <v>75</v>
      </c>
      <c r="D5698">
        <v>386</v>
      </c>
      <c r="E5698" s="10" t="s">
        <v>34</v>
      </c>
      <c r="F5698" s="10" t="s">
        <v>476</v>
      </c>
      <c r="G5698" t="s">
        <v>651</v>
      </c>
    </row>
    <row r="5699" spans="1:24" x14ac:dyDescent="0.35">
      <c r="A5699" s="2">
        <v>43192</v>
      </c>
      <c r="B5699" s="70" t="s">
        <v>29</v>
      </c>
      <c r="C5699" s="10">
        <v>71</v>
      </c>
      <c r="D5699">
        <v>256</v>
      </c>
      <c r="E5699" s="10" t="s">
        <v>33</v>
      </c>
      <c r="F5699" s="10" t="s">
        <v>646</v>
      </c>
      <c r="G5699" t="s">
        <v>651</v>
      </c>
    </row>
    <row r="5700" spans="1:24" x14ac:dyDescent="0.35">
      <c r="A5700" s="2">
        <v>43192</v>
      </c>
      <c r="B5700" s="70" t="s">
        <v>29</v>
      </c>
      <c r="C5700" s="10">
        <v>64</v>
      </c>
      <c r="D5700">
        <v>226</v>
      </c>
      <c r="E5700" s="10" t="s">
        <v>34</v>
      </c>
      <c r="F5700" s="10" t="s">
        <v>476</v>
      </c>
      <c r="G5700" t="s">
        <v>651</v>
      </c>
    </row>
    <row r="5701" spans="1:24" x14ac:dyDescent="0.35">
      <c r="A5701" s="2">
        <v>43192</v>
      </c>
      <c r="B5701" s="70" t="s">
        <v>29</v>
      </c>
      <c r="C5701" s="10">
        <v>72</v>
      </c>
      <c r="D5701">
        <v>290</v>
      </c>
      <c r="E5701" s="10" t="s">
        <v>33</v>
      </c>
      <c r="F5701" s="10" t="s">
        <v>646</v>
      </c>
    </row>
    <row r="5702" spans="1:24" x14ac:dyDescent="0.35">
      <c r="A5702" s="2">
        <v>43192</v>
      </c>
      <c r="B5702" s="70" t="s">
        <v>29</v>
      </c>
      <c r="C5702" s="10">
        <v>71</v>
      </c>
      <c r="D5702">
        <v>300</v>
      </c>
      <c r="E5702" s="10" t="s">
        <v>34</v>
      </c>
      <c r="F5702" s="10" t="s">
        <v>476</v>
      </c>
      <c r="G5702" t="s">
        <v>651</v>
      </c>
    </row>
    <row r="5703" spans="1:24" x14ac:dyDescent="0.35">
      <c r="A5703" s="2">
        <v>43192</v>
      </c>
      <c r="B5703" s="70" t="s">
        <v>29</v>
      </c>
      <c r="C5703" s="10">
        <v>70</v>
      </c>
      <c r="D5703">
        <v>261</v>
      </c>
      <c r="E5703" s="10" t="s">
        <v>33</v>
      </c>
      <c r="F5703" s="10" t="s">
        <v>476</v>
      </c>
      <c r="G5703" t="s">
        <v>651</v>
      </c>
    </row>
    <row r="5704" spans="1:24" x14ac:dyDescent="0.35">
      <c r="A5704" s="2">
        <v>43192</v>
      </c>
      <c r="B5704" s="70" t="s">
        <v>29</v>
      </c>
      <c r="C5704" s="10">
        <v>66</v>
      </c>
      <c r="D5704">
        <v>184</v>
      </c>
      <c r="E5704" s="10" t="s">
        <v>36</v>
      </c>
      <c r="F5704" s="10" t="s">
        <v>646</v>
      </c>
      <c r="G5704" t="s">
        <v>651</v>
      </c>
      <c r="H5704" t="s">
        <v>663</v>
      </c>
    </row>
    <row r="5705" spans="1:24" x14ac:dyDescent="0.35">
      <c r="A5705" s="2">
        <v>43192</v>
      </c>
      <c r="B5705" s="70" t="s">
        <v>29</v>
      </c>
      <c r="C5705" s="10">
        <v>75</v>
      </c>
      <c r="D5705">
        <v>298</v>
      </c>
      <c r="E5705" s="10" t="s">
        <v>33</v>
      </c>
      <c r="F5705" s="10" t="s">
        <v>646</v>
      </c>
      <c r="G5705" t="s">
        <v>651</v>
      </c>
    </row>
    <row r="5706" spans="1:24" x14ac:dyDescent="0.35">
      <c r="A5706" s="2">
        <v>43192</v>
      </c>
      <c r="B5706" s="70" t="s">
        <v>29</v>
      </c>
      <c r="C5706" s="10">
        <v>61</v>
      </c>
      <c r="D5706">
        <v>196</v>
      </c>
      <c r="E5706" s="10" t="s">
        <v>33</v>
      </c>
      <c r="F5706" s="10" t="s">
        <v>476</v>
      </c>
      <c r="N5706" t="s">
        <v>42</v>
      </c>
      <c r="O5706" t="s">
        <v>39</v>
      </c>
      <c r="P5706" t="s">
        <v>40</v>
      </c>
      <c r="Q5706" t="s">
        <v>36</v>
      </c>
      <c r="R5706" t="s">
        <v>33</v>
      </c>
      <c r="S5706" t="s">
        <v>34</v>
      </c>
      <c r="T5706" t="s">
        <v>32</v>
      </c>
      <c r="U5706" t="s">
        <v>37</v>
      </c>
    </row>
    <row r="5707" spans="1:24" x14ac:dyDescent="0.35">
      <c r="A5707" s="2">
        <v>43192</v>
      </c>
      <c r="B5707" s="70" t="s">
        <v>29</v>
      </c>
      <c r="C5707" s="10">
        <v>71</v>
      </c>
      <c r="D5707">
        <v>267</v>
      </c>
      <c r="E5707" s="10" t="s">
        <v>33</v>
      </c>
      <c r="F5707" s="10" t="s">
        <v>476</v>
      </c>
      <c r="G5707" t="s">
        <v>651</v>
      </c>
      <c r="N5707" s="5">
        <f>COUNTIF(E5649:E5708,"VA")</f>
        <v>0</v>
      </c>
      <c r="O5707" s="5">
        <f>COUNTIF(E5649:E5708,"VB")</f>
        <v>1</v>
      </c>
      <c r="P5707" s="5">
        <f>COUNTIF(E5649:E5708,"VIA0")</f>
        <v>8</v>
      </c>
      <c r="Q5707" s="5">
        <f>COUNTIF(E5649:E5708,"VIA1")</f>
        <v>1</v>
      </c>
      <c r="R5707" s="5">
        <f>COUNTIF(E5649:E5708,"VIA2")</f>
        <v>27</v>
      </c>
      <c r="S5707" s="5">
        <f>COUNTIF(E5649:E5708,"VIA3")</f>
        <v>18</v>
      </c>
      <c r="T5707" s="5">
        <f>COUNTIF(E5649:E5708,"VIA4")</f>
        <v>5</v>
      </c>
      <c r="U5707" s="5">
        <f>COUNTIF(E5649:E5708,"VIB")</f>
        <v>0</v>
      </c>
      <c r="W5707">
        <f>AVERAGE(C5649:C5708)</f>
        <v>70.283333333333331</v>
      </c>
      <c r="X5707">
        <f>AVERAGE(D5649:D5708)</f>
        <v>284.16949152542372</v>
      </c>
    </row>
    <row r="5708" spans="1:24" s="4" customFormat="1" x14ac:dyDescent="0.35">
      <c r="A5708" s="3">
        <v>43192</v>
      </c>
      <c r="B5708" s="44" t="s">
        <v>29</v>
      </c>
      <c r="C5708" s="11">
        <v>74</v>
      </c>
      <c r="D5708" s="4">
        <v>286</v>
      </c>
      <c r="E5708" s="11" t="s">
        <v>33</v>
      </c>
      <c r="F5708" s="11" t="s">
        <v>476</v>
      </c>
      <c r="G5708" s="4" t="s">
        <v>651</v>
      </c>
      <c r="N5708" s="6">
        <f>N5707/60*100</f>
        <v>0</v>
      </c>
      <c r="O5708" s="6">
        <f t="shared" ref="O5708" si="163">O5707/60*100</f>
        <v>1.6666666666666667</v>
      </c>
      <c r="P5708" s="6">
        <f t="shared" ref="P5708" si="164">P5707/60*100</f>
        <v>13.333333333333334</v>
      </c>
      <c r="Q5708" s="6">
        <f t="shared" ref="Q5708" si="165">Q5707/60*100</f>
        <v>1.6666666666666667</v>
      </c>
      <c r="R5708" s="6">
        <f t="shared" ref="R5708" si="166">R5707/60*100</f>
        <v>45</v>
      </c>
      <c r="S5708" s="6">
        <f t="shared" ref="S5708" si="167">S5707/60*100</f>
        <v>30</v>
      </c>
      <c r="T5708" s="6">
        <f t="shared" ref="T5708" si="168">T5707/60*100</f>
        <v>8.3333333333333321</v>
      </c>
      <c r="U5708" s="6">
        <f t="shared" ref="U5708" si="169">U5707/60*100</f>
        <v>0</v>
      </c>
    </row>
    <row r="5709" spans="1:24" x14ac:dyDescent="0.35">
      <c r="A5709" s="2">
        <v>43193</v>
      </c>
      <c r="B5709" s="70" t="s">
        <v>667</v>
      </c>
      <c r="C5709" s="10">
        <v>72</v>
      </c>
      <c r="D5709" s="10">
        <v>294</v>
      </c>
      <c r="E5709" s="10" t="s">
        <v>33</v>
      </c>
      <c r="F5709" s="10" t="s">
        <v>293</v>
      </c>
      <c r="N5709">
        <f>COUNTIF(F5709:F5761,"F++")</f>
        <v>0</v>
      </c>
    </row>
    <row r="5710" spans="1:24" x14ac:dyDescent="0.35">
      <c r="A5710" s="2">
        <v>43193</v>
      </c>
      <c r="B5710" s="70" t="s">
        <v>667</v>
      </c>
      <c r="C5710" s="10">
        <v>71</v>
      </c>
      <c r="D5710" s="10">
        <v>344</v>
      </c>
      <c r="E5710" s="10" t="s">
        <v>33</v>
      </c>
      <c r="F5710" s="10" t="s">
        <v>476</v>
      </c>
      <c r="G5710" t="s">
        <v>651</v>
      </c>
    </row>
    <row r="5711" spans="1:24" x14ac:dyDescent="0.35">
      <c r="A5711" s="2">
        <v>43193</v>
      </c>
      <c r="B5711" s="70" t="s">
        <v>667</v>
      </c>
      <c r="C5711" s="10">
        <v>62</v>
      </c>
      <c r="D5711" s="10">
        <v>195</v>
      </c>
      <c r="E5711" s="10" t="s">
        <v>33</v>
      </c>
      <c r="F5711" s="10" t="s">
        <v>293</v>
      </c>
      <c r="G5711" t="s">
        <v>651</v>
      </c>
    </row>
    <row r="5712" spans="1:24" x14ac:dyDescent="0.35">
      <c r="A5712" s="2">
        <v>43193</v>
      </c>
      <c r="B5712" s="70" t="s">
        <v>667</v>
      </c>
      <c r="C5712" s="10">
        <v>71</v>
      </c>
      <c r="D5712" s="10">
        <v>349</v>
      </c>
      <c r="E5712" s="10" t="s">
        <v>40</v>
      </c>
      <c r="F5712" s="10" t="s">
        <v>646</v>
      </c>
      <c r="G5712" t="s">
        <v>651</v>
      </c>
    </row>
    <row r="5713" spans="1:14" x14ac:dyDescent="0.35">
      <c r="A5713" s="2">
        <v>43193</v>
      </c>
      <c r="B5713" s="70" t="s">
        <v>667</v>
      </c>
      <c r="C5713" s="10">
        <v>73</v>
      </c>
      <c r="D5713" s="10">
        <v>377</v>
      </c>
      <c r="E5713" s="10" t="s">
        <v>39</v>
      </c>
      <c r="F5713" s="10" t="s">
        <v>476</v>
      </c>
      <c r="G5713" t="s">
        <v>651</v>
      </c>
    </row>
    <row r="5714" spans="1:14" x14ac:dyDescent="0.35">
      <c r="A5714" s="2">
        <v>43193</v>
      </c>
      <c r="B5714" s="70" t="s">
        <v>667</v>
      </c>
      <c r="C5714" s="10">
        <v>69</v>
      </c>
      <c r="D5714" s="10">
        <v>249</v>
      </c>
      <c r="E5714" s="10" t="s">
        <v>39</v>
      </c>
      <c r="F5714" s="10" t="s">
        <v>646</v>
      </c>
    </row>
    <row r="5715" spans="1:14" x14ac:dyDescent="0.35">
      <c r="A5715" s="2">
        <v>43193</v>
      </c>
      <c r="B5715" s="70" t="s">
        <v>667</v>
      </c>
      <c r="C5715" s="10">
        <v>65</v>
      </c>
      <c r="D5715" s="10">
        <v>242</v>
      </c>
      <c r="E5715" s="10" t="s">
        <v>39</v>
      </c>
      <c r="F5715" s="10" t="s">
        <v>646</v>
      </c>
    </row>
    <row r="5716" spans="1:14" x14ac:dyDescent="0.35">
      <c r="A5716" s="2">
        <v>43193</v>
      </c>
      <c r="B5716" s="70" t="s">
        <v>667</v>
      </c>
      <c r="C5716" s="10">
        <v>72</v>
      </c>
      <c r="D5716" s="10">
        <v>315</v>
      </c>
      <c r="E5716" s="10" t="s">
        <v>40</v>
      </c>
      <c r="F5716" s="10" t="s">
        <v>646</v>
      </c>
      <c r="G5716" t="s">
        <v>651</v>
      </c>
    </row>
    <row r="5717" spans="1:14" x14ac:dyDescent="0.35">
      <c r="A5717" s="2">
        <v>43193</v>
      </c>
      <c r="B5717" s="70" t="s">
        <v>667</v>
      </c>
      <c r="C5717" s="10">
        <v>67</v>
      </c>
      <c r="D5717" s="10">
        <v>286</v>
      </c>
      <c r="E5717" s="10" t="s">
        <v>39</v>
      </c>
      <c r="F5717" s="10" t="s">
        <v>646</v>
      </c>
    </row>
    <row r="5718" spans="1:14" x14ac:dyDescent="0.35">
      <c r="A5718" s="2">
        <v>43193</v>
      </c>
      <c r="B5718" s="70" t="s">
        <v>667</v>
      </c>
      <c r="C5718" s="10">
        <v>72</v>
      </c>
      <c r="D5718" s="10">
        <v>297</v>
      </c>
      <c r="E5718" s="10" t="s">
        <v>40</v>
      </c>
      <c r="F5718" s="10" t="s">
        <v>293</v>
      </c>
    </row>
    <row r="5719" spans="1:14" x14ac:dyDescent="0.35">
      <c r="A5719" s="2">
        <v>43193</v>
      </c>
      <c r="B5719" s="70" t="s">
        <v>667</v>
      </c>
      <c r="C5719" s="10">
        <v>70</v>
      </c>
      <c r="D5719" s="10">
        <v>296</v>
      </c>
      <c r="E5719" s="10" t="s">
        <v>40</v>
      </c>
      <c r="F5719" s="10" t="s">
        <v>293</v>
      </c>
      <c r="G5719" t="s">
        <v>651</v>
      </c>
    </row>
    <row r="5720" spans="1:14" x14ac:dyDescent="0.35">
      <c r="A5720" s="2">
        <v>43193</v>
      </c>
      <c r="B5720" s="70" t="s">
        <v>667</v>
      </c>
      <c r="C5720" s="10">
        <v>73</v>
      </c>
      <c r="D5720" s="10">
        <v>219</v>
      </c>
      <c r="E5720" s="10" t="s">
        <v>33</v>
      </c>
      <c r="F5720" s="10" t="s">
        <v>476</v>
      </c>
      <c r="G5720" t="s">
        <v>670</v>
      </c>
    </row>
    <row r="5721" spans="1:14" x14ac:dyDescent="0.35">
      <c r="A5721" s="2">
        <v>43193</v>
      </c>
      <c r="B5721" s="70" t="s">
        <v>667</v>
      </c>
      <c r="C5721" s="10">
        <v>72</v>
      </c>
      <c r="D5721" s="10">
        <v>349</v>
      </c>
      <c r="E5721" s="10" t="s">
        <v>40</v>
      </c>
      <c r="F5721" s="10" t="s">
        <v>646</v>
      </c>
      <c r="G5721" t="s">
        <v>651</v>
      </c>
    </row>
    <row r="5722" spans="1:14" x14ac:dyDescent="0.35">
      <c r="A5722" s="2">
        <v>43193</v>
      </c>
      <c r="B5722" s="70" t="s">
        <v>667</v>
      </c>
      <c r="C5722" s="10">
        <v>66</v>
      </c>
      <c r="D5722" s="10">
        <v>194</v>
      </c>
      <c r="E5722" s="10" t="s">
        <v>34</v>
      </c>
      <c r="F5722" s="10" t="s">
        <v>646</v>
      </c>
    </row>
    <row r="5723" spans="1:14" x14ac:dyDescent="0.35">
      <c r="A5723" s="2">
        <v>43193</v>
      </c>
      <c r="B5723" s="70" t="s">
        <v>667</v>
      </c>
      <c r="C5723" s="10">
        <v>65</v>
      </c>
      <c r="D5723" s="10">
        <v>205</v>
      </c>
      <c r="E5723" s="10" t="s">
        <v>34</v>
      </c>
      <c r="F5723" s="10" t="s">
        <v>293</v>
      </c>
      <c r="G5723" t="s">
        <v>651</v>
      </c>
    </row>
    <row r="5724" spans="1:14" x14ac:dyDescent="0.35">
      <c r="A5724" s="2">
        <v>43193</v>
      </c>
      <c r="B5724" s="70" t="s">
        <v>667</v>
      </c>
      <c r="C5724" s="10">
        <v>71</v>
      </c>
      <c r="D5724" s="10">
        <v>309</v>
      </c>
      <c r="E5724" s="10" t="s">
        <v>39</v>
      </c>
      <c r="F5724" s="10" t="s">
        <v>646</v>
      </c>
    </row>
    <row r="5725" spans="1:14" x14ac:dyDescent="0.35">
      <c r="A5725" s="2">
        <v>43193</v>
      </c>
      <c r="B5725" s="70" t="s">
        <v>667</v>
      </c>
      <c r="C5725" s="10">
        <v>75</v>
      </c>
      <c r="D5725" s="10">
        <v>334</v>
      </c>
      <c r="E5725" s="10" t="s">
        <v>33</v>
      </c>
      <c r="F5725" s="10" t="s">
        <v>646</v>
      </c>
      <c r="G5725" t="s">
        <v>651</v>
      </c>
    </row>
    <row r="5726" spans="1:14" x14ac:dyDescent="0.35">
      <c r="A5726" s="2">
        <v>43193</v>
      </c>
      <c r="B5726" s="70" t="s">
        <v>667</v>
      </c>
      <c r="C5726" s="10">
        <v>69</v>
      </c>
      <c r="D5726" s="10">
        <v>276</v>
      </c>
      <c r="E5726" s="10" t="s">
        <v>32</v>
      </c>
      <c r="F5726" s="10" t="s">
        <v>360</v>
      </c>
      <c r="G5726" t="s">
        <v>651</v>
      </c>
      <c r="K5726" t="s">
        <v>669</v>
      </c>
      <c r="N5726" t="s">
        <v>498</v>
      </c>
    </row>
    <row r="5727" spans="1:14" x14ac:dyDescent="0.35">
      <c r="A5727" s="2">
        <v>43193</v>
      </c>
      <c r="B5727" s="70" t="s">
        <v>667</v>
      </c>
      <c r="C5727" s="10">
        <v>70</v>
      </c>
      <c r="D5727" s="10">
        <v>270</v>
      </c>
      <c r="E5727" s="10" t="s">
        <v>34</v>
      </c>
      <c r="F5727" s="10" t="s">
        <v>646</v>
      </c>
      <c r="G5727" t="s">
        <v>651</v>
      </c>
    </row>
    <row r="5728" spans="1:14" x14ac:dyDescent="0.35">
      <c r="A5728" s="2">
        <v>43193</v>
      </c>
      <c r="B5728" s="70" t="s">
        <v>667</v>
      </c>
      <c r="C5728" s="10">
        <v>70</v>
      </c>
      <c r="D5728" s="10">
        <v>343</v>
      </c>
      <c r="E5728" s="10" t="s">
        <v>36</v>
      </c>
      <c r="F5728" s="10" t="s">
        <v>646</v>
      </c>
      <c r="G5728" t="s">
        <v>651</v>
      </c>
    </row>
    <row r="5729" spans="1:7" x14ac:dyDescent="0.35">
      <c r="A5729" s="2">
        <v>43193</v>
      </c>
      <c r="B5729" s="70" t="s">
        <v>667</v>
      </c>
      <c r="C5729" s="10">
        <v>71</v>
      </c>
      <c r="D5729" s="10">
        <v>340</v>
      </c>
      <c r="E5729" s="10" t="s">
        <v>33</v>
      </c>
      <c r="F5729" s="10" t="s">
        <v>646</v>
      </c>
      <c r="G5729" t="s">
        <v>651</v>
      </c>
    </row>
    <row r="5730" spans="1:7" x14ac:dyDescent="0.35">
      <c r="A5730" s="2">
        <v>43193</v>
      </c>
      <c r="B5730" s="70" t="s">
        <v>667</v>
      </c>
      <c r="C5730" s="10">
        <v>75</v>
      </c>
      <c r="D5730" s="10">
        <v>328</v>
      </c>
      <c r="E5730" s="10" t="s">
        <v>39</v>
      </c>
      <c r="F5730" s="10" t="s">
        <v>646</v>
      </c>
      <c r="G5730" t="s">
        <v>651</v>
      </c>
    </row>
    <row r="5731" spans="1:7" x14ac:dyDescent="0.35">
      <c r="A5731" s="2">
        <v>43193</v>
      </c>
      <c r="B5731" s="70" t="s">
        <v>667</v>
      </c>
      <c r="C5731" s="10">
        <v>67</v>
      </c>
      <c r="D5731" s="10">
        <v>303</v>
      </c>
      <c r="E5731" s="10" t="s">
        <v>40</v>
      </c>
      <c r="F5731" s="10" t="s">
        <v>476</v>
      </c>
    </row>
    <row r="5732" spans="1:7" x14ac:dyDescent="0.35">
      <c r="A5732" s="2">
        <v>43193</v>
      </c>
      <c r="B5732" s="70" t="s">
        <v>667</v>
      </c>
      <c r="C5732" s="10">
        <v>69</v>
      </c>
      <c r="D5732" s="10">
        <v>323</v>
      </c>
      <c r="E5732" s="10" t="s">
        <v>40</v>
      </c>
      <c r="F5732" s="10" t="s">
        <v>646</v>
      </c>
      <c r="G5732" t="s">
        <v>651</v>
      </c>
    </row>
    <row r="5733" spans="1:7" x14ac:dyDescent="0.35">
      <c r="A5733" s="2">
        <v>43193</v>
      </c>
      <c r="B5733" s="70" t="s">
        <v>667</v>
      </c>
      <c r="C5733" s="10">
        <v>69</v>
      </c>
      <c r="D5733" s="10">
        <v>271</v>
      </c>
      <c r="E5733" s="10" t="s">
        <v>33</v>
      </c>
      <c r="F5733" s="10" t="s">
        <v>476</v>
      </c>
      <c r="G5733" t="s">
        <v>651</v>
      </c>
    </row>
    <row r="5734" spans="1:7" x14ac:dyDescent="0.35">
      <c r="A5734" s="2">
        <v>43193</v>
      </c>
      <c r="B5734" s="70" t="s">
        <v>667</v>
      </c>
      <c r="C5734" s="10">
        <v>70</v>
      </c>
      <c r="D5734" s="10">
        <v>348</v>
      </c>
      <c r="E5734" s="10" t="s">
        <v>34</v>
      </c>
      <c r="F5734" s="10" t="s">
        <v>293</v>
      </c>
      <c r="G5734" t="s">
        <v>651</v>
      </c>
    </row>
    <row r="5735" spans="1:7" x14ac:dyDescent="0.35">
      <c r="A5735" s="2">
        <v>43193</v>
      </c>
      <c r="B5735" s="70" t="s">
        <v>667</v>
      </c>
      <c r="C5735" s="10">
        <v>64</v>
      </c>
      <c r="D5735" s="10">
        <v>254</v>
      </c>
      <c r="E5735" s="10" t="s">
        <v>39</v>
      </c>
      <c r="F5735" s="10" t="s">
        <v>476</v>
      </c>
    </row>
    <row r="5736" spans="1:7" x14ac:dyDescent="0.35">
      <c r="A5736" s="2">
        <v>43193</v>
      </c>
      <c r="B5736" s="70" t="s">
        <v>667</v>
      </c>
      <c r="C5736" s="10">
        <v>79</v>
      </c>
      <c r="D5736" s="10">
        <v>485</v>
      </c>
      <c r="E5736" s="10" t="s">
        <v>33</v>
      </c>
      <c r="F5736" s="10" t="s">
        <v>293</v>
      </c>
      <c r="G5736" t="s">
        <v>651</v>
      </c>
    </row>
    <row r="5737" spans="1:7" x14ac:dyDescent="0.35">
      <c r="A5737" s="2">
        <v>43193</v>
      </c>
      <c r="B5737" s="70" t="s">
        <v>667</v>
      </c>
      <c r="C5737" s="10">
        <v>70</v>
      </c>
      <c r="D5737" s="10">
        <v>263</v>
      </c>
      <c r="E5737" s="10" t="s">
        <v>39</v>
      </c>
      <c r="F5737" s="10" t="s">
        <v>646</v>
      </c>
    </row>
    <row r="5738" spans="1:7" x14ac:dyDescent="0.35">
      <c r="A5738" s="2">
        <v>43193</v>
      </c>
      <c r="B5738" s="70" t="s">
        <v>667</v>
      </c>
      <c r="C5738" s="10">
        <v>76</v>
      </c>
      <c r="D5738" s="10">
        <v>346</v>
      </c>
      <c r="E5738" s="10" t="s">
        <v>34</v>
      </c>
      <c r="F5738" s="10" t="s">
        <v>476</v>
      </c>
      <c r="G5738" t="s">
        <v>651</v>
      </c>
    </row>
    <row r="5739" spans="1:7" x14ac:dyDescent="0.35">
      <c r="A5739" s="2">
        <v>43193</v>
      </c>
      <c r="B5739" s="70" t="s">
        <v>667</v>
      </c>
      <c r="C5739" s="10">
        <v>68</v>
      </c>
      <c r="D5739" s="10">
        <v>286</v>
      </c>
      <c r="E5739" s="10" t="s">
        <v>33</v>
      </c>
      <c r="F5739" s="10" t="s">
        <v>646</v>
      </c>
      <c r="G5739" t="s">
        <v>651</v>
      </c>
    </row>
    <row r="5740" spans="1:7" x14ac:dyDescent="0.35">
      <c r="A5740" s="2">
        <v>43193</v>
      </c>
      <c r="B5740" s="70" t="s">
        <v>667</v>
      </c>
      <c r="C5740" s="10">
        <v>72</v>
      </c>
      <c r="D5740" s="10">
        <v>334</v>
      </c>
      <c r="E5740" s="10" t="s">
        <v>33</v>
      </c>
      <c r="F5740" s="10" t="s">
        <v>476</v>
      </c>
      <c r="G5740" t="s">
        <v>651</v>
      </c>
    </row>
    <row r="5741" spans="1:7" x14ac:dyDescent="0.35">
      <c r="A5741" s="2">
        <v>43193</v>
      </c>
      <c r="B5741" s="70" t="s">
        <v>667</v>
      </c>
      <c r="C5741" s="10">
        <v>70</v>
      </c>
      <c r="D5741" s="10">
        <v>305</v>
      </c>
      <c r="E5741" s="10" t="s">
        <v>34</v>
      </c>
      <c r="F5741" s="10" t="s">
        <v>646</v>
      </c>
    </row>
    <row r="5742" spans="1:7" x14ac:dyDescent="0.35">
      <c r="A5742" s="2">
        <v>43193</v>
      </c>
      <c r="B5742" s="70" t="s">
        <v>667</v>
      </c>
      <c r="C5742" s="10">
        <v>67</v>
      </c>
      <c r="D5742" s="10">
        <v>240</v>
      </c>
      <c r="E5742" s="10" t="s">
        <v>39</v>
      </c>
      <c r="F5742" s="10" t="s">
        <v>476</v>
      </c>
      <c r="G5742" t="s">
        <v>651</v>
      </c>
    </row>
    <row r="5743" spans="1:7" x14ac:dyDescent="0.35">
      <c r="A5743" s="2">
        <v>43193</v>
      </c>
      <c r="B5743" s="70" t="s">
        <v>667</v>
      </c>
      <c r="C5743" s="10">
        <v>73</v>
      </c>
      <c r="D5743" s="10">
        <v>434</v>
      </c>
      <c r="E5743" s="10" t="s">
        <v>33</v>
      </c>
      <c r="F5743" s="10" t="s">
        <v>646</v>
      </c>
      <c r="G5743" t="s">
        <v>651</v>
      </c>
    </row>
    <row r="5744" spans="1:7" x14ac:dyDescent="0.35">
      <c r="A5744" s="2">
        <v>43193</v>
      </c>
      <c r="B5744" s="70" t="s">
        <v>667</v>
      </c>
      <c r="C5744" s="10">
        <v>70</v>
      </c>
      <c r="D5744" s="10">
        <v>289</v>
      </c>
      <c r="E5744" s="10" t="s">
        <v>33</v>
      </c>
      <c r="F5744" s="10" t="s">
        <v>476</v>
      </c>
    </row>
    <row r="5745" spans="1:24" x14ac:dyDescent="0.35">
      <c r="A5745" s="2">
        <v>43193</v>
      </c>
      <c r="B5745" s="70" t="s">
        <v>667</v>
      </c>
      <c r="C5745" s="10">
        <v>71</v>
      </c>
      <c r="D5745" s="10">
        <v>347</v>
      </c>
      <c r="E5745" s="10" t="s">
        <v>33</v>
      </c>
      <c r="F5745" s="10" t="s">
        <v>293</v>
      </c>
      <c r="G5745" t="s">
        <v>651</v>
      </c>
    </row>
    <row r="5746" spans="1:24" x14ac:dyDescent="0.35">
      <c r="A5746" s="2">
        <v>43193</v>
      </c>
      <c r="B5746" s="70" t="s">
        <v>667</v>
      </c>
      <c r="C5746" s="10">
        <v>75</v>
      </c>
      <c r="D5746" s="10">
        <v>365</v>
      </c>
      <c r="E5746" s="10" t="s">
        <v>40</v>
      </c>
      <c r="F5746" s="10" t="s">
        <v>476</v>
      </c>
      <c r="G5746" t="s">
        <v>651</v>
      </c>
    </row>
    <row r="5747" spans="1:24" x14ac:dyDescent="0.35">
      <c r="A5747" s="2">
        <v>43193</v>
      </c>
      <c r="B5747" s="70" t="s">
        <v>667</v>
      </c>
      <c r="C5747" s="10">
        <v>74</v>
      </c>
      <c r="D5747" s="10">
        <v>323</v>
      </c>
      <c r="E5747" s="10" t="s">
        <v>33</v>
      </c>
      <c r="F5747" s="10" t="s">
        <v>198</v>
      </c>
      <c r="G5747" t="s">
        <v>651</v>
      </c>
    </row>
    <row r="5748" spans="1:24" x14ac:dyDescent="0.35">
      <c r="A5748" s="2">
        <v>43193</v>
      </c>
      <c r="B5748" s="70" t="s">
        <v>667</v>
      </c>
      <c r="C5748" s="10">
        <v>71</v>
      </c>
      <c r="D5748" s="10">
        <v>289</v>
      </c>
      <c r="E5748" s="10" t="s">
        <v>33</v>
      </c>
      <c r="F5748" s="10" t="s">
        <v>646</v>
      </c>
    </row>
    <row r="5749" spans="1:24" x14ac:dyDescent="0.35">
      <c r="A5749" s="2">
        <v>43193</v>
      </c>
      <c r="B5749" s="70" t="s">
        <v>667</v>
      </c>
      <c r="C5749" s="10">
        <v>70</v>
      </c>
      <c r="D5749" s="10">
        <v>279</v>
      </c>
      <c r="E5749" s="10" t="s">
        <v>33</v>
      </c>
      <c r="F5749" s="10" t="s">
        <v>646</v>
      </c>
      <c r="G5749" t="s">
        <v>651</v>
      </c>
    </row>
    <row r="5750" spans="1:24" x14ac:dyDescent="0.35">
      <c r="A5750" s="2">
        <v>43193</v>
      </c>
      <c r="B5750" s="70" t="s">
        <v>667</v>
      </c>
      <c r="C5750" s="10">
        <v>69</v>
      </c>
      <c r="D5750" s="10">
        <v>278</v>
      </c>
      <c r="E5750" s="10" t="s">
        <v>39</v>
      </c>
      <c r="F5750" s="10" t="s">
        <v>476</v>
      </c>
      <c r="G5750" t="s">
        <v>651</v>
      </c>
    </row>
    <row r="5751" spans="1:24" x14ac:dyDescent="0.35">
      <c r="A5751" s="2">
        <v>43193</v>
      </c>
      <c r="B5751" s="70" t="s">
        <v>667</v>
      </c>
      <c r="C5751" s="10">
        <v>70</v>
      </c>
      <c r="D5751" s="10">
        <v>271</v>
      </c>
      <c r="E5751" s="10" t="s">
        <v>39</v>
      </c>
      <c r="F5751" s="10" t="s">
        <v>476</v>
      </c>
      <c r="G5751" t="s">
        <v>651</v>
      </c>
    </row>
    <row r="5752" spans="1:24" x14ac:dyDescent="0.35">
      <c r="A5752" s="2">
        <v>43193</v>
      </c>
      <c r="B5752" s="70" t="s">
        <v>667</v>
      </c>
      <c r="C5752" s="10">
        <v>70</v>
      </c>
      <c r="D5752" s="10">
        <v>314</v>
      </c>
      <c r="E5752" s="10" t="s">
        <v>34</v>
      </c>
      <c r="F5752" s="10" t="s">
        <v>646</v>
      </c>
      <c r="G5752" t="s">
        <v>651</v>
      </c>
    </row>
    <row r="5753" spans="1:24" x14ac:dyDescent="0.35">
      <c r="A5753" s="2">
        <v>43193</v>
      </c>
      <c r="B5753" s="70" t="s">
        <v>667</v>
      </c>
      <c r="C5753" s="10">
        <v>71</v>
      </c>
      <c r="D5753" s="10">
        <v>308</v>
      </c>
      <c r="E5753" s="10" t="s">
        <v>40</v>
      </c>
      <c r="F5753" s="10" t="s">
        <v>293</v>
      </c>
      <c r="G5753" t="s">
        <v>651</v>
      </c>
    </row>
    <row r="5754" spans="1:24" x14ac:dyDescent="0.35">
      <c r="A5754" s="2">
        <v>43193</v>
      </c>
      <c r="B5754" s="70" t="s">
        <v>667</v>
      </c>
      <c r="C5754" s="10">
        <v>73</v>
      </c>
      <c r="D5754" s="10">
        <v>306</v>
      </c>
      <c r="E5754" s="10" t="s">
        <v>40</v>
      </c>
      <c r="F5754" s="10" t="s">
        <v>476</v>
      </c>
      <c r="G5754" t="s">
        <v>651</v>
      </c>
    </row>
    <row r="5755" spans="1:24" x14ac:dyDescent="0.35">
      <c r="A5755" s="2">
        <v>43193</v>
      </c>
      <c r="B5755" s="70" t="s">
        <v>667</v>
      </c>
      <c r="C5755" s="10">
        <v>70</v>
      </c>
      <c r="D5755" s="10">
        <v>291</v>
      </c>
      <c r="E5755" s="10" t="s">
        <v>32</v>
      </c>
      <c r="F5755" s="10" t="s">
        <v>293</v>
      </c>
      <c r="G5755" t="s">
        <v>651</v>
      </c>
    </row>
    <row r="5756" spans="1:24" x14ac:dyDescent="0.35">
      <c r="A5756" s="2">
        <v>43193</v>
      </c>
      <c r="B5756" s="70" t="s">
        <v>667</v>
      </c>
      <c r="C5756" s="10">
        <v>70</v>
      </c>
      <c r="D5756" s="10">
        <v>262</v>
      </c>
      <c r="E5756" s="10" t="s">
        <v>33</v>
      </c>
      <c r="F5756" s="10" t="s">
        <v>646</v>
      </c>
      <c r="G5756" t="s">
        <v>651</v>
      </c>
    </row>
    <row r="5757" spans="1:24" x14ac:dyDescent="0.35">
      <c r="A5757" s="2">
        <v>43193</v>
      </c>
      <c r="B5757" s="70" t="s">
        <v>667</v>
      </c>
      <c r="C5757" s="10">
        <v>71</v>
      </c>
      <c r="D5757" s="10">
        <v>250</v>
      </c>
      <c r="E5757" s="10" t="s">
        <v>39</v>
      </c>
      <c r="F5757" s="10" t="s">
        <v>476</v>
      </c>
    </row>
    <row r="5758" spans="1:24" x14ac:dyDescent="0.35">
      <c r="A5758" s="2">
        <v>43193</v>
      </c>
      <c r="B5758" s="70" t="s">
        <v>667</v>
      </c>
      <c r="C5758" s="10">
        <v>72</v>
      </c>
      <c r="D5758" s="10">
        <v>315</v>
      </c>
      <c r="E5758" s="10" t="s">
        <v>40</v>
      </c>
      <c r="F5758" s="10" t="s">
        <v>476</v>
      </c>
      <c r="G5758" t="s">
        <v>651</v>
      </c>
    </row>
    <row r="5759" spans="1:24" x14ac:dyDescent="0.35">
      <c r="A5759" s="2">
        <v>43193</v>
      </c>
      <c r="B5759" s="70" t="s">
        <v>667</v>
      </c>
      <c r="C5759" s="10">
        <v>72</v>
      </c>
      <c r="D5759" s="10">
        <v>313</v>
      </c>
      <c r="E5759" s="10" t="s">
        <v>40</v>
      </c>
      <c r="F5759" s="10" t="s">
        <v>476</v>
      </c>
      <c r="G5759" t="s">
        <v>651</v>
      </c>
      <c r="N5759" t="s">
        <v>42</v>
      </c>
      <c r="O5759" t="s">
        <v>39</v>
      </c>
      <c r="P5759" t="s">
        <v>40</v>
      </c>
      <c r="Q5759" t="s">
        <v>36</v>
      </c>
      <c r="R5759" t="s">
        <v>33</v>
      </c>
      <c r="S5759" t="s">
        <v>34</v>
      </c>
      <c r="T5759" t="s">
        <v>32</v>
      </c>
      <c r="U5759" t="s">
        <v>37</v>
      </c>
    </row>
    <row r="5760" spans="1:24" x14ac:dyDescent="0.35">
      <c r="A5760" s="2">
        <v>43193</v>
      </c>
      <c r="B5760" s="70" t="s">
        <v>667</v>
      </c>
      <c r="C5760" s="10">
        <v>82</v>
      </c>
      <c r="D5760" s="10">
        <v>465</v>
      </c>
      <c r="E5760" s="10" t="s">
        <v>39</v>
      </c>
      <c r="F5760" s="10" t="s">
        <v>476</v>
      </c>
      <c r="N5760" s="5">
        <f>COUNTIF(E5709:E5761,"VA")</f>
        <v>0</v>
      </c>
      <c r="O5760" s="5">
        <f>COUNTIF(E5709:E5761,"VB")</f>
        <v>13</v>
      </c>
      <c r="P5760" s="5">
        <f>COUNTIF(E5709:E5761,"VIA0")</f>
        <v>12</v>
      </c>
      <c r="Q5760" s="5">
        <f>COUNTIF(E5709:E5761,"VIA1")</f>
        <v>1</v>
      </c>
      <c r="R5760" s="5">
        <f>COUNTIF(E5709:E5761,"VIA2")</f>
        <v>18</v>
      </c>
      <c r="S5760" s="5">
        <f>COUNTIF(E5709:E5761,"VIA3")</f>
        <v>7</v>
      </c>
      <c r="T5760" s="5">
        <f>COUNTIF(E5709:E5761,"VIA4")</f>
        <v>2</v>
      </c>
      <c r="U5760" s="5">
        <f>COUNTIF(E5709:E5761,"VIB")</f>
        <v>0</v>
      </c>
      <c r="W5760">
        <f>AVERAGE(C5709:C5761)</f>
        <v>70.716981132075475</v>
      </c>
      <c r="X5760">
        <f>AVERAGE(D5709:D5761)</f>
        <v>305.24528301886795</v>
      </c>
    </row>
    <row r="5761" spans="1:21" s="4" customFormat="1" x14ac:dyDescent="0.35">
      <c r="A5761" s="3">
        <v>43193</v>
      </c>
      <c r="B5761" s="44" t="s">
        <v>667</v>
      </c>
      <c r="C5761" s="11">
        <v>72</v>
      </c>
      <c r="D5761" s="11">
        <v>310</v>
      </c>
      <c r="E5761" s="11" t="s">
        <v>33</v>
      </c>
      <c r="F5761" s="11" t="s">
        <v>476</v>
      </c>
      <c r="G5761" s="4" t="s">
        <v>651</v>
      </c>
      <c r="N5761" s="6">
        <f>N5760/53*100</f>
        <v>0</v>
      </c>
      <c r="O5761" s="6">
        <f t="shared" ref="O5761:U5761" si="170">O5760/53*100</f>
        <v>24.528301886792452</v>
      </c>
      <c r="P5761" s="6">
        <f t="shared" si="170"/>
        <v>22.641509433962266</v>
      </c>
      <c r="Q5761" s="6">
        <f t="shared" si="170"/>
        <v>1.8867924528301887</v>
      </c>
      <c r="R5761" s="6">
        <f t="shared" si="170"/>
        <v>33.962264150943398</v>
      </c>
      <c r="S5761" s="6">
        <f t="shared" si="170"/>
        <v>13.20754716981132</v>
      </c>
      <c r="T5761" s="6">
        <f t="shared" si="170"/>
        <v>3.7735849056603774</v>
      </c>
      <c r="U5761" s="6">
        <f t="shared" si="170"/>
        <v>0</v>
      </c>
    </row>
    <row r="5762" spans="1:21" x14ac:dyDescent="0.35">
      <c r="A5762" s="2">
        <v>43193</v>
      </c>
      <c r="B5762" s="70" t="s">
        <v>38</v>
      </c>
      <c r="C5762">
        <v>139</v>
      </c>
      <c r="D5762" s="10">
        <v>3158</v>
      </c>
      <c r="E5762" s="10" t="s">
        <v>59</v>
      </c>
      <c r="F5762" s="10"/>
      <c r="M5762">
        <f>COUNTIF(F5762:F5834,"F++")</f>
        <v>0</v>
      </c>
    </row>
    <row r="5763" spans="1:21" x14ac:dyDescent="0.35">
      <c r="A5763" s="2">
        <v>43193</v>
      </c>
      <c r="B5763" s="70" t="s">
        <v>38</v>
      </c>
      <c r="C5763">
        <v>104</v>
      </c>
      <c r="D5763" s="10">
        <v>1262</v>
      </c>
      <c r="E5763" s="10" t="s">
        <v>59</v>
      </c>
      <c r="F5763" s="10"/>
    </row>
    <row r="5764" spans="1:21" x14ac:dyDescent="0.35">
      <c r="A5764" s="2">
        <v>43193</v>
      </c>
      <c r="B5764" s="70" t="s">
        <v>38</v>
      </c>
      <c r="C5764">
        <v>75</v>
      </c>
      <c r="D5764" s="10">
        <v>331</v>
      </c>
      <c r="E5764" s="10" t="s">
        <v>36</v>
      </c>
      <c r="F5764" s="10" t="s">
        <v>646</v>
      </c>
      <c r="G5764" t="s">
        <v>651</v>
      </c>
    </row>
    <row r="5765" spans="1:21" x14ac:dyDescent="0.35">
      <c r="A5765" s="2">
        <v>43193</v>
      </c>
      <c r="B5765" s="70" t="s">
        <v>38</v>
      </c>
      <c r="C5765">
        <v>72</v>
      </c>
      <c r="D5765" s="10">
        <v>296</v>
      </c>
      <c r="E5765" s="10" t="s">
        <v>40</v>
      </c>
      <c r="F5765" s="10" t="s">
        <v>293</v>
      </c>
      <c r="G5765" t="s">
        <v>651</v>
      </c>
    </row>
    <row r="5766" spans="1:21" x14ac:dyDescent="0.35">
      <c r="A5766" s="2">
        <v>43193</v>
      </c>
      <c r="B5766" s="70" t="s">
        <v>38</v>
      </c>
      <c r="C5766">
        <v>75</v>
      </c>
      <c r="D5766" s="10">
        <v>343</v>
      </c>
      <c r="E5766" s="10" t="s">
        <v>34</v>
      </c>
      <c r="F5766" s="10" t="s">
        <v>293</v>
      </c>
      <c r="G5766" t="s">
        <v>651</v>
      </c>
    </row>
    <row r="5767" spans="1:21" x14ac:dyDescent="0.35">
      <c r="A5767" s="2">
        <v>43193</v>
      </c>
      <c r="B5767" s="70" t="s">
        <v>38</v>
      </c>
      <c r="C5767">
        <v>79</v>
      </c>
      <c r="D5767" s="10">
        <v>485</v>
      </c>
      <c r="E5767" s="10" t="s">
        <v>33</v>
      </c>
      <c r="F5767" s="10" t="s">
        <v>198</v>
      </c>
    </row>
    <row r="5768" spans="1:21" x14ac:dyDescent="0.35">
      <c r="A5768" s="2">
        <v>43193</v>
      </c>
      <c r="B5768" s="70" t="s">
        <v>38</v>
      </c>
      <c r="C5768">
        <v>67</v>
      </c>
      <c r="D5768" s="10">
        <v>272</v>
      </c>
      <c r="E5768" s="10" t="s">
        <v>33</v>
      </c>
      <c r="F5768" s="10" t="s">
        <v>646</v>
      </c>
      <c r="G5768" t="s">
        <v>651</v>
      </c>
    </row>
    <row r="5769" spans="1:21" x14ac:dyDescent="0.35">
      <c r="A5769" s="2">
        <v>43193</v>
      </c>
      <c r="B5769" s="70" t="s">
        <v>38</v>
      </c>
      <c r="C5769">
        <v>72</v>
      </c>
      <c r="D5769" s="10">
        <v>315</v>
      </c>
      <c r="E5769" s="10" t="s">
        <v>40</v>
      </c>
      <c r="F5769" s="10" t="s">
        <v>476</v>
      </c>
      <c r="G5769" t="s">
        <v>651</v>
      </c>
    </row>
    <row r="5770" spans="1:21" x14ac:dyDescent="0.35">
      <c r="A5770" s="2">
        <v>43193</v>
      </c>
      <c r="B5770" s="70" t="s">
        <v>38</v>
      </c>
      <c r="C5770">
        <v>73</v>
      </c>
      <c r="D5770" s="10">
        <v>300</v>
      </c>
      <c r="E5770" s="10" t="s">
        <v>34</v>
      </c>
      <c r="F5770" s="10" t="s">
        <v>646</v>
      </c>
      <c r="G5770" t="s">
        <v>651</v>
      </c>
    </row>
    <row r="5771" spans="1:21" x14ac:dyDescent="0.35">
      <c r="A5771" s="2">
        <v>43193</v>
      </c>
      <c r="B5771" s="70" t="s">
        <v>38</v>
      </c>
      <c r="C5771">
        <v>70</v>
      </c>
      <c r="D5771" s="10">
        <v>276</v>
      </c>
      <c r="E5771" s="10" t="s">
        <v>40</v>
      </c>
      <c r="F5771" s="10" t="s">
        <v>293</v>
      </c>
      <c r="G5771" t="s">
        <v>651</v>
      </c>
      <c r="H5771" t="s">
        <v>671</v>
      </c>
      <c r="J5771" t="s">
        <v>498</v>
      </c>
    </row>
    <row r="5772" spans="1:21" x14ac:dyDescent="0.35">
      <c r="A5772" s="2">
        <v>43193</v>
      </c>
      <c r="B5772" s="70" t="s">
        <v>38</v>
      </c>
      <c r="C5772">
        <v>72</v>
      </c>
      <c r="D5772" s="10">
        <v>296</v>
      </c>
      <c r="E5772" s="10" t="s">
        <v>33</v>
      </c>
      <c r="F5772" s="10" t="s">
        <v>293</v>
      </c>
      <c r="G5772" t="s">
        <v>651</v>
      </c>
    </row>
    <row r="5773" spans="1:21" x14ac:dyDescent="0.35">
      <c r="A5773" s="2">
        <v>43193</v>
      </c>
      <c r="B5773" s="70" t="s">
        <v>38</v>
      </c>
      <c r="C5773">
        <v>72</v>
      </c>
      <c r="D5773" s="10">
        <v>355</v>
      </c>
      <c r="E5773" s="10" t="s">
        <v>39</v>
      </c>
      <c r="F5773" s="10" t="s">
        <v>476</v>
      </c>
      <c r="H5773" t="s">
        <v>672</v>
      </c>
    </row>
    <row r="5774" spans="1:21" x14ac:dyDescent="0.35">
      <c r="A5774" s="2">
        <v>43193</v>
      </c>
      <c r="B5774" s="70" t="s">
        <v>38</v>
      </c>
      <c r="C5774">
        <v>75</v>
      </c>
      <c r="D5774" s="10">
        <v>357</v>
      </c>
      <c r="E5774" s="10" t="s">
        <v>33</v>
      </c>
      <c r="F5774" s="10" t="s">
        <v>293</v>
      </c>
      <c r="G5774" t="s">
        <v>651</v>
      </c>
    </row>
    <row r="5775" spans="1:21" x14ac:dyDescent="0.35">
      <c r="A5775" s="2">
        <v>43193</v>
      </c>
      <c r="B5775" s="70" t="s">
        <v>38</v>
      </c>
      <c r="C5775">
        <v>68</v>
      </c>
      <c r="D5775" s="10">
        <v>280</v>
      </c>
      <c r="E5775" s="10" t="s">
        <v>40</v>
      </c>
      <c r="F5775" s="10" t="s">
        <v>646</v>
      </c>
      <c r="G5775" t="s">
        <v>651</v>
      </c>
    </row>
    <row r="5776" spans="1:21" x14ac:dyDescent="0.35">
      <c r="A5776" s="2">
        <v>43193</v>
      </c>
      <c r="B5776" s="70" t="s">
        <v>38</v>
      </c>
      <c r="C5776">
        <v>72</v>
      </c>
      <c r="D5776" s="10">
        <v>354</v>
      </c>
      <c r="E5776" s="10" t="s">
        <v>40</v>
      </c>
      <c r="F5776" s="10" t="s">
        <v>646</v>
      </c>
    </row>
    <row r="5777" spans="1:24" x14ac:dyDescent="0.35">
      <c r="A5777" s="2">
        <v>43193</v>
      </c>
      <c r="B5777" s="70" t="s">
        <v>38</v>
      </c>
      <c r="C5777">
        <v>71</v>
      </c>
      <c r="D5777" s="10">
        <v>288</v>
      </c>
      <c r="E5777" s="10" t="s">
        <v>34</v>
      </c>
      <c r="F5777" s="10" t="s">
        <v>293</v>
      </c>
      <c r="G5777" t="s">
        <v>651</v>
      </c>
    </row>
    <row r="5778" spans="1:24" x14ac:dyDescent="0.35">
      <c r="A5778" s="2">
        <v>43193</v>
      </c>
      <c r="B5778" s="70" t="s">
        <v>38</v>
      </c>
      <c r="C5778">
        <v>78</v>
      </c>
      <c r="D5778" s="10">
        <v>356</v>
      </c>
      <c r="E5778" s="10" t="s">
        <v>33</v>
      </c>
      <c r="F5778" s="10" t="s">
        <v>646</v>
      </c>
      <c r="G5778" t="s">
        <v>651</v>
      </c>
    </row>
    <row r="5779" spans="1:24" x14ac:dyDescent="0.35">
      <c r="A5779" s="2">
        <v>43193</v>
      </c>
      <c r="B5779" s="70" t="s">
        <v>38</v>
      </c>
      <c r="C5779">
        <v>66</v>
      </c>
      <c r="D5779" s="10">
        <v>235</v>
      </c>
      <c r="E5779" s="10" t="s">
        <v>36</v>
      </c>
      <c r="F5779" s="10" t="s">
        <v>293</v>
      </c>
      <c r="N5779" t="s">
        <v>42</v>
      </c>
      <c r="O5779" t="s">
        <v>39</v>
      </c>
      <c r="P5779" t="s">
        <v>40</v>
      </c>
      <c r="Q5779" t="s">
        <v>36</v>
      </c>
      <c r="R5779" t="s">
        <v>33</v>
      </c>
      <c r="S5779" t="s">
        <v>34</v>
      </c>
      <c r="T5779" t="s">
        <v>32</v>
      </c>
      <c r="U5779" t="s">
        <v>37</v>
      </c>
    </row>
    <row r="5780" spans="1:24" x14ac:dyDescent="0.35">
      <c r="A5780" s="2">
        <v>43193</v>
      </c>
      <c r="B5780" s="70" t="s">
        <v>38</v>
      </c>
      <c r="C5780">
        <v>73</v>
      </c>
      <c r="D5780" s="10">
        <v>318</v>
      </c>
      <c r="E5780" s="10" t="s">
        <v>33</v>
      </c>
      <c r="F5780" s="10" t="s">
        <v>646</v>
      </c>
      <c r="G5780" t="s">
        <v>651</v>
      </c>
      <c r="N5780">
        <f>N5784+N5647</f>
        <v>0</v>
      </c>
      <c r="O5780">
        <f t="shared" ref="O5780:U5780" si="171">O5784+O5647</f>
        <v>2</v>
      </c>
      <c r="P5780">
        <f t="shared" si="171"/>
        <v>15</v>
      </c>
      <c r="Q5780">
        <f t="shared" si="171"/>
        <v>4</v>
      </c>
      <c r="R5780">
        <f t="shared" si="171"/>
        <v>26</v>
      </c>
      <c r="S5780">
        <f t="shared" si="171"/>
        <v>30</v>
      </c>
      <c r="T5780">
        <f t="shared" si="171"/>
        <v>5</v>
      </c>
      <c r="U5780">
        <f t="shared" si="171"/>
        <v>0</v>
      </c>
    </row>
    <row r="5781" spans="1:24" x14ac:dyDescent="0.35">
      <c r="A5781" s="2">
        <v>43193</v>
      </c>
      <c r="B5781" s="70" t="s">
        <v>38</v>
      </c>
      <c r="C5781">
        <v>74</v>
      </c>
      <c r="D5781" s="10">
        <v>382</v>
      </c>
      <c r="E5781" s="10" t="s">
        <v>40</v>
      </c>
      <c r="F5781" s="10" t="s">
        <v>646</v>
      </c>
      <c r="G5781" t="s">
        <v>651</v>
      </c>
      <c r="N5781" s="8">
        <f>N5780/82*100</f>
        <v>0</v>
      </c>
      <c r="O5781" s="8">
        <f t="shared" ref="O5781:U5781" si="172">O5780/82*100</f>
        <v>2.4390243902439024</v>
      </c>
      <c r="P5781" s="8">
        <f t="shared" si="172"/>
        <v>18.292682926829269</v>
      </c>
      <c r="Q5781" s="8">
        <f t="shared" si="172"/>
        <v>4.8780487804878048</v>
      </c>
      <c r="R5781" s="8">
        <f t="shared" si="172"/>
        <v>31.707317073170731</v>
      </c>
      <c r="S5781" s="8">
        <f t="shared" si="172"/>
        <v>36.585365853658537</v>
      </c>
      <c r="T5781" s="8">
        <f t="shared" si="172"/>
        <v>6.0975609756097562</v>
      </c>
      <c r="U5781" s="8">
        <f t="shared" si="172"/>
        <v>0</v>
      </c>
      <c r="W5781" s="8">
        <f>AVERAGE(C5764:C5785,C5589:C5648)</f>
        <v>71.353658536585371</v>
      </c>
      <c r="X5781" s="8">
        <f>AVERAGE(D5764:D5785,D5589:D5648)</f>
        <v>294.97560975609758</v>
      </c>
    </row>
    <row r="5782" spans="1:24" x14ac:dyDescent="0.35">
      <c r="A5782" s="2">
        <v>43193</v>
      </c>
      <c r="B5782" s="70" t="s">
        <v>38</v>
      </c>
      <c r="C5782">
        <v>75</v>
      </c>
      <c r="D5782" s="10">
        <v>351</v>
      </c>
      <c r="E5782" s="10" t="s">
        <v>34</v>
      </c>
      <c r="F5782" s="10" t="s">
        <v>293</v>
      </c>
      <c r="G5782" t="s">
        <v>651</v>
      </c>
    </row>
    <row r="5783" spans="1:24" x14ac:dyDescent="0.35">
      <c r="A5783" s="2">
        <v>43193</v>
      </c>
      <c r="B5783" s="70" t="s">
        <v>38</v>
      </c>
      <c r="C5783">
        <v>68</v>
      </c>
      <c r="D5783" s="10">
        <v>298</v>
      </c>
      <c r="E5783" s="10" t="s">
        <v>34</v>
      </c>
      <c r="F5783" s="10" t="s">
        <v>646</v>
      </c>
      <c r="N5783" t="s">
        <v>42</v>
      </c>
      <c r="O5783" t="s">
        <v>39</v>
      </c>
      <c r="P5783" t="s">
        <v>40</v>
      </c>
      <c r="Q5783" t="s">
        <v>36</v>
      </c>
      <c r="R5783" t="s">
        <v>33</v>
      </c>
      <c r="S5783" t="s">
        <v>34</v>
      </c>
      <c r="T5783" t="s">
        <v>32</v>
      </c>
      <c r="U5783" t="s">
        <v>37</v>
      </c>
    </row>
    <row r="5784" spans="1:24" x14ac:dyDescent="0.35">
      <c r="A5784" s="2">
        <v>43193</v>
      </c>
      <c r="B5784" s="70" t="s">
        <v>38</v>
      </c>
      <c r="C5784">
        <v>72</v>
      </c>
      <c r="D5784" s="10">
        <v>336</v>
      </c>
      <c r="E5784" s="10" t="s">
        <v>33</v>
      </c>
      <c r="F5784" s="10" t="s">
        <v>293</v>
      </c>
      <c r="G5784" t="s">
        <v>651</v>
      </c>
      <c r="N5784" s="5">
        <f>COUNTIF(E5764:E5785,"VA")</f>
        <v>0</v>
      </c>
      <c r="O5784" s="5">
        <f>COUNTIF(E5764:E5785,"VB")</f>
        <v>1</v>
      </c>
      <c r="P5784" s="5">
        <f>COUNTIF(E5764:E5785,"VIA0")</f>
        <v>6</v>
      </c>
      <c r="Q5784" s="5">
        <f>COUNTIF(E5764:E5785,"VIA1")</f>
        <v>2</v>
      </c>
      <c r="R5784" s="5">
        <f>COUNTIF(E5764:E5785,"VIA2")</f>
        <v>7</v>
      </c>
      <c r="S5784" s="5">
        <f>COUNTIF(E5764:E5785,"VIA3")</f>
        <v>6</v>
      </c>
      <c r="T5784" s="5">
        <f>COUNTIF(E5764:E5785,"VIA4")</f>
        <v>0</v>
      </c>
      <c r="U5784" s="5">
        <f>COUNTIF(E5764:E5785,"VIB")</f>
        <v>0</v>
      </c>
      <c r="W5784">
        <f>AVERAGE(C5764:C5785)</f>
        <v>72.5</v>
      </c>
      <c r="X5784">
        <f>AVERAGE(D5764:D5785)</f>
        <v>325.86363636363637</v>
      </c>
    </row>
    <row r="5785" spans="1:24" s="4" customFormat="1" x14ac:dyDescent="0.35">
      <c r="A5785" s="3">
        <v>43193</v>
      </c>
      <c r="B5785" s="44" t="s">
        <v>38</v>
      </c>
      <c r="C5785" s="4">
        <v>76</v>
      </c>
      <c r="D5785" s="11">
        <v>345</v>
      </c>
      <c r="E5785" s="11" t="s">
        <v>34</v>
      </c>
      <c r="F5785" s="11" t="s">
        <v>293</v>
      </c>
      <c r="G5785" s="4" t="s">
        <v>651</v>
      </c>
      <c r="N5785" s="6">
        <f>N5784/22*100</f>
        <v>0</v>
      </c>
      <c r="O5785" s="6">
        <f t="shared" ref="O5785:U5785" si="173">O5784/22*100</f>
        <v>4.5454545454545459</v>
      </c>
      <c r="P5785" s="6">
        <f t="shared" si="173"/>
        <v>27.27272727272727</v>
      </c>
      <c r="Q5785" s="6">
        <f t="shared" si="173"/>
        <v>9.0909090909090917</v>
      </c>
      <c r="R5785" s="6">
        <f t="shared" si="173"/>
        <v>31.818181818181817</v>
      </c>
      <c r="S5785" s="6">
        <f t="shared" si="173"/>
        <v>27.27272727272727</v>
      </c>
      <c r="T5785" s="6">
        <f t="shared" si="173"/>
        <v>0</v>
      </c>
      <c r="U5785" s="6">
        <f t="shared" si="173"/>
        <v>0</v>
      </c>
    </row>
    <row r="5786" spans="1:24" x14ac:dyDescent="0.35">
      <c r="A5786" s="2">
        <v>43193</v>
      </c>
      <c r="B5786" s="70" t="s">
        <v>29</v>
      </c>
      <c r="C5786">
        <v>70</v>
      </c>
      <c r="D5786" s="10">
        <v>277</v>
      </c>
      <c r="E5786" s="10" t="s">
        <v>40</v>
      </c>
      <c r="F5786" s="10" t="s">
        <v>646</v>
      </c>
      <c r="G5786" s="10"/>
    </row>
    <row r="5787" spans="1:24" x14ac:dyDescent="0.35">
      <c r="A5787" s="2">
        <v>43193</v>
      </c>
      <c r="B5787" s="70" t="s">
        <v>29</v>
      </c>
      <c r="C5787">
        <v>77</v>
      </c>
      <c r="D5787" s="10">
        <v>408</v>
      </c>
      <c r="E5787" s="10" t="s">
        <v>34</v>
      </c>
      <c r="F5787" s="10" t="s">
        <v>646</v>
      </c>
      <c r="G5787" s="10" t="s">
        <v>651</v>
      </c>
    </row>
    <row r="5788" spans="1:24" x14ac:dyDescent="0.35">
      <c r="A5788" s="2">
        <v>43193</v>
      </c>
      <c r="B5788" s="70" t="s">
        <v>29</v>
      </c>
      <c r="C5788">
        <v>72</v>
      </c>
      <c r="D5788" s="10">
        <v>342</v>
      </c>
      <c r="E5788" s="10" t="s">
        <v>33</v>
      </c>
      <c r="F5788" s="10" t="s">
        <v>476</v>
      </c>
      <c r="G5788" s="10" t="s">
        <v>651</v>
      </c>
      <c r="H5788" s="10" t="s">
        <v>673</v>
      </c>
    </row>
    <row r="5789" spans="1:24" x14ac:dyDescent="0.35">
      <c r="A5789" s="2">
        <v>43193</v>
      </c>
      <c r="B5789" s="70" t="s">
        <v>29</v>
      </c>
      <c r="C5789">
        <v>75</v>
      </c>
      <c r="D5789" s="10">
        <v>377</v>
      </c>
      <c r="E5789" s="10" t="s">
        <v>33</v>
      </c>
      <c r="F5789" s="10" t="s">
        <v>293</v>
      </c>
      <c r="G5789" s="10" t="s">
        <v>651</v>
      </c>
    </row>
    <row r="5790" spans="1:24" x14ac:dyDescent="0.35">
      <c r="A5790" s="2">
        <v>43193</v>
      </c>
      <c r="B5790" s="70" t="s">
        <v>29</v>
      </c>
      <c r="C5790">
        <v>77</v>
      </c>
      <c r="D5790" s="10">
        <v>360</v>
      </c>
      <c r="E5790" s="10" t="s">
        <v>33</v>
      </c>
      <c r="F5790" s="10" t="s">
        <v>476</v>
      </c>
      <c r="G5790" s="10" t="s">
        <v>651</v>
      </c>
    </row>
    <row r="5791" spans="1:24" x14ac:dyDescent="0.35">
      <c r="A5791" s="2">
        <v>43193</v>
      </c>
      <c r="B5791" s="70" t="s">
        <v>29</v>
      </c>
      <c r="C5791">
        <v>70</v>
      </c>
      <c r="D5791" s="10">
        <v>311</v>
      </c>
      <c r="E5791" s="10" t="s">
        <v>33</v>
      </c>
      <c r="F5791" s="10" t="s">
        <v>198</v>
      </c>
      <c r="G5791" s="10" t="s">
        <v>651</v>
      </c>
    </row>
    <row r="5792" spans="1:24" x14ac:dyDescent="0.35">
      <c r="A5792" s="2">
        <v>43193</v>
      </c>
      <c r="B5792" s="70" t="s">
        <v>29</v>
      </c>
      <c r="C5792">
        <v>67</v>
      </c>
      <c r="D5792" s="10">
        <v>279</v>
      </c>
      <c r="E5792" s="10" t="s">
        <v>40</v>
      </c>
      <c r="F5792" s="10" t="s">
        <v>476</v>
      </c>
      <c r="G5792" s="10" t="s">
        <v>651</v>
      </c>
    </row>
    <row r="5793" spans="1:11" x14ac:dyDescent="0.35">
      <c r="A5793" s="2">
        <v>43193</v>
      </c>
      <c r="B5793" s="70" t="s">
        <v>29</v>
      </c>
      <c r="C5793">
        <v>72</v>
      </c>
      <c r="D5793" s="10">
        <v>337</v>
      </c>
      <c r="E5793" s="10" t="s">
        <v>34</v>
      </c>
      <c r="F5793" s="10" t="s">
        <v>293</v>
      </c>
      <c r="G5793" s="10" t="s">
        <v>651</v>
      </c>
    </row>
    <row r="5794" spans="1:11" x14ac:dyDescent="0.35">
      <c r="A5794" s="2">
        <v>43193</v>
      </c>
      <c r="B5794" s="70" t="s">
        <v>29</v>
      </c>
      <c r="C5794">
        <v>67</v>
      </c>
      <c r="D5794" s="10">
        <v>288</v>
      </c>
      <c r="E5794" s="10" t="s">
        <v>40</v>
      </c>
      <c r="F5794" s="10" t="s">
        <v>646</v>
      </c>
      <c r="G5794" s="10" t="s">
        <v>651</v>
      </c>
    </row>
    <row r="5795" spans="1:11" x14ac:dyDescent="0.35">
      <c r="A5795" s="2">
        <v>43193</v>
      </c>
      <c r="B5795" s="70" t="s">
        <v>29</v>
      </c>
      <c r="C5795">
        <v>74</v>
      </c>
      <c r="D5795" s="10">
        <v>305</v>
      </c>
      <c r="E5795" s="10" t="s">
        <v>39</v>
      </c>
      <c r="F5795" s="10" t="s">
        <v>646</v>
      </c>
      <c r="G5795" s="10" t="s">
        <v>651</v>
      </c>
    </row>
    <row r="5796" spans="1:11" x14ac:dyDescent="0.35">
      <c r="A5796" s="2">
        <v>43193</v>
      </c>
      <c r="B5796" s="70" t="s">
        <v>29</v>
      </c>
      <c r="C5796">
        <v>67</v>
      </c>
      <c r="D5796" s="10">
        <v>279</v>
      </c>
      <c r="E5796" s="10" t="s">
        <v>33</v>
      </c>
      <c r="F5796" s="10" t="s">
        <v>646</v>
      </c>
      <c r="G5796" s="10" t="s">
        <v>651</v>
      </c>
    </row>
    <row r="5797" spans="1:11" x14ac:dyDescent="0.35">
      <c r="A5797" s="2">
        <v>43193</v>
      </c>
      <c r="B5797" s="70" t="s">
        <v>29</v>
      </c>
      <c r="C5797">
        <v>74</v>
      </c>
      <c r="D5797" s="10">
        <v>325</v>
      </c>
      <c r="E5797" s="10" t="s">
        <v>33</v>
      </c>
      <c r="F5797" s="10" t="s">
        <v>476</v>
      </c>
      <c r="G5797" s="10" t="s">
        <v>651</v>
      </c>
    </row>
    <row r="5798" spans="1:11" x14ac:dyDescent="0.35">
      <c r="A5798" s="2">
        <v>43193</v>
      </c>
      <c r="B5798" s="70" t="s">
        <v>29</v>
      </c>
      <c r="C5798">
        <v>73</v>
      </c>
      <c r="D5798" s="10">
        <v>338</v>
      </c>
      <c r="E5798" s="10" t="s">
        <v>40</v>
      </c>
      <c r="F5798" s="10" t="s">
        <v>646</v>
      </c>
      <c r="G5798" s="10" t="s">
        <v>651</v>
      </c>
    </row>
    <row r="5799" spans="1:11" x14ac:dyDescent="0.35">
      <c r="A5799" s="2">
        <v>43193</v>
      </c>
      <c r="B5799" s="70" t="s">
        <v>29</v>
      </c>
      <c r="C5799">
        <v>71</v>
      </c>
      <c r="D5799" s="10">
        <v>318</v>
      </c>
      <c r="E5799" s="10" t="s">
        <v>33</v>
      </c>
      <c r="F5799" s="10" t="s">
        <v>476</v>
      </c>
      <c r="G5799" s="10" t="s">
        <v>651</v>
      </c>
    </row>
    <row r="5800" spans="1:11" x14ac:dyDescent="0.35">
      <c r="A5800" s="2">
        <v>43193</v>
      </c>
      <c r="B5800" s="70" t="s">
        <v>29</v>
      </c>
      <c r="C5800">
        <v>66</v>
      </c>
      <c r="D5800" s="10">
        <v>255</v>
      </c>
      <c r="E5800" s="10" t="s">
        <v>33</v>
      </c>
      <c r="F5800" s="10" t="s">
        <v>646</v>
      </c>
      <c r="G5800" s="10" t="s">
        <v>651</v>
      </c>
    </row>
    <row r="5801" spans="1:11" x14ac:dyDescent="0.35">
      <c r="A5801" s="2">
        <v>43193</v>
      </c>
      <c r="B5801" s="70" t="s">
        <v>29</v>
      </c>
      <c r="C5801">
        <v>71</v>
      </c>
      <c r="D5801" s="10">
        <v>318</v>
      </c>
      <c r="E5801" s="10" t="s">
        <v>33</v>
      </c>
      <c r="F5801" s="10" t="s">
        <v>646</v>
      </c>
      <c r="G5801" s="10"/>
      <c r="H5801" t="s">
        <v>673</v>
      </c>
    </row>
    <row r="5802" spans="1:11" x14ac:dyDescent="0.35">
      <c r="A5802" s="2">
        <v>43193</v>
      </c>
      <c r="B5802" s="70" t="s">
        <v>29</v>
      </c>
      <c r="C5802">
        <v>67</v>
      </c>
      <c r="D5802" s="10">
        <v>258</v>
      </c>
      <c r="E5802" s="10" t="s">
        <v>33</v>
      </c>
      <c r="F5802" s="10" t="s">
        <v>646</v>
      </c>
      <c r="G5802" s="10" t="s">
        <v>651</v>
      </c>
      <c r="H5802" s="10" t="s">
        <v>672</v>
      </c>
    </row>
    <row r="5803" spans="1:11" x14ac:dyDescent="0.35">
      <c r="A5803" s="2">
        <v>43193</v>
      </c>
      <c r="B5803" s="70" t="s">
        <v>29</v>
      </c>
      <c r="C5803">
        <v>69</v>
      </c>
      <c r="D5803" s="10">
        <v>265</v>
      </c>
      <c r="E5803" s="10" t="s">
        <v>33</v>
      </c>
      <c r="F5803" s="10" t="s">
        <v>646</v>
      </c>
      <c r="G5803" s="10" t="s">
        <v>651</v>
      </c>
      <c r="H5803" s="10" t="s">
        <v>672</v>
      </c>
    </row>
    <row r="5804" spans="1:11" x14ac:dyDescent="0.35">
      <c r="A5804" s="2">
        <v>43193</v>
      </c>
      <c r="B5804" s="70" t="s">
        <v>29</v>
      </c>
      <c r="C5804">
        <v>66</v>
      </c>
      <c r="D5804" s="10">
        <v>233</v>
      </c>
      <c r="E5804" s="10" t="s">
        <v>40</v>
      </c>
      <c r="F5804" s="10" t="s">
        <v>293</v>
      </c>
      <c r="G5804" s="10" t="s">
        <v>651</v>
      </c>
    </row>
    <row r="5805" spans="1:11" x14ac:dyDescent="0.35">
      <c r="A5805" s="2">
        <v>43193</v>
      </c>
      <c r="B5805" s="70" t="s">
        <v>29</v>
      </c>
      <c r="C5805">
        <v>70</v>
      </c>
      <c r="D5805" s="10">
        <v>291</v>
      </c>
      <c r="E5805" s="10" t="s">
        <v>33</v>
      </c>
      <c r="F5805" s="10" t="s">
        <v>646</v>
      </c>
      <c r="G5805" s="10"/>
    </row>
    <row r="5806" spans="1:11" x14ac:dyDescent="0.35">
      <c r="A5806" s="2">
        <v>43193</v>
      </c>
      <c r="B5806" s="70" t="s">
        <v>29</v>
      </c>
      <c r="C5806">
        <v>71</v>
      </c>
      <c r="D5806" s="10">
        <v>354</v>
      </c>
      <c r="E5806" s="10" t="s">
        <v>36</v>
      </c>
      <c r="F5806" s="10" t="s">
        <v>293</v>
      </c>
      <c r="G5806" s="10" t="s">
        <v>651</v>
      </c>
    </row>
    <row r="5807" spans="1:11" x14ac:dyDescent="0.35">
      <c r="A5807" s="2">
        <v>43193</v>
      </c>
      <c r="B5807" s="70" t="s">
        <v>29</v>
      </c>
      <c r="C5807">
        <v>75</v>
      </c>
      <c r="D5807" s="10">
        <v>377</v>
      </c>
      <c r="E5807" s="10" t="s">
        <v>40</v>
      </c>
      <c r="F5807" s="10" t="s">
        <v>646</v>
      </c>
      <c r="G5807" s="10" t="s">
        <v>651</v>
      </c>
      <c r="K5807" t="s">
        <v>498</v>
      </c>
    </row>
    <row r="5808" spans="1:11" x14ac:dyDescent="0.35">
      <c r="A5808" s="2">
        <v>43193</v>
      </c>
      <c r="B5808" s="70" t="s">
        <v>29</v>
      </c>
      <c r="C5808">
        <v>68</v>
      </c>
      <c r="D5808" s="10">
        <v>300</v>
      </c>
      <c r="E5808" s="10" t="s">
        <v>33</v>
      </c>
      <c r="F5808" s="10" t="s">
        <v>476</v>
      </c>
      <c r="G5808" s="10" t="s">
        <v>651</v>
      </c>
    </row>
    <row r="5809" spans="1:21" x14ac:dyDescent="0.35">
      <c r="A5809" s="2">
        <v>43193</v>
      </c>
      <c r="B5809" s="70" t="s">
        <v>29</v>
      </c>
      <c r="C5809">
        <v>76</v>
      </c>
      <c r="D5809" s="10">
        <v>376</v>
      </c>
      <c r="E5809" s="10" t="s">
        <v>34</v>
      </c>
      <c r="F5809" s="10" t="s">
        <v>476</v>
      </c>
      <c r="G5809" s="10" t="s">
        <v>651</v>
      </c>
    </row>
    <row r="5810" spans="1:21" x14ac:dyDescent="0.35">
      <c r="A5810" s="2">
        <v>43193</v>
      </c>
      <c r="B5810" s="70" t="s">
        <v>29</v>
      </c>
      <c r="C5810">
        <v>73</v>
      </c>
      <c r="D5810" s="10">
        <v>383</v>
      </c>
      <c r="E5810" s="10" t="s">
        <v>33</v>
      </c>
      <c r="F5810" s="10" t="s">
        <v>293</v>
      </c>
      <c r="G5810" s="10" t="s">
        <v>651</v>
      </c>
      <c r="K5810" t="s">
        <v>498</v>
      </c>
    </row>
    <row r="5811" spans="1:21" x14ac:dyDescent="0.35">
      <c r="A5811" s="2">
        <v>43193</v>
      </c>
      <c r="B5811" s="70" t="s">
        <v>29</v>
      </c>
      <c r="C5811">
        <v>70</v>
      </c>
      <c r="D5811" s="10">
        <v>318</v>
      </c>
      <c r="E5811" s="10" t="s">
        <v>33</v>
      </c>
      <c r="F5811" s="10" t="s">
        <v>646</v>
      </c>
      <c r="G5811" s="10" t="s">
        <v>651</v>
      </c>
    </row>
    <row r="5812" spans="1:21" x14ac:dyDescent="0.35">
      <c r="A5812" s="2">
        <v>43193</v>
      </c>
      <c r="B5812" s="70" t="s">
        <v>29</v>
      </c>
      <c r="C5812">
        <v>76</v>
      </c>
      <c r="D5812" s="10">
        <v>279</v>
      </c>
      <c r="E5812" s="10" t="s">
        <v>34</v>
      </c>
      <c r="F5812" s="10" t="s">
        <v>476</v>
      </c>
      <c r="G5812" s="10" t="s">
        <v>651</v>
      </c>
    </row>
    <row r="5813" spans="1:21" x14ac:dyDescent="0.35">
      <c r="A5813" s="2">
        <v>43193</v>
      </c>
      <c r="B5813" s="70" t="s">
        <v>29</v>
      </c>
      <c r="C5813">
        <v>75</v>
      </c>
      <c r="D5813" s="10">
        <v>318</v>
      </c>
      <c r="E5813" s="10" t="s">
        <v>33</v>
      </c>
      <c r="F5813" s="10" t="s">
        <v>646</v>
      </c>
      <c r="G5813" s="10" t="s">
        <v>651</v>
      </c>
    </row>
    <row r="5814" spans="1:21" x14ac:dyDescent="0.35">
      <c r="A5814" s="2">
        <v>43193</v>
      </c>
      <c r="B5814" s="70" t="s">
        <v>29</v>
      </c>
      <c r="C5814">
        <v>72</v>
      </c>
      <c r="D5814" s="10">
        <v>312</v>
      </c>
      <c r="E5814" s="10" t="s">
        <v>33</v>
      </c>
      <c r="F5814" s="10" t="s">
        <v>293</v>
      </c>
      <c r="G5814" s="10" t="s">
        <v>651</v>
      </c>
    </row>
    <row r="5815" spans="1:21" x14ac:dyDescent="0.35">
      <c r="A5815" s="2">
        <v>43193</v>
      </c>
      <c r="B5815" s="70" t="s">
        <v>29</v>
      </c>
      <c r="C5815">
        <v>65</v>
      </c>
      <c r="D5815" s="10">
        <v>249</v>
      </c>
      <c r="E5815" s="10" t="s">
        <v>33</v>
      </c>
      <c r="F5815" s="10" t="s">
        <v>646</v>
      </c>
      <c r="G5815" s="10" t="s">
        <v>651</v>
      </c>
    </row>
    <row r="5816" spans="1:21" x14ac:dyDescent="0.35">
      <c r="A5816" s="2">
        <v>43193</v>
      </c>
      <c r="B5816" s="70" t="s">
        <v>29</v>
      </c>
      <c r="C5816">
        <v>72</v>
      </c>
      <c r="D5816" s="10">
        <v>299</v>
      </c>
      <c r="E5816" s="10" t="s">
        <v>33</v>
      </c>
      <c r="F5816" s="10" t="s">
        <v>646</v>
      </c>
      <c r="G5816" s="10" t="s">
        <v>651</v>
      </c>
    </row>
    <row r="5817" spans="1:21" x14ac:dyDescent="0.35">
      <c r="A5817" s="2">
        <v>43193</v>
      </c>
      <c r="B5817" s="70" t="s">
        <v>29</v>
      </c>
      <c r="C5817">
        <v>72</v>
      </c>
      <c r="D5817" s="10">
        <v>321</v>
      </c>
      <c r="E5817" s="10" t="s">
        <v>33</v>
      </c>
      <c r="F5817" s="10" t="s">
        <v>646</v>
      </c>
      <c r="G5817" s="10" t="s">
        <v>651</v>
      </c>
    </row>
    <row r="5818" spans="1:21" x14ac:dyDescent="0.35">
      <c r="A5818" s="2">
        <v>43193</v>
      </c>
      <c r="B5818" s="70" t="s">
        <v>29</v>
      </c>
      <c r="C5818">
        <v>68</v>
      </c>
      <c r="D5818" s="10">
        <v>195</v>
      </c>
      <c r="E5818" s="10" t="s">
        <v>34</v>
      </c>
      <c r="F5818" s="10" t="s">
        <v>646</v>
      </c>
      <c r="G5818" s="10" t="s">
        <v>651</v>
      </c>
      <c r="H5818" s="10" t="s">
        <v>674</v>
      </c>
    </row>
    <row r="5819" spans="1:21" x14ac:dyDescent="0.35">
      <c r="A5819" s="2">
        <v>43193</v>
      </c>
      <c r="B5819" s="70" t="s">
        <v>29</v>
      </c>
      <c r="C5819">
        <v>75</v>
      </c>
      <c r="D5819" s="10">
        <v>354</v>
      </c>
      <c r="E5819" s="10" t="s">
        <v>34</v>
      </c>
      <c r="F5819" s="10" t="s">
        <v>293</v>
      </c>
      <c r="G5819" s="10" t="s">
        <v>651</v>
      </c>
    </row>
    <row r="5820" spans="1:21" x14ac:dyDescent="0.35">
      <c r="A5820" s="2">
        <v>43193</v>
      </c>
      <c r="B5820" s="70" t="s">
        <v>29</v>
      </c>
      <c r="C5820">
        <v>67</v>
      </c>
      <c r="D5820" s="10">
        <v>251</v>
      </c>
      <c r="E5820" s="10" t="s">
        <v>34</v>
      </c>
      <c r="F5820" s="10" t="s">
        <v>476</v>
      </c>
      <c r="G5820" s="10" t="s">
        <v>651</v>
      </c>
    </row>
    <row r="5821" spans="1:21" x14ac:dyDescent="0.35">
      <c r="A5821" s="2">
        <v>43193</v>
      </c>
      <c r="B5821" s="70" t="s">
        <v>29</v>
      </c>
      <c r="C5821">
        <v>73</v>
      </c>
      <c r="D5821" s="10">
        <v>402</v>
      </c>
      <c r="E5821" s="10" t="s">
        <v>32</v>
      </c>
      <c r="F5821" s="10" t="s">
        <v>646</v>
      </c>
      <c r="G5821" s="10" t="s">
        <v>651</v>
      </c>
    </row>
    <row r="5822" spans="1:21" x14ac:dyDescent="0.35">
      <c r="A5822" s="2">
        <v>43193</v>
      </c>
      <c r="B5822" s="70" t="s">
        <v>29</v>
      </c>
      <c r="C5822">
        <v>75</v>
      </c>
      <c r="D5822" s="10">
        <v>326</v>
      </c>
      <c r="E5822" s="10" t="s">
        <v>34</v>
      </c>
      <c r="F5822" s="10" t="s">
        <v>646</v>
      </c>
      <c r="G5822" s="10" t="s">
        <v>651</v>
      </c>
    </row>
    <row r="5823" spans="1:21" x14ac:dyDescent="0.35">
      <c r="A5823" s="2">
        <v>43193</v>
      </c>
      <c r="B5823" s="70" t="s">
        <v>29</v>
      </c>
      <c r="C5823">
        <v>74</v>
      </c>
      <c r="D5823" s="10">
        <v>354</v>
      </c>
      <c r="E5823" s="10" t="s">
        <v>40</v>
      </c>
      <c r="F5823" s="10" t="s">
        <v>646</v>
      </c>
      <c r="G5823" s="10"/>
      <c r="N5823" t="s">
        <v>42</v>
      </c>
      <c r="O5823" t="s">
        <v>39</v>
      </c>
      <c r="P5823" t="s">
        <v>40</v>
      </c>
      <c r="Q5823" t="s">
        <v>36</v>
      </c>
      <c r="R5823" t="s">
        <v>33</v>
      </c>
      <c r="S5823" t="s">
        <v>34</v>
      </c>
      <c r="T5823" t="s">
        <v>32</v>
      </c>
      <c r="U5823" t="s">
        <v>37</v>
      </c>
    </row>
    <row r="5824" spans="1:21" x14ac:dyDescent="0.35">
      <c r="A5824" s="2">
        <v>43193</v>
      </c>
      <c r="B5824" s="70" t="s">
        <v>29</v>
      </c>
      <c r="C5824">
        <v>67</v>
      </c>
      <c r="D5824" s="10">
        <v>239</v>
      </c>
      <c r="E5824" s="10" t="s">
        <v>40</v>
      </c>
      <c r="F5824" s="10" t="s">
        <v>646</v>
      </c>
      <c r="G5824" s="10" t="s">
        <v>651</v>
      </c>
      <c r="N5824">
        <f>N5829+N5780</f>
        <v>0</v>
      </c>
      <c r="O5824">
        <f t="shared" ref="O5824:U5824" si="174">O5829+O5780</f>
        <v>4</v>
      </c>
      <c r="P5824">
        <f t="shared" si="174"/>
        <v>32</v>
      </c>
      <c r="Q5824">
        <f t="shared" si="174"/>
        <v>8</v>
      </c>
      <c r="R5824">
        <f t="shared" si="174"/>
        <v>78</v>
      </c>
      <c r="S5824">
        <f t="shared" si="174"/>
        <v>58</v>
      </c>
      <c r="T5824">
        <f t="shared" si="174"/>
        <v>11</v>
      </c>
      <c r="U5824">
        <f t="shared" si="174"/>
        <v>0</v>
      </c>
    </row>
    <row r="5825" spans="1:24" x14ac:dyDescent="0.35">
      <c r="A5825" s="2">
        <v>43193</v>
      </c>
      <c r="B5825" s="70" t="s">
        <v>29</v>
      </c>
      <c r="C5825">
        <v>70</v>
      </c>
      <c r="D5825" s="10">
        <v>254</v>
      </c>
      <c r="E5825" s="10" t="s">
        <v>33</v>
      </c>
      <c r="F5825" s="10" t="s">
        <v>646</v>
      </c>
      <c r="G5825" s="10" t="s">
        <v>651</v>
      </c>
      <c r="H5825" s="10" t="s">
        <v>675</v>
      </c>
      <c r="N5825">
        <f>N5824/191*100</f>
        <v>0</v>
      </c>
      <c r="O5825">
        <f t="shared" ref="O5825:U5825" si="175">O5824/191*100</f>
        <v>2.0942408376963351</v>
      </c>
      <c r="P5825">
        <f t="shared" si="175"/>
        <v>16.753926701570681</v>
      </c>
      <c r="Q5825">
        <f t="shared" si="175"/>
        <v>4.1884816753926701</v>
      </c>
      <c r="R5825">
        <f t="shared" si="175"/>
        <v>40.837696335078533</v>
      </c>
      <c r="S5825">
        <f t="shared" si="175"/>
        <v>30.366492146596858</v>
      </c>
      <c r="T5825">
        <f t="shared" si="175"/>
        <v>5.7591623036649215</v>
      </c>
      <c r="U5825">
        <f t="shared" si="175"/>
        <v>0</v>
      </c>
      <c r="W5825">
        <f>AVERAGE(C5764:C5834,C5589:C5708)</f>
        <v>70.979057591623032</v>
      </c>
      <c r="X5825">
        <f>AVERAGE(D5764:D5834,D5589:D5708)</f>
        <v>295.60526315789474</v>
      </c>
    </row>
    <row r="5826" spans="1:24" x14ac:dyDescent="0.35">
      <c r="A5826" s="2">
        <v>43193</v>
      </c>
      <c r="B5826" s="70" t="s">
        <v>29</v>
      </c>
      <c r="C5826">
        <v>70</v>
      </c>
      <c r="D5826" s="10">
        <v>327</v>
      </c>
      <c r="E5826" s="10" t="s">
        <v>36</v>
      </c>
      <c r="F5826" s="10" t="s">
        <v>646</v>
      </c>
      <c r="G5826" s="10" t="s">
        <v>651</v>
      </c>
      <c r="H5826" s="10" t="s">
        <v>675</v>
      </c>
    </row>
    <row r="5827" spans="1:24" x14ac:dyDescent="0.35">
      <c r="A5827" s="2">
        <v>43193</v>
      </c>
      <c r="B5827" s="70" t="s">
        <v>29</v>
      </c>
      <c r="C5827">
        <v>70</v>
      </c>
      <c r="D5827" s="10">
        <v>325</v>
      </c>
      <c r="E5827" s="10" t="s">
        <v>33</v>
      </c>
      <c r="F5827" s="10" t="s">
        <v>293</v>
      </c>
      <c r="G5827" s="10" t="s">
        <v>651</v>
      </c>
    </row>
    <row r="5828" spans="1:24" x14ac:dyDescent="0.35">
      <c r="A5828" s="2">
        <v>43193</v>
      </c>
      <c r="B5828" s="70" t="s">
        <v>29</v>
      </c>
      <c r="C5828">
        <v>74</v>
      </c>
      <c r="D5828" s="10">
        <v>317</v>
      </c>
      <c r="E5828" s="10" t="s">
        <v>34</v>
      </c>
      <c r="F5828" s="10" t="s">
        <v>646</v>
      </c>
      <c r="G5828" s="10" t="s">
        <v>651</v>
      </c>
      <c r="N5828" t="s">
        <v>42</v>
      </c>
      <c r="O5828" t="s">
        <v>39</v>
      </c>
      <c r="P5828" t="s">
        <v>40</v>
      </c>
      <c r="Q5828" t="s">
        <v>36</v>
      </c>
      <c r="R5828" t="s">
        <v>33</v>
      </c>
      <c r="S5828" t="s">
        <v>34</v>
      </c>
      <c r="T5828" t="s">
        <v>32</v>
      </c>
      <c r="U5828" t="s">
        <v>37</v>
      </c>
    </row>
    <row r="5829" spans="1:24" x14ac:dyDescent="0.35">
      <c r="A5829" s="2">
        <v>43193</v>
      </c>
      <c r="B5829" s="70" t="s">
        <v>29</v>
      </c>
      <c r="C5829">
        <v>71</v>
      </c>
      <c r="D5829" s="10">
        <v>302</v>
      </c>
      <c r="E5829" s="10" t="s">
        <v>33</v>
      </c>
      <c r="F5829" s="10" t="s">
        <v>646</v>
      </c>
      <c r="G5829" s="10" t="s">
        <v>651</v>
      </c>
      <c r="H5829" s="10" t="s">
        <v>675</v>
      </c>
      <c r="N5829">
        <f>N5833+N5707</f>
        <v>0</v>
      </c>
      <c r="O5829">
        <f t="shared" ref="O5829:U5829" si="176">O5833+O5707</f>
        <v>2</v>
      </c>
      <c r="P5829">
        <f t="shared" si="176"/>
        <v>17</v>
      </c>
      <c r="Q5829">
        <f t="shared" si="176"/>
        <v>4</v>
      </c>
      <c r="R5829">
        <f t="shared" si="176"/>
        <v>52</v>
      </c>
      <c r="S5829">
        <f t="shared" si="176"/>
        <v>28</v>
      </c>
      <c r="T5829">
        <f t="shared" si="176"/>
        <v>6</v>
      </c>
      <c r="U5829">
        <f t="shared" si="176"/>
        <v>0</v>
      </c>
    </row>
    <row r="5830" spans="1:24" x14ac:dyDescent="0.35">
      <c r="A5830" s="2">
        <v>43193</v>
      </c>
      <c r="B5830" s="70" t="s">
        <v>29</v>
      </c>
      <c r="C5830">
        <v>72</v>
      </c>
      <c r="D5830" s="10">
        <v>295</v>
      </c>
      <c r="E5830" s="10" t="s">
        <v>33</v>
      </c>
      <c r="F5830" s="10" t="s">
        <v>646</v>
      </c>
      <c r="G5830" s="10" t="s">
        <v>651</v>
      </c>
      <c r="N5830" s="8">
        <f>N5829/109*100</f>
        <v>0</v>
      </c>
      <c r="O5830" s="8">
        <f t="shared" ref="O5830:U5830" si="177">O5829/109*100</f>
        <v>1.834862385321101</v>
      </c>
      <c r="P5830" s="8">
        <f t="shared" si="177"/>
        <v>15.596330275229359</v>
      </c>
      <c r="Q5830" s="8">
        <f t="shared" si="177"/>
        <v>3.669724770642202</v>
      </c>
      <c r="R5830" s="8">
        <f t="shared" si="177"/>
        <v>47.706422018348626</v>
      </c>
      <c r="S5830" s="8">
        <f t="shared" si="177"/>
        <v>25.688073394495415</v>
      </c>
      <c r="T5830" s="8">
        <f t="shared" si="177"/>
        <v>5.5045871559633035</v>
      </c>
      <c r="U5830" s="8">
        <f t="shared" si="177"/>
        <v>0</v>
      </c>
      <c r="W5830" s="8">
        <f>AVERAGE(C5786:C5834,C5649:C5708)</f>
        <v>70.697247706422019</v>
      </c>
      <c r="X5830" s="8">
        <f>AVERAGE(D5786:D5834,D5649:D5708)</f>
        <v>296.08333333333331</v>
      </c>
    </row>
    <row r="5831" spans="1:24" x14ac:dyDescent="0.35">
      <c r="A5831" s="2">
        <v>43193</v>
      </c>
      <c r="B5831" s="70" t="s">
        <v>29</v>
      </c>
      <c r="C5831">
        <v>65</v>
      </c>
      <c r="D5831" s="10">
        <v>236</v>
      </c>
      <c r="E5831" s="10" t="s">
        <v>40</v>
      </c>
      <c r="F5831" s="10" t="s">
        <v>646</v>
      </c>
      <c r="G5831" s="10" t="s">
        <v>651</v>
      </c>
    </row>
    <row r="5832" spans="1:24" x14ac:dyDescent="0.35">
      <c r="A5832" s="2">
        <v>43193</v>
      </c>
      <c r="B5832" s="70" t="s">
        <v>29</v>
      </c>
      <c r="C5832">
        <v>73</v>
      </c>
      <c r="D5832" s="10">
        <v>345</v>
      </c>
      <c r="E5832" s="10" t="s">
        <v>34</v>
      </c>
      <c r="F5832" s="10" t="s">
        <v>646</v>
      </c>
      <c r="G5832" s="10" t="s">
        <v>651</v>
      </c>
      <c r="N5832" t="s">
        <v>42</v>
      </c>
      <c r="O5832" t="s">
        <v>39</v>
      </c>
      <c r="P5832" t="s">
        <v>40</v>
      </c>
      <c r="Q5832" t="s">
        <v>36</v>
      </c>
      <c r="R5832" t="s">
        <v>33</v>
      </c>
      <c r="S5832" t="s">
        <v>34</v>
      </c>
      <c r="T5832" t="s">
        <v>32</v>
      </c>
      <c r="U5832" t="s">
        <v>37</v>
      </c>
    </row>
    <row r="5833" spans="1:24" x14ac:dyDescent="0.35">
      <c r="A5833" s="2">
        <v>43193</v>
      </c>
      <c r="B5833" s="70" t="s">
        <v>29</v>
      </c>
      <c r="C5833">
        <v>74</v>
      </c>
      <c r="D5833" s="10">
        <v>330</v>
      </c>
      <c r="E5833" s="10" t="s">
        <v>33</v>
      </c>
      <c r="F5833" s="10" t="s">
        <v>646</v>
      </c>
      <c r="G5833" s="10" t="s">
        <v>651</v>
      </c>
      <c r="N5833" s="5">
        <f>COUNTIF(E5786:E5834,"VA")</f>
        <v>0</v>
      </c>
      <c r="O5833" s="5">
        <f>COUNTIF(E5786:E5834,"VB")</f>
        <v>1</v>
      </c>
      <c r="P5833" s="5">
        <f>COUNTIF(E5786:E5834,"VIA0")</f>
        <v>9</v>
      </c>
      <c r="Q5833" s="5">
        <f>COUNTIF(E5786:E5834,"VIA1")</f>
        <v>3</v>
      </c>
      <c r="R5833" s="5">
        <f>COUNTIF(E5786:E5834,"VIA2")</f>
        <v>25</v>
      </c>
      <c r="S5833" s="5">
        <f>COUNTIF(E5786:E5834,"VIA3")</f>
        <v>10</v>
      </c>
      <c r="T5833" s="5">
        <f>COUNTIF(E5786:E5834,"VIA4")</f>
        <v>1</v>
      </c>
      <c r="U5833" s="5">
        <f>COUNTIF(E5786:E5834,"VIB")</f>
        <v>0</v>
      </c>
      <c r="W5833">
        <f>AVERAGE(C5786:C5834)</f>
        <v>71.204081632653057</v>
      </c>
      <c r="X5833">
        <f>AVERAGE(D5786:D5834)</f>
        <v>310.42857142857144</v>
      </c>
    </row>
    <row r="5834" spans="1:24" s="4" customFormat="1" x14ac:dyDescent="0.35">
      <c r="A5834" s="3">
        <v>43193</v>
      </c>
      <c r="B5834" s="44" t="s">
        <v>29</v>
      </c>
      <c r="C5834" s="4">
        <v>71</v>
      </c>
      <c r="D5834" s="11">
        <v>309</v>
      </c>
      <c r="E5834" s="11" t="s">
        <v>36</v>
      </c>
      <c r="F5834" s="11" t="s">
        <v>646</v>
      </c>
      <c r="G5834" s="11" t="s">
        <v>651</v>
      </c>
      <c r="N5834" s="6">
        <f>N5833/49*100</f>
        <v>0</v>
      </c>
      <c r="O5834" s="6">
        <f t="shared" ref="O5834:U5834" si="178">O5833/49*100</f>
        <v>2.0408163265306123</v>
      </c>
      <c r="P5834" s="6">
        <f t="shared" si="178"/>
        <v>18.367346938775512</v>
      </c>
      <c r="Q5834" s="6">
        <f t="shared" si="178"/>
        <v>6.1224489795918364</v>
      </c>
      <c r="R5834" s="6">
        <f t="shared" si="178"/>
        <v>51.020408163265309</v>
      </c>
      <c r="S5834" s="6">
        <f t="shared" si="178"/>
        <v>20.408163265306122</v>
      </c>
      <c r="T5834" s="6">
        <f t="shared" si="178"/>
        <v>2.0408163265306123</v>
      </c>
      <c r="U5834" s="6">
        <f t="shared" si="178"/>
        <v>0</v>
      </c>
    </row>
    <row r="5835" spans="1:24" x14ac:dyDescent="0.35">
      <c r="A5835" s="2">
        <v>43193</v>
      </c>
      <c r="B5835" s="70" t="s">
        <v>63</v>
      </c>
      <c r="C5835" s="10">
        <v>70</v>
      </c>
      <c r="D5835" s="10">
        <v>268</v>
      </c>
      <c r="E5835" s="10" t="s">
        <v>33</v>
      </c>
      <c r="F5835" s="10" t="s">
        <v>646</v>
      </c>
      <c r="G5835" s="10" t="s">
        <v>651</v>
      </c>
      <c r="H5835" t="s">
        <v>674</v>
      </c>
      <c r="L5835">
        <f>COUNTIF(F5835:F5844,"F--")</f>
        <v>4</v>
      </c>
    </row>
    <row r="5836" spans="1:24" x14ac:dyDescent="0.35">
      <c r="A5836" s="2">
        <v>43193</v>
      </c>
      <c r="B5836" s="70" t="s">
        <v>63</v>
      </c>
      <c r="C5836" s="10">
        <v>72</v>
      </c>
      <c r="D5836" s="10">
        <v>286</v>
      </c>
      <c r="E5836" s="10" t="s">
        <v>40</v>
      </c>
      <c r="F5836" s="10" t="s">
        <v>476</v>
      </c>
      <c r="G5836" s="10" t="s">
        <v>651</v>
      </c>
    </row>
    <row r="5837" spans="1:24" x14ac:dyDescent="0.35">
      <c r="A5837" s="2">
        <v>43193</v>
      </c>
      <c r="B5837" s="70" t="s">
        <v>63</v>
      </c>
      <c r="C5837" s="10">
        <v>78</v>
      </c>
      <c r="D5837" s="10">
        <v>297</v>
      </c>
      <c r="E5837" s="10" t="s">
        <v>36</v>
      </c>
      <c r="F5837" s="10" t="s">
        <v>476</v>
      </c>
      <c r="G5837" s="10" t="s">
        <v>651</v>
      </c>
    </row>
    <row r="5838" spans="1:24" s="4" customFormat="1" x14ac:dyDescent="0.35">
      <c r="A5838" s="3">
        <v>43193</v>
      </c>
      <c r="B5838" s="44" t="s">
        <v>63</v>
      </c>
      <c r="C5838" s="11">
        <v>77</v>
      </c>
      <c r="D5838" s="11">
        <v>393</v>
      </c>
      <c r="E5838" s="11" t="s">
        <v>42</v>
      </c>
      <c r="F5838" s="4" t="s">
        <v>646</v>
      </c>
    </row>
    <row r="5839" spans="1:24" x14ac:dyDescent="0.35">
      <c r="A5839" s="2">
        <v>43193</v>
      </c>
      <c r="B5839" s="70" t="s">
        <v>66</v>
      </c>
      <c r="C5839">
        <v>73</v>
      </c>
      <c r="D5839" s="10">
        <v>353</v>
      </c>
      <c r="E5839" s="10" t="s">
        <v>33</v>
      </c>
      <c r="F5839" s="10" t="s">
        <v>293</v>
      </c>
      <c r="G5839" s="10" t="s">
        <v>676</v>
      </c>
      <c r="H5839" s="10" t="s">
        <v>677</v>
      </c>
    </row>
    <row r="5840" spans="1:24" x14ac:dyDescent="0.35">
      <c r="A5840" s="2">
        <v>43193</v>
      </c>
      <c r="B5840" s="70" t="s">
        <v>66</v>
      </c>
      <c r="C5840">
        <v>68</v>
      </c>
      <c r="D5840" s="10">
        <v>245</v>
      </c>
      <c r="E5840" s="10" t="s">
        <v>36</v>
      </c>
      <c r="F5840" s="10" t="s">
        <v>198</v>
      </c>
      <c r="H5840" t="s">
        <v>674</v>
      </c>
    </row>
    <row r="5841" spans="1:24" x14ac:dyDescent="0.35">
      <c r="A5841" s="2">
        <v>43193</v>
      </c>
      <c r="B5841" s="70" t="s">
        <v>66</v>
      </c>
      <c r="C5841">
        <v>66</v>
      </c>
      <c r="D5841" s="10">
        <v>209</v>
      </c>
      <c r="E5841" s="10" t="s">
        <v>33</v>
      </c>
      <c r="F5841" s="10" t="s">
        <v>476</v>
      </c>
    </row>
    <row r="5842" spans="1:24" x14ac:dyDescent="0.35">
      <c r="A5842" s="2">
        <v>43193</v>
      </c>
      <c r="B5842" s="70" t="s">
        <v>66</v>
      </c>
      <c r="C5842">
        <v>68</v>
      </c>
      <c r="D5842" s="10">
        <v>225</v>
      </c>
      <c r="E5842" s="10" t="s">
        <v>33</v>
      </c>
      <c r="F5842" s="10" t="s">
        <v>646</v>
      </c>
      <c r="G5842" s="10" t="s">
        <v>651</v>
      </c>
    </row>
    <row r="5843" spans="1:24" s="4" customFormat="1" x14ac:dyDescent="0.35">
      <c r="A5843" s="3">
        <v>43193</v>
      </c>
      <c r="B5843" s="44" t="s">
        <v>66</v>
      </c>
      <c r="C5843" s="4">
        <v>100</v>
      </c>
      <c r="D5843" s="4">
        <v>833</v>
      </c>
      <c r="E5843" s="4" t="s">
        <v>59</v>
      </c>
      <c r="N5843" t="s">
        <v>42</v>
      </c>
      <c r="O5843" t="s">
        <v>39</v>
      </c>
      <c r="P5843" t="s">
        <v>40</v>
      </c>
      <c r="Q5843" t="s">
        <v>36</v>
      </c>
      <c r="R5843" t="s">
        <v>33</v>
      </c>
      <c r="S5843" t="s">
        <v>34</v>
      </c>
      <c r="T5843" t="s">
        <v>32</v>
      </c>
      <c r="U5843" t="s">
        <v>37</v>
      </c>
    </row>
    <row r="5844" spans="1:24" s="22" customFormat="1" x14ac:dyDescent="0.35">
      <c r="A5844" s="19">
        <v>43193</v>
      </c>
      <c r="B5844" s="71" t="s">
        <v>102</v>
      </c>
      <c r="C5844" s="20">
        <v>72</v>
      </c>
      <c r="D5844" s="20">
        <v>302</v>
      </c>
      <c r="E5844" s="20" t="s">
        <v>39</v>
      </c>
      <c r="F5844" s="20" t="s">
        <v>646</v>
      </c>
      <c r="N5844" s="5">
        <f>COUNTIF(E5835:E5844,"VA")</f>
        <v>1</v>
      </c>
      <c r="O5844" s="5">
        <f>COUNTIF(E5835:E5844,"VB")</f>
        <v>1</v>
      </c>
      <c r="P5844" s="5">
        <f>COUNTIF(E5835:E5844,"VIA0")</f>
        <v>1</v>
      </c>
      <c r="Q5844" s="5">
        <v>2</v>
      </c>
      <c r="R5844" s="5">
        <v>4</v>
      </c>
      <c r="S5844" s="5">
        <v>0</v>
      </c>
      <c r="T5844" s="5">
        <v>0</v>
      </c>
      <c r="U5844" s="5">
        <f>COUNTIF(E5797:E5845,"VIB")</f>
        <v>0</v>
      </c>
    </row>
    <row r="5845" spans="1:24" x14ac:dyDescent="0.35">
      <c r="A5845" s="2">
        <v>43193</v>
      </c>
      <c r="B5845" s="70" t="s">
        <v>143</v>
      </c>
      <c r="C5845" s="10">
        <v>72</v>
      </c>
      <c r="D5845" s="10">
        <v>313</v>
      </c>
      <c r="E5845" s="10" t="s">
        <v>39</v>
      </c>
      <c r="F5845" s="10" t="s">
        <v>646</v>
      </c>
      <c r="N5845" s="8">
        <f>N5844/9*100</f>
        <v>11.111111111111111</v>
      </c>
      <c r="O5845" s="8">
        <f t="shared" ref="O5845:U5845" si="179">O5844/9*100</f>
        <v>11.111111111111111</v>
      </c>
      <c r="P5845" s="8">
        <f t="shared" si="179"/>
        <v>11.111111111111111</v>
      </c>
      <c r="Q5845" s="8">
        <f t="shared" si="179"/>
        <v>22.222222222222221</v>
      </c>
      <c r="R5845" s="8">
        <f t="shared" si="179"/>
        <v>44.444444444444443</v>
      </c>
      <c r="S5845" s="8">
        <f t="shared" si="179"/>
        <v>0</v>
      </c>
      <c r="T5845" s="8">
        <f t="shared" si="179"/>
        <v>0</v>
      </c>
      <c r="U5845" s="8">
        <f t="shared" si="179"/>
        <v>0</v>
      </c>
      <c r="W5845" s="8">
        <f>AVERAGE(C5835:C5842,C5844)</f>
        <v>71.555555555555557</v>
      </c>
      <c r="X5845" s="8">
        <f>AVERAGE(D5835:D5842,D5844)</f>
        <v>286.44444444444446</v>
      </c>
    </row>
    <row r="5846" spans="1:24" x14ac:dyDescent="0.35">
      <c r="A5846" s="2">
        <v>43193</v>
      </c>
      <c r="B5846" s="70" t="s">
        <v>143</v>
      </c>
      <c r="C5846" s="10">
        <v>71</v>
      </c>
      <c r="D5846" s="10">
        <v>339</v>
      </c>
      <c r="E5846" s="10" t="s">
        <v>39</v>
      </c>
      <c r="F5846" s="10" t="s">
        <v>476</v>
      </c>
    </row>
    <row r="5847" spans="1:24" s="4" customFormat="1" x14ac:dyDescent="0.35">
      <c r="A5847" s="3">
        <v>43193</v>
      </c>
      <c r="B5847" s="44" t="s">
        <v>143</v>
      </c>
      <c r="C5847" s="4">
        <v>68</v>
      </c>
      <c r="D5847" s="4">
        <v>261</v>
      </c>
      <c r="E5847" s="4" t="s">
        <v>34</v>
      </c>
      <c r="F5847" s="4" t="s">
        <v>646</v>
      </c>
    </row>
    <row r="5848" spans="1:24" x14ac:dyDescent="0.35">
      <c r="A5848" s="2">
        <v>43196</v>
      </c>
      <c r="B5848" s="70" t="s">
        <v>29</v>
      </c>
      <c r="C5848" s="10">
        <v>74</v>
      </c>
      <c r="D5848" s="10">
        <v>339</v>
      </c>
      <c r="E5848" s="10" t="s">
        <v>34</v>
      </c>
      <c r="F5848" s="10" t="s">
        <v>646</v>
      </c>
      <c r="G5848" t="s">
        <v>651</v>
      </c>
      <c r="M5848">
        <f>COUNTIF(F5848:F5951,"F0")</f>
        <v>60</v>
      </c>
    </row>
    <row r="5849" spans="1:24" x14ac:dyDescent="0.35">
      <c r="A5849" s="2">
        <v>43196</v>
      </c>
      <c r="B5849" s="70" t="s">
        <v>29</v>
      </c>
      <c r="C5849" s="10">
        <v>71</v>
      </c>
      <c r="D5849" s="10">
        <v>338</v>
      </c>
      <c r="E5849" s="10" t="s">
        <v>33</v>
      </c>
      <c r="F5849" s="10" t="s">
        <v>476</v>
      </c>
    </row>
    <row r="5850" spans="1:24" x14ac:dyDescent="0.35">
      <c r="A5850" s="2">
        <v>43196</v>
      </c>
      <c r="B5850" s="70" t="s">
        <v>29</v>
      </c>
      <c r="C5850" s="10">
        <v>71</v>
      </c>
      <c r="D5850" s="10">
        <v>363</v>
      </c>
      <c r="E5850" s="10" t="s">
        <v>33</v>
      </c>
      <c r="F5850" s="10" t="s">
        <v>476</v>
      </c>
      <c r="G5850" t="s">
        <v>651</v>
      </c>
      <c r="I5850" t="s">
        <v>678</v>
      </c>
    </row>
    <row r="5851" spans="1:24" x14ac:dyDescent="0.35">
      <c r="A5851" s="2">
        <v>43196</v>
      </c>
      <c r="B5851" s="70" t="s">
        <v>29</v>
      </c>
      <c r="C5851" s="10">
        <v>71</v>
      </c>
      <c r="D5851" s="10">
        <v>286</v>
      </c>
      <c r="E5851" s="10" t="s">
        <v>33</v>
      </c>
      <c r="F5851" s="10" t="s">
        <v>293</v>
      </c>
    </row>
    <row r="5852" spans="1:24" x14ac:dyDescent="0.35">
      <c r="A5852" s="2">
        <v>43196</v>
      </c>
      <c r="B5852" s="70" t="s">
        <v>29</v>
      </c>
      <c r="C5852" s="10">
        <v>72</v>
      </c>
      <c r="D5852" s="10">
        <v>320</v>
      </c>
      <c r="E5852" s="10" t="s">
        <v>36</v>
      </c>
      <c r="F5852" s="10" t="s">
        <v>646</v>
      </c>
      <c r="G5852" t="s">
        <v>651</v>
      </c>
    </row>
    <row r="5853" spans="1:24" x14ac:dyDescent="0.35">
      <c r="A5853" s="2">
        <v>43196</v>
      </c>
      <c r="B5853" s="70" t="s">
        <v>29</v>
      </c>
      <c r="C5853" s="10">
        <v>74</v>
      </c>
      <c r="D5853" s="10">
        <v>299</v>
      </c>
      <c r="E5853" s="10" t="s">
        <v>33</v>
      </c>
      <c r="F5853" s="10" t="s">
        <v>476</v>
      </c>
      <c r="G5853" t="s">
        <v>651</v>
      </c>
    </row>
    <row r="5854" spans="1:24" x14ac:dyDescent="0.35">
      <c r="A5854" s="2">
        <v>43196</v>
      </c>
      <c r="B5854" s="70" t="s">
        <v>29</v>
      </c>
      <c r="C5854" s="10">
        <v>68</v>
      </c>
      <c r="D5854" s="10">
        <v>288</v>
      </c>
      <c r="E5854" s="10" t="s">
        <v>34</v>
      </c>
      <c r="F5854" s="10" t="s">
        <v>476</v>
      </c>
      <c r="G5854" t="s">
        <v>651</v>
      </c>
    </row>
    <row r="5855" spans="1:24" x14ac:dyDescent="0.35">
      <c r="A5855" s="2">
        <v>43196</v>
      </c>
      <c r="B5855" s="70" t="s">
        <v>29</v>
      </c>
      <c r="C5855" s="10">
        <v>74</v>
      </c>
      <c r="D5855" s="10">
        <v>383</v>
      </c>
      <c r="E5855" s="10" t="s">
        <v>33</v>
      </c>
      <c r="F5855" s="10" t="s">
        <v>646</v>
      </c>
      <c r="G5855" t="s">
        <v>651</v>
      </c>
    </row>
    <row r="5856" spans="1:24" x14ac:dyDescent="0.35">
      <c r="A5856" s="2">
        <v>43196</v>
      </c>
      <c r="B5856" s="70" t="s">
        <v>29</v>
      </c>
      <c r="C5856" s="10">
        <v>71</v>
      </c>
      <c r="D5856" s="10">
        <v>281</v>
      </c>
      <c r="E5856" s="10" t="s">
        <v>33</v>
      </c>
      <c r="F5856" s="10" t="s">
        <v>476</v>
      </c>
      <c r="G5856" t="s">
        <v>651</v>
      </c>
    </row>
    <row r="5857" spans="1:8" x14ac:dyDescent="0.35">
      <c r="A5857" s="2">
        <v>43196</v>
      </c>
      <c r="B5857" s="70" t="s">
        <v>29</v>
      </c>
      <c r="C5857" s="10">
        <v>81</v>
      </c>
      <c r="D5857" s="10">
        <v>517</v>
      </c>
      <c r="E5857" s="10" t="s">
        <v>33</v>
      </c>
      <c r="F5857" s="10" t="s">
        <v>646</v>
      </c>
      <c r="G5857" t="s">
        <v>651</v>
      </c>
    </row>
    <row r="5858" spans="1:8" x14ac:dyDescent="0.35">
      <c r="A5858" s="2">
        <v>43196</v>
      </c>
      <c r="B5858" s="70" t="s">
        <v>29</v>
      </c>
      <c r="C5858" s="10">
        <v>70</v>
      </c>
      <c r="D5858" s="10">
        <v>281</v>
      </c>
      <c r="E5858" s="10" t="s">
        <v>33</v>
      </c>
      <c r="F5858" s="10" t="s">
        <v>476</v>
      </c>
      <c r="G5858" t="s">
        <v>651</v>
      </c>
    </row>
    <row r="5859" spans="1:8" x14ac:dyDescent="0.35">
      <c r="A5859" s="2">
        <v>43196</v>
      </c>
      <c r="B5859" s="70" t="s">
        <v>29</v>
      </c>
      <c r="C5859" s="10">
        <v>65</v>
      </c>
      <c r="D5859" s="10">
        <v>229</v>
      </c>
      <c r="E5859" s="10" t="s">
        <v>40</v>
      </c>
      <c r="F5859" s="10" t="s">
        <v>476</v>
      </c>
    </row>
    <row r="5860" spans="1:8" x14ac:dyDescent="0.35">
      <c r="A5860" s="2">
        <v>43196</v>
      </c>
      <c r="B5860" s="70" t="s">
        <v>29</v>
      </c>
      <c r="C5860" s="10">
        <v>69</v>
      </c>
      <c r="D5860" s="10">
        <v>323</v>
      </c>
      <c r="E5860" s="10" t="s">
        <v>40</v>
      </c>
      <c r="F5860" s="10" t="s">
        <v>476</v>
      </c>
      <c r="G5860" t="s">
        <v>651</v>
      </c>
    </row>
    <row r="5861" spans="1:8" x14ac:dyDescent="0.35">
      <c r="A5861" s="2">
        <v>43196</v>
      </c>
      <c r="B5861" s="70" t="s">
        <v>29</v>
      </c>
      <c r="C5861" s="10">
        <v>67</v>
      </c>
      <c r="D5861" s="10">
        <v>236</v>
      </c>
      <c r="E5861" s="10" t="s">
        <v>34</v>
      </c>
      <c r="F5861" s="10" t="s">
        <v>646</v>
      </c>
      <c r="G5861" t="s">
        <v>651</v>
      </c>
    </row>
    <row r="5862" spans="1:8" x14ac:dyDescent="0.35">
      <c r="A5862" s="2">
        <v>43196</v>
      </c>
      <c r="B5862" s="70" t="s">
        <v>29</v>
      </c>
      <c r="C5862" s="10">
        <v>69</v>
      </c>
      <c r="D5862" s="10">
        <v>280</v>
      </c>
      <c r="E5862" s="10" t="s">
        <v>32</v>
      </c>
      <c r="F5862" s="10" t="s">
        <v>198</v>
      </c>
      <c r="G5862" t="s">
        <v>651</v>
      </c>
    </row>
    <row r="5863" spans="1:8" x14ac:dyDescent="0.35">
      <c r="A5863" s="2">
        <v>43196</v>
      </c>
      <c r="B5863" s="70" t="s">
        <v>29</v>
      </c>
      <c r="C5863" s="10">
        <v>71</v>
      </c>
      <c r="D5863" s="10">
        <v>357</v>
      </c>
      <c r="E5863" s="10" t="s">
        <v>33</v>
      </c>
      <c r="F5863" s="10" t="s">
        <v>293</v>
      </c>
      <c r="G5863" t="s">
        <v>651</v>
      </c>
    </row>
    <row r="5864" spans="1:8" x14ac:dyDescent="0.35">
      <c r="A5864" s="2">
        <v>43196</v>
      </c>
      <c r="B5864" s="70" t="s">
        <v>29</v>
      </c>
      <c r="C5864" s="10">
        <v>68</v>
      </c>
      <c r="D5864" s="10">
        <v>274</v>
      </c>
      <c r="E5864" s="10" t="s">
        <v>33</v>
      </c>
      <c r="F5864" s="10" t="s">
        <v>476</v>
      </c>
      <c r="G5864" t="s">
        <v>651</v>
      </c>
    </row>
    <row r="5865" spans="1:8" x14ac:dyDescent="0.35">
      <c r="A5865" s="2">
        <v>43196</v>
      </c>
      <c r="B5865" s="70" t="s">
        <v>29</v>
      </c>
      <c r="C5865" s="10">
        <v>77</v>
      </c>
      <c r="D5865" s="10">
        <v>440</v>
      </c>
      <c r="E5865" s="10" t="s">
        <v>33</v>
      </c>
      <c r="F5865" s="10" t="s">
        <v>646</v>
      </c>
      <c r="G5865" t="s">
        <v>651</v>
      </c>
    </row>
    <row r="5866" spans="1:8" x14ac:dyDescent="0.35">
      <c r="A5866" s="2">
        <v>43196</v>
      </c>
      <c r="B5866" s="70" t="s">
        <v>29</v>
      </c>
      <c r="C5866" s="10">
        <v>74</v>
      </c>
      <c r="D5866" s="10">
        <v>378</v>
      </c>
      <c r="E5866" s="10" t="s">
        <v>34</v>
      </c>
      <c r="F5866" s="10" t="s">
        <v>646</v>
      </c>
      <c r="G5866" t="s">
        <v>651</v>
      </c>
    </row>
    <row r="5867" spans="1:8" x14ac:dyDescent="0.35">
      <c r="A5867" s="2">
        <v>43196</v>
      </c>
      <c r="B5867" s="70" t="s">
        <v>29</v>
      </c>
      <c r="C5867" s="10">
        <v>72</v>
      </c>
      <c r="D5867" s="10">
        <v>344</v>
      </c>
      <c r="E5867" s="10" t="s">
        <v>33</v>
      </c>
      <c r="F5867" s="10" t="s">
        <v>476</v>
      </c>
      <c r="G5867" t="s">
        <v>651</v>
      </c>
    </row>
    <row r="5868" spans="1:8" x14ac:dyDescent="0.35">
      <c r="A5868" s="2">
        <v>43196</v>
      </c>
      <c r="B5868" s="70" t="s">
        <v>29</v>
      </c>
      <c r="C5868" s="10">
        <v>73</v>
      </c>
      <c r="D5868" s="10">
        <v>351</v>
      </c>
      <c r="E5868" s="10" t="s">
        <v>33</v>
      </c>
      <c r="F5868" s="10" t="s">
        <v>476</v>
      </c>
      <c r="G5868" t="s">
        <v>651</v>
      </c>
    </row>
    <row r="5869" spans="1:8" x14ac:dyDescent="0.35">
      <c r="A5869" s="2">
        <v>43196</v>
      </c>
      <c r="B5869" s="70" t="s">
        <v>29</v>
      </c>
      <c r="C5869" s="10">
        <v>72</v>
      </c>
      <c r="D5869" s="10">
        <v>377</v>
      </c>
      <c r="E5869" s="10" t="s">
        <v>36</v>
      </c>
      <c r="F5869" s="10" t="s">
        <v>476</v>
      </c>
      <c r="G5869" t="s">
        <v>651</v>
      </c>
      <c r="H5869" t="s">
        <v>678</v>
      </c>
    </row>
    <row r="5870" spans="1:8" x14ac:dyDescent="0.35">
      <c r="A5870" s="2">
        <v>43196</v>
      </c>
      <c r="B5870" s="70" t="s">
        <v>29</v>
      </c>
      <c r="C5870" s="10">
        <v>73</v>
      </c>
      <c r="D5870" s="10">
        <v>400</v>
      </c>
      <c r="E5870" s="10" t="s">
        <v>33</v>
      </c>
      <c r="F5870" s="10" t="s">
        <v>646</v>
      </c>
      <c r="G5870" t="s">
        <v>651</v>
      </c>
    </row>
    <row r="5871" spans="1:8" x14ac:dyDescent="0.35">
      <c r="A5871" s="2">
        <v>43196</v>
      </c>
      <c r="B5871" s="70" t="s">
        <v>29</v>
      </c>
      <c r="C5871" s="10">
        <v>70</v>
      </c>
      <c r="D5871" s="10">
        <v>329</v>
      </c>
      <c r="E5871" s="10" t="s">
        <v>34</v>
      </c>
      <c r="F5871" s="10" t="s">
        <v>646</v>
      </c>
    </row>
    <row r="5872" spans="1:8" x14ac:dyDescent="0.35">
      <c r="A5872" s="2">
        <v>43196</v>
      </c>
      <c r="B5872" s="70" t="s">
        <v>29</v>
      </c>
      <c r="C5872" s="10">
        <v>73</v>
      </c>
      <c r="D5872" s="10">
        <v>348</v>
      </c>
      <c r="E5872" s="10" t="s">
        <v>33</v>
      </c>
      <c r="F5872" s="10" t="s">
        <v>646</v>
      </c>
    </row>
    <row r="5873" spans="1:9" x14ac:dyDescent="0.35">
      <c r="A5873" s="2">
        <v>43196</v>
      </c>
      <c r="B5873" s="70" t="s">
        <v>29</v>
      </c>
      <c r="C5873" s="10">
        <v>71</v>
      </c>
      <c r="D5873" s="10">
        <v>330</v>
      </c>
      <c r="E5873" s="10" t="s">
        <v>40</v>
      </c>
      <c r="F5873" s="10" t="s">
        <v>476</v>
      </c>
      <c r="G5873" t="s">
        <v>651</v>
      </c>
      <c r="I5873" t="s">
        <v>679</v>
      </c>
    </row>
    <row r="5874" spans="1:9" x14ac:dyDescent="0.35">
      <c r="A5874" s="2">
        <v>43196</v>
      </c>
      <c r="B5874" s="70" t="s">
        <v>29</v>
      </c>
      <c r="C5874" s="10">
        <v>79</v>
      </c>
      <c r="D5874" s="10">
        <v>315</v>
      </c>
      <c r="E5874" s="10" t="s">
        <v>33</v>
      </c>
      <c r="F5874" s="10" t="s">
        <v>476</v>
      </c>
      <c r="G5874" t="s">
        <v>651</v>
      </c>
      <c r="I5874" t="s">
        <v>678</v>
      </c>
    </row>
    <row r="5875" spans="1:9" x14ac:dyDescent="0.35">
      <c r="A5875" s="2">
        <v>43196</v>
      </c>
      <c r="B5875" s="70" t="s">
        <v>29</v>
      </c>
      <c r="C5875" s="10">
        <v>78</v>
      </c>
      <c r="D5875" s="10">
        <v>326</v>
      </c>
      <c r="E5875" s="10" t="s">
        <v>33</v>
      </c>
      <c r="F5875" s="10" t="s">
        <v>476</v>
      </c>
      <c r="G5875" t="s">
        <v>651</v>
      </c>
      <c r="I5875" t="s">
        <v>680</v>
      </c>
    </row>
    <row r="5876" spans="1:9" x14ac:dyDescent="0.35">
      <c r="A5876" s="2">
        <v>43196</v>
      </c>
      <c r="B5876" s="70" t="s">
        <v>29</v>
      </c>
      <c r="C5876" s="10">
        <v>79</v>
      </c>
      <c r="D5876" s="10">
        <v>511</v>
      </c>
      <c r="E5876" s="10" t="s">
        <v>40</v>
      </c>
      <c r="F5876" s="10" t="s">
        <v>476</v>
      </c>
      <c r="G5876" t="s">
        <v>651</v>
      </c>
    </row>
    <row r="5877" spans="1:9" x14ac:dyDescent="0.35">
      <c r="A5877" s="2">
        <v>43196</v>
      </c>
      <c r="B5877" s="70" t="s">
        <v>29</v>
      </c>
      <c r="C5877" s="10">
        <v>73</v>
      </c>
      <c r="D5877" s="10">
        <v>353</v>
      </c>
      <c r="E5877" s="10" t="s">
        <v>33</v>
      </c>
      <c r="F5877" s="10" t="s">
        <v>476</v>
      </c>
      <c r="G5877" t="s">
        <v>651</v>
      </c>
    </row>
    <row r="5878" spans="1:9" x14ac:dyDescent="0.35">
      <c r="A5878" s="2">
        <v>43196</v>
      </c>
      <c r="B5878" s="70" t="s">
        <v>29</v>
      </c>
      <c r="C5878" s="10">
        <v>73</v>
      </c>
      <c r="D5878" s="10">
        <v>388</v>
      </c>
      <c r="E5878" s="10" t="s">
        <v>33</v>
      </c>
      <c r="F5878" s="10" t="s">
        <v>476</v>
      </c>
      <c r="G5878" t="s">
        <v>651</v>
      </c>
    </row>
    <row r="5879" spans="1:9" x14ac:dyDescent="0.35">
      <c r="A5879" s="2">
        <v>43196</v>
      </c>
      <c r="B5879" s="70" t="s">
        <v>29</v>
      </c>
      <c r="C5879" s="10">
        <v>78</v>
      </c>
      <c r="D5879" s="10">
        <v>431</v>
      </c>
      <c r="E5879" s="10" t="s">
        <v>33</v>
      </c>
      <c r="F5879" s="10" t="s">
        <v>476</v>
      </c>
      <c r="G5879" t="s">
        <v>651</v>
      </c>
      <c r="I5879" t="s">
        <v>681</v>
      </c>
    </row>
    <row r="5880" spans="1:9" x14ac:dyDescent="0.35">
      <c r="A5880" s="2">
        <v>43196</v>
      </c>
      <c r="B5880" s="70" t="s">
        <v>29</v>
      </c>
      <c r="C5880" s="10">
        <v>69</v>
      </c>
      <c r="D5880" s="10">
        <v>270</v>
      </c>
      <c r="E5880" s="10" t="s">
        <v>40</v>
      </c>
      <c r="F5880" s="10" t="s">
        <v>476</v>
      </c>
    </row>
    <row r="5881" spans="1:9" x14ac:dyDescent="0.35">
      <c r="A5881" s="2">
        <v>43196</v>
      </c>
      <c r="B5881" s="70" t="s">
        <v>29</v>
      </c>
      <c r="C5881" s="10">
        <v>77</v>
      </c>
      <c r="D5881" s="10">
        <v>390</v>
      </c>
      <c r="E5881" s="10" t="s">
        <v>34</v>
      </c>
      <c r="F5881" s="10" t="s">
        <v>646</v>
      </c>
      <c r="G5881" t="s">
        <v>651</v>
      </c>
    </row>
    <row r="5882" spans="1:9" x14ac:dyDescent="0.35">
      <c r="A5882" s="2">
        <v>43196</v>
      </c>
      <c r="B5882" s="70" t="s">
        <v>29</v>
      </c>
      <c r="C5882" s="10">
        <v>74</v>
      </c>
      <c r="D5882" s="10">
        <v>362</v>
      </c>
      <c r="E5882" s="10" t="s">
        <v>34</v>
      </c>
      <c r="F5882" s="10" t="s">
        <v>646</v>
      </c>
      <c r="G5882" t="s">
        <v>651</v>
      </c>
    </row>
    <row r="5883" spans="1:9" x14ac:dyDescent="0.35">
      <c r="A5883" s="2">
        <v>43196</v>
      </c>
      <c r="B5883" s="70" t="s">
        <v>29</v>
      </c>
      <c r="C5883" s="10">
        <v>69</v>
      </c>
      <c r="D5883" s="10">
        <v>314</v>
      </c>
      <c r="E5883" s="10" t="s">
        <v>33</v>
      </c>
      <c r="F5883" s="10" t="s">
        <v>646</v>
      </c>
      <c r="G5883" t="s">
        <v>651</v>
      </c>
    </row>
    <row r="5884" spans="1:9" x14ac:dyDescent="0.35">
      <c r="A5884" s="2">
        <v>43196</v>
      </c>
      <c r="B5884" s="70" t="s">
        <v>29</v>
      </c>
      <c r="C5884" s="10">
        <v>71</v>
      </c>
      <c r="D5884" s="10">
        <v>313</v>
      </c>
      <c r="E5884" s="10" t="s">
        <v>33</v>
      </c>
      <c r="F5884" s="10" t="s">
        <v>646</v>
      </c>
    </row>
    <row r="5885" spans="1:9" x14ac:dyDescent="0.35">
      <c r="A5885" s="2">
        <v>43196</v>
      </c>
      <c r="B5885" s="70" t="s">
        <v>29</v>
      </c>
      <c r="C5885" s="10">
        <v>73</v>
      </c>
      <c r="D5885" s="10">
        <v>313</v>
      </c>
      <c r="E5885" s="10" t="s">
        <v>33</v>
      </c>
      <c r="F5885" s="10" t="s">
        <v>476</v>
      </c>
      <c r="G5885" t="s">
        <v>651</v>
      </c>
    </row>
    <row r="5886" spans="1:9" x14ac:dyDescent="0.35">
      <c r="A5886" s="2">
        <v>43196</v>
      </c>
      <c r="B5886" s="70" t="s">
        <v>29</v>
      </c>
      <c r="C5886" s="10">
        <v>76</v>
      </c>
      <c r="D5886" s="10">
        <v>413</v>
      </c>
      <c r="E5886" s="10" t="s">
        <v>33</v>
      </c>
      <c r="F5886" s="10" t="s">
        <v>646</v>
      </c>
      <c r="G5886" t="s">
        <v>651</v>
      </c>
    </row>
    <row r="5887" spans="1:9" x14ac:dyDescent="0.35">
      <c r="A5887" s="2">
        <v>43196</v>
      </c>
      <c r="B5887" s="70" t="s">
        <v>29</v>
      </c>
      <c r="C5887" s="10">
        <v>75</v>
      </c>
      <c r="D5887" s="10">
        <v>402</v>
      </c>
      <c r="E5887" s="10" t="s">
        <v>34</v>
      </c>
      <c r="F5887" s="10" t="s">
        <v>646</v>
      </c>
      <c r="G5887" t="s">
        <v>651</v>
      </c>
    </row>
    <row r="5888" spans="1:9" x14ac:dyDescent="0.35">
      <c r="A5888" s="2">
        <v>43196</v>
      </c>
      <c r="B5888" s="70" t="s">
        <v>29</v>
      </c>
      <c r="C5888" s="10">
        <v>75</v>
      </c>
      <c r="D5888" s="10">
        <v>329</v>
      </c>
      <c r="E5888" s="10" t="s">
        <v>34</v>
      </c>
      <c r="F5888" s="10" t="s">
        <v>476</v>
      </c>
    </row>
    <row r="5889" spans="1:24" x14ac:dyDescent="0.35">
      <c r="A5889" s="2">
        <v>43196</v>
      </c>
      <c r="B5889" s="70" t="s">
        <v>29</v>
      </c>
      <c r="C5889" s="10">
        <v>69</v>
      </c>
      <c r="D5889" s="10">
        <v>303</v>
      </c>
      <c r="E5889" s="10" t="s">
        <v>34</v>
      </c>
      <c r="F5889" s="10" t="s">
        <v>476</v>
      </c>
      <c r="G5889" t="s">
        <v>651</v>
      </c>
    </row>
    <row r="5890" spans="1:24" x14ac:dyDescent="0.35">
      <c r="A5890" s="2">
        <v>43196</v>
      </c>
      <c r="B5890" s="70" t="s">
        <v>29</v>
      </c>
      <c r="C5890" s="10">
        <v>73</v>
      </c>
      <c r="D5890" s="10">
        <v>335</v>
      </c>
      <c r="E5890" s="10" t="s">
        <v>33</v>
      </c>
      <c r="F5890" s="10" t="s">
        <v>646</v>
      </c>
      <c r="G5890" t="s">
        <v>651</v>
      </c>
    </row>
    <row r="5891" spans="1:24" x14ac:dyDescent="0.35">
      <c r="A5891" s="2">
        <v>43196</v>
      </c>
      <c r="B5891" s="70" t="s">
        <v>29</v>
      </c>
      <c r="C5891" s="10">
        <v>69</v>
      </c>
      <c r="D5891" s="10">
        <v>334</v>
      </c>
      <c r="E5891" s="10" t="s">
        <v>33</v>
      </c>
      <c r="F5891" s="10" t="s">
        <v>646</v>
      </c>
      <c r="G5891" t="s">
        <v>651</v>
      </c>
    </row>
    <row r="5892" spans="1:24" x14ac:dyDescent="0.35">
      <c r="A5892" s="2">
        <v>43196</v>
      </c>
      <c r="B5892" s="70" t="s">
        <v>29</v>
      </c>
      <c r="C5892" s="10">
        <v>67</v>
      </c>
      <c r="D5892" s="10">
        <v>298</v>
      </c>
      <c r="E5892" s="10" t="s">
        <v>33</v>
      </c>
      <c r="F5892" s="10" t="s">
        <v>476</v>
      </c>
      <c r="G5892" t="s">
        <v>651</v>
      </c>
    </row>
    <row r="5893" spans="1:24" x14ac:dyDescent="0.35">
      <c r="A5893" s="2">
        <v>43196</v>
      </c>
      <c r="B5893" s="70" t="s">
        <v>29</v>
      </c>
      <c r="C5893" s="10">
        <v>73</v>
      </c>
      <c r="D5893" s="10">
        <v>350</v>
      </c>
      <c r="E5893" s="10" t="s">
        <v>33</v>
      </c>
      <c r="F5893" s="10" t="s">
        <v>646</v>
      </c>
      <c r="G5893" t="s">
        <v>651</v>
      </c>
    </row>
    <row r="5894" spans="1:24" x14ac:dyDescent="0.35">
      <c r="A5894" s="2">
        <v>43196</v>
      </c>
      <c r="B5894" s="70" t="s">
        <v>29</v>
      </c>
      <c r="C5894" s="10">
        <v>76</v>
      </c>
      <c r="D5894" s="10">
        <v>433</v>
      </c>
      <c r="E5894" s="10" t="s">
        <v>34</v>
      </c>
      <c r="F5894" s="10" t="s">
        <v>476</v>
      </c>
      <c r="G5894" t="s">
        <v>651</v>
      </c>
      <c r="N5894" t="s">
        <v>42</v>
      </c>
      <c r="O5894" t="s">
        <v>39</v>
      </c>
      <c r="P5894" t="s">
        <v>40</v>
      </c>
      <c r="Q5894" t="s">
        <v>36</v>
      </c>
      <c r="R5894" t="s">
        <v>33</v>
      </c>
      <c r="S5894" t="s">
        <v>34</v>
      </c>
      <c r="T5894" t="s">
        <v>32</v>
      </c>
      <c r="U5894" t="s">
        <v>37</v>
      </c>
    </row>
    <row r="5895" spans="1:24" x14ac:dyDescent="0.35">
      <c r="A5895" s="2">
        <v>43196</v>
      </c>
      <c r="B5895" s="70" t="s">
        <v>29</v>
      </c>
      <c r="C5895" s="10">
        <v>70</v>
      </c>
      <c r="D5895" s="10">
        <v>233</v>
      </c>
      <c r="E5895" s="10" t="s">
        <v>34</v>
      </c>
      <c r="F5895" s="10" t="s">
        <v>476</v>
      </c>
      <c r="G5895" t="s">
        <v>651</v>
      </c>
      <c r="I5895" t="s">
        <v>682</v>
      </c>
      <c r="N5895" s="5">
        <f>COUNTIF(E5848:E5896,"VA")</f>
        <v>0</v>
      </c>
      <c r="O5895" s="5">
        <f>COUNTIF(E5848:E5896,"VB")</f>
        <v>0</v>
      </c>
      <c r="P5895" s="5">
        <f>COUNTIF(E5848:E5896,"VIA0")</f>
        <v>6</v>
      </c>
      <c r="Q5895" s="5">
        <f>COUNTIF(E5848:E5896,"VIA1")</f>
        <v>2</v>
      </c>
      <c r="R5895" s="5">
        <f>COUNTIF(E5848:E5896,"VIA2")</f>
        <v>28</v>
      </c>
      <c r="S5895" s="5">
        <f>COUNTIF(E5848:E5896,"VIA3")</f>
        <v>12</v>
      </c>
      <c r="T5895" s="5">
        <f>COUNTIF(E5848:E5896,"VIA4")</f>
        <v>1</v>
      </c>
      <c r="U5895" s="5">
        <f>COUNTIF(E5848:E5896,"VIB")</f>
        <v>0</v>
      </c>
      <c r="W5895">
        <f>AVERAGE(C5848:C5896)</f>
        <v>72.367346938775512</v>
      </c>
      <c r="X5895">
        <f>AVERAGE(D5848:D5896)</f>
        <v>340.9591836734694</v>
      </c>
    </row>
    <row r="5896" spans="1:24" s="4" customFormat="1" x14ac:dyDescent="0.35">
      <c r="A5896" s="3">
        <v>43196</v>
      </c>
      <c r="B5896" s="44" t="s">
        <v>29</v>
      </c>
      <c r="C5896" s="11">
        <v>69</v>
      </c>
      <c r="D5896" s="11">
        <v>300</v>
      </c>
      <c r="E5896" s="11" t="s">
        <v>40</v>
      </c>
      <c r="F5896" s="11" t="s">
        <v>476</v>
      </c>
      <c r="N5896" s="6">
        <f>N5895/49*100</f>
        <v>0</v>
      </c>
      <c r="O5896" s="6">
        <f t="shared" ref="O5896:U5896" si="180">O5895/49*100</f>
        <v>0</v>
      </c>
      <c r="P5896" s="6">
        <f t="shared" si="180"/>
        <v>12.244897959183673</v>
      </c>
      <c r="Q5896" s="6">
        <f t="shared" si="180"/>
        <v>4.0816326530612246</v>
      </c>
      <c r="R5896" s="6">
        <f t="shared" si="180"/>
        <v>57.142857142857139</v>
      </c>
      <c r="S5896" s="6">
        <f t="shared" si="180"/>
        <v>24.489795918367346</v>
      </c>
      <c r="T5896" s="6">
        <f t="shared" si="180"/>
        <v>2.0408163265306123</v>
      </c>
      <c r="U5896" s="6">
        <f t="shared" si="180"/>
        <v>0</v>
      </c>
    </row>
    <row r="5897" spans="1:24" x14ac:dyDescent="0.35">
      <c r="A5897" s="2">
        <v>43196</v>
      </c>
      <c r="B5897" s="70" t="s">
        <v>38</v>
      </c>
      <c r="C5897" s="10">
        <v>114</v>
      </c>
      <c r="D5897" s="10">
        <v>1991</v>
      </c>
      <c r="E5897" s="10" t="s">
        <v>59</v>
      </c>
      <c r="F5897" s="10"/>
    </row>
    <row r="5898" spans="1:24" x14ac:dyDescent="0.35">
      <c r="A5898" s="2">
        <v>43196</v>
      </c>
      <c r="B5898" s="70" t="s">
        <v>38</v>
      </c>
      <c r="C5898" s="10">
        <v>110</v>
      </c>
      <c r="D5898" s="10">
        <v>1677</v>
      </c>
      <c r="E5898" s="10" t="s">
        <v>59</v>
      </c>
      <c r="F5898" s="10"/>
    </row>
    <row r="5899" spans="1:24" x14ac:dyDescent="0.35">
      <c r="A5899" s="2">
        <v>43196</v>
      </c>
      <c r="B5899" s="70" t="s">
        <v>38</v>
      </c>
      <c r="C5899" s="10">
        <v>112</v>
      </c>
      <c r="D5899" s="10">
        <v>1552</v>
      </c>
      <c r="E5899" s="10" t="s">
        <v>59</v>
      </c>
      <c r="F5899" s="10"/>
    </row>
    <row r="5900" spans="1:24" x14ac:dyDescent="0.35">
      <c r="A5900" s="2">
        <v>43196</v>
      </c>
      <c r="B5900" s="70" t="s">
        <v>38</v>
      </c>
      <c r="C5900" s="10">
        <v>87</v>
      </c>
      <c r="D5900" s="10">
        <v>709</v>
      </c>
      <c r="E5900" s="10" t="s">
        <v>59</v>
      </c>
      <c r="F5900" s="10"/>
    </row>
    <row r="5901" spans="1:24" x14ac:dyDescent="0.35">
      <c r="A5901" s="2">
        <v>43196</v>
      </c>
      <c r="B5901" s="70" t="s">
        <v>38</v>
      </c>
      <c r="C5901" s="10">
        <v>76</v>
      </c>
      <c r="D5901" s="10">
        <v>386</v>
      </c>
      <c r="E5901" s="10" t="s">
        <v>36</v>
      </c>
      <c r="F5901" s="10" t="s">
        <v>646</v>
      </c>
      <c r="G5901" t="s">
        <v>651</v>
      </c>
    </row>
    <row r="5902" spans="1:24" x14ac:dyDescent="0.35">
      <c r="A5902" s="2">
        <v>43196</v>
      </c>
      <c r="B5902" s="70" t="s">
        <v>38</v>
      </c>
      <c r="C5902" s="10">
        <v>72</v>
      </c>
      <c r="D5902" s="10">
        <v>328</v>
      </c>
      <c r="E5902" s="10" t="s">
        <v>34</v>
      </c>
      <c r="F5902" s="10" t="s">
        <v>646</v>
      </c>
      <c r="G5902" t="s">
        <v>651</v>
      </c>
    </row>
    <row r="5903" spans="1:24" x14ac:dyDescent="0.35">
      <c r="A5903" s="2">
        <v>43196</v>
      </c>
      <c r="B5903" s="70" t="s">
        <v>38</v>
      </c>
      <c r="C5903" s="10">
        <v>68</v>
      </c>
      <c r="D5903" s="10">
        <v>250</v>
      </c>
      <c r="E5903" s="10" t="s">
        <v>34</v>
      </c>
      <c r="F5903" s="10" t="s">
        <v>646</v>
      </c>
      <c r="G5903" t="s">
        <v>651</v>
      </c>
      <c r="H5903" t="s">
        <v>683</v>
      </c>
    </row>
    <row r="5904" spans="1:24" x14ac:dyDescent="0.35">
      <c r="A5904" s="2">
        <v>43196</v>
      </c>
      <c r="B5904" s="70" t="s">
        <v>38</v>
      </c>
      <c r="C5904" s="10">
        <v>73</v>
      </c>
      <c r="D5904" s="10">
        <v>335</v>
      </c>
      <c r="E5904" s="10" t="s">
        <v>33</v>
      </c>
      <c r="F5904" s="10" t="s">
        <v>646</v>
      </c>
      <c r="G5904" t="s">
        <v>651</v>
      </c>
      <c r="H5904" t="s">
        <v>683</v>
      </c>
    </row>
    <row r="5905" spans="1:9" x14ac:dyDescent="0.35">
      <c r="A5905" s="2">
        <v>43196</v>
      </c>
      <c r="B5905" s="70" t="s">
        <v>38</v>
      </c>
      <c r="C5905" s="10">
        <v>68</v>
      </c>
      <c r="D5905" s="10">
        <v>238</v>
      </c>
      <c r="E5905" s="10" t="s">
        <v>32</v>
      </c>
      <c r="F5905" s="10" t="s">
        <v>646</v>
      </c>
      <c r="G5905" t="s">
        <v>651</v>
      </c>
      <c r="H5905" t="s">
        <v>684</v>
      </c>
    </row>
    <row r="5906" spans="1:9" x14ac:dyDescent="0.35">
      <c r="A5906" s="2">
        <v>43196</v>
      </c>
      <c r="B5906" s="70" t="s">
        <v>38</v>
      </c>
      <c r="C5906" s="10">
        <v>68</v>
      </c>
      <c r="D5906" s="10">
        <v>269</v>
      </c>
      <c r="E5906" s="10" t="s">
        <v>32</v>
      </c>
      <c r="F5906" s="10" t="s">
        <v>476</v>
      </c>
      <c r="G5906" t="s">
        <v>651</v>
      </c>
    </row>
    <row r="5907" spans="1:9" x14ac:dyDescent="0.35">
      <c r="A5907" s="2">
        <v>43196</v>
      </c>
      <c r="B5907" s="70" t="s">
        <v>38</v>
      </c>
      <c r="C5907" s="10">
        <v>72</v>
      </c>
      <c r="D5907" s="10">
        <v>297</v>
      </c>
      <c r="E5907" s="10" t="s">
        <v>34</v>
      </c>
      <c r="F5907" s="10" t="s">
        <v>476</v>
      </c>
      <c r="G5907" t="s">
        <v>651</v>
      </c>
    </row>
    <row r="5908" spans="1:9" x14ac:dyDescent="0.35">
      <c r="A5908" s="2">
        <v>43196</v>
      </c>
      <c r="B5908" s="70" t="s">
        <v>38</v>
      </c>
      <c r="C5908" s="10">
        <v>74</v>
      </c>
      <c r="D5908" s="10">
        <v>361</v>
      </c>
      <c r="E5908" s="10" t="s">
        <v>34</v>
      </c>
      <c r="F5908" s="10" t="s">
        <v>476</v>
      </c>
      <c r="G5908" t="s">
        <v>651</v>
      </c>
      <c r="H5908" t="s">
        <v>683</v>
      </c>
    </row>
    <row r="5909" spans="1:9" x14ac:dyDescent="0.35">
      <c r="A5909" s="2">
        <v>43196</v>
      </c>
      <c r="B5909" s="70" t="s">
        <v>38</v>
      </c>
      <c r="C5909" s="10">
        <v>72</v>
      </c>
      <c r="D5909" s="10">
        <v>369</v>
      </c>
      <c r="E5909" s="10" t="s">
        <v>33</v>
      </c>
      <c r="F5909" s="10" t="s">
        <v>476</v>
      </c>
      <c r="G5909" t="s">
        <v>651</v>
      </c>
    </row>
    <row r="5910" spans="1:9" x14ac:dyDescent="0.35">
      <c r="A5910" s="2">
        <v>43196</v>
      </c>
      <c r="B5910" s="70" t="s">
        <v>38</v>
      </c>
      <c r="C5910" s="10">
        <v>77</v>
      </c>
      <c r="D5910" s="10">
        <v>332</v>
      </c>
      <c r="E5910" s="10" t="s">
        <v>33</v>
      </c>
      <c r="F5910" s="10" t="s">
        <v>476</v>
      </c>
      <c r="H5910" t="s">
        <v>685</v>
      </c>
    </row>
    <row r="5911" spans="1:9" x14ac:dyDescent="0.35">
      <c r="A5911" s="2">
        <v>43196</v>
      </c>
      <c r="B5911" s="70" t="s">
        <v>38</v>
      </c>
      <c r="C5911" s="10">
        <v>76</v>
      </c>
      <c r="D5911" s="10">
        <v>381</v>
      </c>
      <c r="E5911" s="10" t="s">
        <v>34</v>
      </c>
      <c r="F5911" s="10" t="s">
        <v>476</v>
      </c>
      <c r="G5911" t="s">
        <v>651</v>
      </c>
    </row>
    <row r="5912" spans="1:9" x14ac:dyDescent="0.35">
      <c r="A5912" s="2">
        <v>43196</v>
      </c>
      <c r="B5912" s="70" t="s">
        <v>38</v>
      </c>
      <c r="C5912" s="10">
        <v>67</v>
      </c>
      <c r="D5912" s="10">
        <v>236</v>
      </c>
      <c r="E5912" s="10" t="s">
        <v>34</v>
      </c>
      <c r="F5912" s="10" t="s">
        <v>476</v>
      </c>
      <c r="G5912" t="s">
        <v>651</v>
      </c>
    </row>
    <row r="5913" spans="1:9" x14ac:dyDescent="0.35">
      <c r="A5913" s="2">
        <v>43196</v>
      </c>
      <c r="B5913" s="70" t="s">
        <v>38</v>
      </c>
      <c r="C5913" s="10">
        <v>71</v>
      </c>
      <c r="D5913" s="10">
        <v>262</v>
      </c>
      <c r="E5913" s="10" t="s">
        <v>33</v>
      </c>
      <c r="F5913" s="10" t="s">
        <v>476</v>
      </c>
      <c r="G5913" t="s">
        <v>651</v>
      </c>
    </row>
    <row r="5914" spans="1:9" x14ac:dyDescent="0.35">
      <c r="A5914" s="2">
        <v>43196</v>
      </c>
      <c r="B5914" s="70" t="s">
        <v>38</v>
      </c>
      <c r="C5914" s="10">
        <v>70</v>
      </c>
      <c r="D5914" s="10">
        <v>295</v>
      </c>
      <c r="E5914" s="10" t="s">
        <v>34</v>
      </c>
      <c r="F5914" s="10" t="s">
        <v>476</v>
      </c>
      <c r="G5914" t="s">
        <v>651</v>
      </c>
    </row>
    <row r="5915" spans="1:9" x14ac:dyDescent="0.35">
      <c r="A5915" s="2">
        <v>43196</v>
      </c>
      <c r="B5915" s="70" t="s">
        <v>38</v>
      </c>
      <c r="C5915" s="10">
        <v>72</v>
      </c>
      <c r="D5915" s="10">
        <v>339</v>
      </c>
      <c r="E5915" s="10" t="s">
        <v>33</v>
      </c>
      <c r="F5915" s="10" t="s">
        <v>646</v>
      </c>
      <c r="G5915" t="s">
        <v>651</v>
      </c>
      <c r="H5915" t="s">
        <v>683</v>
      </c>
    </row>
    <row r="5916" spans="1:9" x14ac:dyDescent="0.35">
      <c r="A5916" s="2">
        <v>43196</v>
      </c>
      <c r="B5916" s="70" t="s">
        <v>38</v>
      </c>
      <c r="C5916" s="10">
        <v>69</v>
      </c>
      <c r="D5916" s="10">
        <v>289</v>
      </c>
      <c r="E5916" s="10" t="s">
        <v>33</v>
      </c>
      <c r="F5916" s="10" t="s">
        <v>476</v>
      </c>
      <c r="G5916" t="s">
        <v>651</v>
      </c>
    </row>
    <row r="5917" spans="1:9" x14ac:dyDescent="0.35">
      <c r="A5917" s="2">
        <v>43196</v>
      </c>
      <c r="B5917" s="70" t="s">
        <v>38</v>
      </c>
      <c r="C5917" s="10">
        <v>68</v>
      </c>
      <c r="D5917" s="10">
        <v>339</v>
      </c>
      <c r="E5917" s="10" t="s">
        <v>34</v>
      </c>
      <c r="F5917" s="10" t="s">
        <v>646</v>
      </c>
      <c r="G5917" t="s">
        <v>651</v>
      </c>
      <c r="I5917" t="s">
        <v>683</v>
      </c>
    </row>
    <row r="5918" spans="1:9" x14ac:dyDescent="0.35">
      <c r="A5918" s="2">
        <v>43196</v>
      </c>
      <c r="B5918" s="70" t="s">
        <v>38</v>
      </c>
      <c r="C5918" s="10">
        <v>73</v>
      </c>
      <c r="D5918" s="10">
        <v>426</v>
      </c>
      <c r="E5918" s="10" t="s">
        <v>40</v>
      </c>
      <c r="F5918" s="10" t="s">
        <v>646</v>
      </c>
      <c r="G5918" t="s">
        <v>651</v>
      </c>
    </row>
    <row r="5919" spans="1:9" x14ac:dyDescent="0.35">
      <c r="A5919" s="2">
        <v>43196</v>
      </c>
      <c r="B5919" s="70" t="s">
        <v>38</v>
      </c>
      <c r="C5919" s="10">
        <v>72</v>
      </c>
      <c r="D5919" s="10">
        <v>354</v>
      </c>
      <c r="E5919" s="10" t="s">
        <v>33</v>
      </c>
      <c r="F5919" s="10" t="s">
        <v>476</v>
      </c>
      <c r="G5919" t="s">
        <v>651</v>
      </c>
    </row>
    <row r="5920" spans="1:9" x14ac:dyDescent="0.35">
      <c r="A5920" s="2">
        <v>43196</v>
      </c>
      <c r="B5920" s="70" t="s">
        <v>38</v>
      </c>
      <c r="C5920" s="10">
        <v>71</v>
      </c>
      <c r="D5920" s="10">
        <v>322</v>
      </c>
      <c r="E5920" s="10" t="s">
        <v>33</v>
      </c>
      <c r="F5920" s="10" t="s">
        <v>476</v>
      </c>
      <c r="I5920" t="s">
        <v>683</v>
      </c>
    </row>
    <row r="5921" spans="1:9" x14ac:dyDescent="0.35">
      <c r="A5921" s="2">
        <v>43196</v>
      </c>
      <c r="B5921" s="70" t="s">
        <v>38</v>
      </c>
      <c r="C5921" s="10">
        <v>72</v>
      </c>
      <c r="D5921" s="10">
        <v>351</v>
      </c>
      <c r="E5921" s="10" t="s">
        <v>36</v>
      </c>
      <c r="F5921" s="10" t="s">
        <v>476</v>
      </c>
    </row>
    <row r="5922" spans="1:9" x14ac:dyDescent="0.35">
      <c r="A5922" s="2">
        <v>43196</v>
      </c>
      <c r="B5922" s="70" t="s">
        <v>38</v>
      </c>
      <c r="C5922" s="10">
        <v>82</v>
      </c>
      <c r="D5922" s="10">
        <v>409</v>
      </c>
      <c r="E5922" s="10" t="s">
        <v>34</v>
      </c>
      <c r="F5922" s="10" t="s">
        <v>646</v>
      </c>
      <c r="G5922" t="s">
        <v>651</v>
      </c>
    </row>
    <row r="5923" spans="1:9" x14ac:dyDescent="0.35">
      <c r="A5923" s="2">
        <v>43196</v>
      </c>
      <c r="B5923" s="70" t="s">
        <v>38</v>
      </c>
      <c r="C5923" s="10">
        <v>69</v>
      </c>
      <c r="D5923" s="10">
        <v>307</v>
      </c>
      <c r="E5923" s="10" t="s">
        <v>33</v>
      </c>
      <c r="F5923" s="10" t="s">
        <v>476</v>
      </c>
      <c r="G5923" t="s">
        <v>651</v>
      </c>
    </row>
    <row r="5924" spans="1:9" x14ac:dyDescent="0.35">
      <c r="A5924" s="2">
        <v>43196</v>
      </c>
      <c r="B5924" s="70" t="s">
        <v>38</v>
      </c>
      <c r="C5924" s="10">
        <v>70</v>
      </c>
      <c r="D5924" s="10">
        <v>285</v>
      </c>
      <c r="E5924" s="10" t="s">
        <v>36</v>
      </c>
      <c r="F5924" s="10" t="s">
        <v>476</v>
      </c>
      <c r="G5924" t="s">
        <v>651</v>
      </c>
    </row>
    <row r="5925" spans="1:9" x14ac:dyDescent="0.35">
      <c r="A5925" s="2">
        <v>43196</v>
      </c>
      <c r="B5925" s="70" t="s">
        <v>38</v>
      </c>
      <c r="C5925" s="10">
        <v>71</v>
      </c>
      <c r="D5925" s="10">
        <v>312</v>
      </c>
      <c r="E5925" s="10" t="s">
        <v>33</v>
      </c>
      <c r="F5925" s="10" t="s">
        <v>646</v>
      </c>
    </row>
    <row r="5926" spans="1:9" x14ac:dyDescent="0.35">
      <c r="A5926" s="2">
        <v>43196</v>
      </c>
      <c r="B5926" s="70" t="s">
        <v>38</v>
      </c>
      <c r="C5926" s="10">
        <v>74</v>
      </c>
      <c r="D5926" s="10">
        <v>392</v>
      </c>
      <c r="E5926" s="10" t="s">
        <v>33</v>
      </c>
      <c r="F5926" s="10" t="s">
        <v>476</v>
      </c>
      <c r="G5926" t="s">
        <v>651</v>
      </c>
    </row>
    <row r="5927" spans="1:9" x14ac:dyDescent="0.35">
      <c r="A5927" s="2">
        <v>43196</v>
      </c>
      <c r="B5927" s="70" t="s">
        <v>38</v>
      </c>
      <c r="C5927" s="10">
        <v>73</v>
      </c>
      <c r="D5927" s="10">
        <v>325</v>
      </c>
      <c r="E5927" s="10" t="s">
        <v>34</v>
      </c>
      <c r="F5927" s="10" t="s">
        <v>476</v>
      </c>
      <c r="G5927" t="s">
        <v>651</v>
      </c>
    </row>
    <row r="5928" spans="1:9" x14ac:dyDescent="0.35">
      <c r="A5928" s="2">
        <v>43196</v>
      </c>
      <c r="B5928" s="70" t="s">
        <v>38</v>
      </c>
      <c r="C5928" s="10">
        <v>78</v>
      </c>
      <c r="D5928" s="10">
        <v>402</v>
      </c>
      <c r="E5928" s="10" t="s">
        <v>33</v>
      </c>
      <c r="F5928" s="10" t="s">
        <v>646</v>
      </c>
      <c r="G5928" t="s">
        <v>651</v>
      </c>
      <c r="I5928" t="s">
        <v>683</v>
      </c>
    </row>
    <row r="5929" spans="1:9" x14ac:dyDescent="0.35">
      <c r="A5929" s="2">
        <v>43196</v>
      </c>
      <c r="B5929" s="70" t="s">
        <v>38</v>
      </c>
      <c r="C5929" s="10">
        <v>64</v>
      </c>
      <c r="D5929" s="10">
        <v>263</v>
      </c>
      <c r="E5929" s="10" t="s">
        <v>33</v>
      </c>
      <c r="F5929" s="10" t="s">
        <v>646</v>
      </c>
      <c r="G5929" t="s">
        <v>651</v>
      </c>
    </row>
    <row r="5930" spans="1:9" x14ac:dyDescent="0.35">
      <c r="A5930" s="2">
        <v>43196</v>
      </c>
      <c r="B5930" s="70" t="s">
        <v>38</v>
      </c>
      <c r="C5930" s="10">
        <v>71</v>
      </c>
      <c r="D5930" s="10">
        <v>302</v>
      </c>
      <c r="E5930" s="10" t="s">
        <v>33</v>
      </c>
      <c r="F5930" s="10" t="s">
        <v>476</v>
      </c>
      <c r="G5930" t="s">
        <v>651</v>
      </c>
    </row>
    <row r="5931" spans="1:9" x14ac:dyDescent="0.35">
      <c r="A5931" s="2">
        <v>43196</v>
      </c>
      <c r="B5931" s="70" t="s">
        <v>38</v>
      </c>
      <c r="C5931" s="10">
        <v>75</v>
      </c>
      <c r="D5931" s="10">
        <v>362</v>
      </c>
      <c r="E5931" s="10" t="s">
        <v>33</v>
      </c>
      <c r="F5931" s="10" t="s">
        <v>646</v>
      </c>
      <c r="G5931" t="s">
        <v>651</v>
      </c>
    </row>
    <row r="5932" spans="1:9" x14ac:dyDescent="0.35">
      <c r="A5932" s="2">
        <v>43196</v>
      </c>
      <c r="B5932" s="70" t="s">
        <v>38</v>
      </c>
      <c r="C5932" s="10">
        <v>68</v>
      </c>
      <c r="D5932" s="10">
        <v>282</v>
      </c>
      <c r="E5932" s="10" t="s">
        <v>33</v>
      </c>
      <c r="F5932" s="10" t="s">
        <v>476</v>
      </c>
      <c r="G5932" t="s">
        <v>651</v>
      </c>
      <c r="H5932" t="s">
        <v>682</v>
      </c>
    </row>
    <row r="5933" spans="1:9" x14ac:dyDescent="0.35">
      <c r="A5933" s="2">
        <v>43196</v>
      </c>
      <c r="B5933" s="70" t="s">
        <v>38</v>
      </c>
      <c r="C5933" s="10">
        <v>73</v>
      </c>
      <c r="D5933" s="10">
        <v>343</v>
      </c>
      <c r="E5933" s="10" t="s">
        <v>33</v>
      </c>
      <c r="F5933" s="10" t="s">
        <v>646</v>
      </c>
      <c r="G5933" t="s">
        <v>651</v>
      </c>
    </row>
    <row r="5934" spans="1:9" x14ac:dyDescent="0.35">
      <c r="A5934" s="2">
        <v>43196</v>
      </c>
      <c r="B5934" s="70" t="s">
        <v>38</v>
      </c>
      <c r="C5934" s="10">
        <v>71</v>
      </c>
      <c r="D5934" s="10">
        <v>308</v>
      </c>
      <c r="E5934" s="10" t="s">
        <v>33</v>
      </c>
      <c r="F5934" s="10" t="s">
        <v>476</v>
      </c>
      <c r="G5934" t="s">
        <v>651</v>
      </c>
      <c r="H5934" t="s">
        <v>682</v>
      </c>
    </row>
    <row r="5935" spans="1:9" x14ac:dyDescent="0.35">
      <c r="A5935" s="2">
        <v>43196</v>
      </c>
      <c r="B5935" s="70" t="s">
        <v>38</v>
      </c>
      <c r="C5935" s="10">
        <v>71</v>
      </c>
      <c r="D5935" s="10">
        <v>350</v>
      </c>
      <c r="E5935" s="10" t="s">
        <v>33</v>
      </c>
      <c r="F5935" s="10" t="s">
        <v>476</v>
      </c>
      <c r="G5935" t="s">
        <v>651</v>
      </c>
      <c r="H5935" t="s">
        <v>682</v>
      </c>
    </row>
    <row r="5936" spans="1:9" x14ac:dyDescent="0.35">
      <c r="A5936" s="2">
        <v>43196</v>
      </c>
      <c r="B5936" s="70" t="s">
        <v>38</v>
      </c>
      <c r="C5936" s="10">
        <v>70</v>
      </c>
      <c r="D5936" s="10">
        <v>306</v>
      </c>
      <c r="E5936" s="10" t="s">
        <v>33</v>
      </c>
      <c r="F5936" s="10" t="s">
        <v>476</v>
      </c>
      <c r="G5936" t="s">
        <v>651</v>
      </c>
      <c r="H5936" t="s">
        <v>682</v>
      </c>
    </row>
    <row r="5937" spans="1:24" x14ac:dyDescent="0.35">
      <c r="A5937" s="2">
        <v>43196</v>
      </c>
      <c r="B5937" s="70" t="s">
        <v>38</v>
      </c>
      <c r="C5937" s="10">
        <v>68</v>
      </c>
      <c r="D5937" s="10">
        <v>259</v>
      </c>
      <c r="E5937" s="10" t="s">
        <v>33</v>
      </c>
      <c r="F5937" s="10" t="s">
        <v>476</v>
      </c>
      <c r="G5937" t="s">
        <v>651</v>
      </c>
      <c r="H5937" t="s">
        <v>682</v>
      </c>
    </row>
    <row r="5938" spans="1:24" x14ac:dyDescent="0.35">
      <c r="A5938" s="2">
        <v>43196</v>
      </c>
      <c r="B5938" s="70" t="s">
        <v>38</v>
      </c>
      <c r="C5938" s="10">
        <v>73</v>
      </c>
      <c r="D5938" s="10">
        <v>334</v>
      </c>
      <c r="E5938" s="10" t="s">
        <v>33</v>
      </c>
      <c r="F5938" s="10" t="s">
        <v>476</v>
      </c>
      <c r="G5938" t="s">
        <v>651</v>
      </c>
    </row>
    <row r="5939" spans="1:24" x14ac:dyDescent="0.35">
      <c r="A5939" s="2">
        <v>43196</v>
      </c>
      <c r="B5939" s="70" t="s">
        <v>38</v>
      </c>
      <c r="C5939" s="10">
        <v>78</v>
      </c>
      <c r="D5939" s="10">
        <v>396</v>
      </c>
      <c r="E5939" s="10" t="s">
        <v>36</v>
      </c>
      <c r="F5939" s="10" t="s">
        <v>476</v>
      </c>
      <c r="G5939" t="s">
        <v>651</v>
      </c>
      <c r="H5939" t="s">
        <v>682</v>
      </c>
    </row>
    <row r="5940" spans="1:24" x14ac:dyDescent="0.35">
      <c r="A5940" s="2">
        <v>43196</v>
      </c>
      <c r="B5940" s="70" t="s">
        <v>38</v>
      </c>
      <c r="C5940" s="10">
        <v>72</v>
      </c>
      <c r="D5940" s="10">
        <v>357</v>
      </c>
      <c r="E5940" s="10" t="s">
        <v>33</v>
      </c>
      <c r="F5940" s="10" t="s">
        <v>476</v>
      </c>
      <c r="G5940" t="s">
        <v>651</v>
      </c>
    </row>
    <row r="5941" spans="1:24" x14ac:dyDescent="0.35">
      <c r="A5941" s="2">
        <v>43196</v>
      </c>
      <c r="B5941" s="70" t="s">
        <v>38</v>
      </c>
      <c r="C5941" s="10">
        <v>72</v>
      </c>
      <c r="D5941" s="10">
        <v>349</v>
      </c>
      <c r="E5941" s="10" t="s">
        <v>40</v>
      </c>
      <c r="F5941" s="10" t="s">
        <v>476</v>
      </c>
      <c r="G5941" t="s">
        <v>651</v>
      </c>
    </row>
    <row r="5942" spans="1:24" x14ac:dyDescent="0.35">
      <c r="A5942" s="2">
        <v>43196</v>
      </c>
      <c r="B5942" s="70" t="s">
        <v>38</v>
      </c>
      <c r="C5942" s="10">
        <v>73</v>
      </c>
      <c r="D5942" s="10">
        <v>362</v>
      </c>
      <c r="E5942" s="10" t="s">
        <v>33</v>
      </c>
      <c r="F5942" s="10" t="s">
        <v>646</v>
      </c>
      <c r="G5942" t="s">
        <v>651</v>
      </c>
      <c r="H5942" t="s">
        <v>682</v>
      </c>
    </row>
    <row r="5943" spans="1:24" x14ac:dyDescent="0.35">
      <c r="A5943" s="2">
        <v>43196</v>
      </c>
      <c r="B5943" s="70" t="s">
        <v>38</v>
      </c>
      <c r="C5943" s="10">
        <v>74</v>
      </c>
      <c r="D5943" s="10">
        <v>401</v>
      </c>
      <c r="E5943" s="10" t="s">
        <v>34</v>
      </c>
      <c r="F5943" s="10" t="s">
        <v>476</v>
      </c>
      <c r="G5943" t="s">
        <v>651</v>
      </c>
    </row>
    <row r="5944" spans="1:24" x14ac:dyDescent="0.35">
      <c r="A5944" s="2">
        <v>43196</v>
      </c>
      <c r="B5944" s="70" t="s">
        <v>38</v>
      </c>
      <c r="C5944" s="10">
        <v>74</v>
      </c>
      <c r="D5944" s="10">
        <v>388</v>
      </c>
      <c r="E5944" s="10" t="s">
        <v>33</v>
      </c>
      <c r="F5944" s="10" t="s">
        <v>476</v>
      </c>
      <c r="G5944" t="s">
        <v>651</v>
      </c>
    </row>
    <row r="5945" spans="1:24" x14ac:dyDescent="0.35">
      <c r="A5945" s="2">
        <v>43196</v>
      </c>
      <c r="B5945" s="70" t="s">
        <v>38</v>
      </c>
      <c r="C5945" s="10">
        <v>74</v>
      </c>
      <c r="D5945" s="10">
        <v>354</v>
      </c>
      <c r="E5945" s="10" t="s">
        <v>40</v>
      </c>
      <c r="F5945" s="10" t="s">
        <v>646</v>
      </c>
      <c r="G5945" t="s">
        <v>651</v>
      </c>
      <c r="N5945" t="s">
        <v>42</v>
      </c>
      <c r="O5945" t="s">
        <v>39</v>
      </c>
      <c r="P5945" t="s">
        <v>40</v>
      </c>
      <c r="Q5945" t="s">
        <v>36</v>
      </c>
      <c r="R5945" t="s">
        <v>33</v>
      </c>
      <c r="S5945" t="s">
        <v>34</v>
      </c>
      <c r="T5945" t="s">
        <v>32</v>
      </c>
      <c r="U5945" t="s">
        <v>37</v>
      </c>
    </row>
    <row r="5946" spans="1:24" x14ac:dyDescent="0.35">
      <c r="A5946" s="2">
        <v>43196</v>
      </c>
      <c r="B5946" s="70" t="s">
        <v>38</v>
      </c>
      <c r="C5946" s="10">
        <v>74</v>
      </c>
      <c r="D5946" s="10">
        <v>334</v>
      </c>
      <c r="E5946" s="10" t="s">
        <v>36</v>
      </c>
      <c r="F5946" s="10" t="s">
        <v>646</v>
      </c>
      <c r="G5946" t="s">
        <v>651</v>
      </c>
      <c r="H5946" t="s">
        <v>682</v>
      </c>
      <c r="N5946">
        <f>N5950+N5895</f>
        <v>0</v>
      </c>
      <c r="O5946">
        <f t="shared" ref="O5946:U5946" si="181">O5950+O5895</f>
        <v>0</v>
      </c>
      <c r="P5946">
        <f t="shared" si="181"/>
        <v>9</v>
      </c>
      <c r="Q5946">
        <f t="shared" si="181"/>
        <v>7</v>
      </c>
      <c r="R5946">
        <f t="shared" si="181"/>
        <v>56</v>
      </c>
      <c r="S5946">
        <f t="shared" si="181"/>
        <v>25</v>
      </c>
      <c r="T5946">
        <f t="shared" si="181"/>
        <v>3</v>
      </c>
      <c r="U5946">
        <f t="shared" si="181"/>
        <v>0</v>
      </c>
      <c r="W5946">
        <f>AVERAGE(C5901:C5951,C5848:C5896)</f>
        <v>72.180000000000007</v>
      </c>
      <c r="X5946">
        <f>AVERAGE(D5901:D5951,D5848:D5896)</f>
        <v>336.9</v>
      </c>
    </row>
    <row r="5947" spans="1:24" x14ac:dyDescent="0.35">
      <c r="A5947" s="2">
        <v>43196</v>
      </c>
      <c r="B5947" s="70" t="s">
        <v>38</v>
      </c>
      <c r="C5947" s="10">
        <v>67</v>
      </c>
      <c r="D5947" s="10">
        <v>223</v>
      </c>
      <c r="E5947" s="10" t="s">
        <v>34</v>
      </c>
      <c r="F5947" s="10" t="s">
        <v>476</v>
      </c>
      <c r="G5947" t="s">
        <v>651</v>
      </c>
    </row>
    <row r="5948" spans="1:24" x14ac:dyDescent="0.35">
      <c r="A5948" s="2">
        <v>43196</v>
      </c>
      <c r="B5948" s="70" t="s">
        <v>38</v>
      </c>
      <c r="C5948" s="10">
        <v>66</v>
      </c>
      <c r="D5948" s="10">
        <v>301</v>
      </c>
      <c r="E5948" s="10" t="s">
        <v>33</v>
      </c>
      <c r="F5948" s="10" t="s">
        <v>476</v>
      </c>
      <c r="G5948" t="s">
        <v>651</v>
      </c>
    </row>
    <row r="5949" spans="1:24" x14ac:dyDescent="0.35">
      <c r="A5949" s="2">
        <v>43196</v>
      </c>
      <c r="B5949" s="70" t="s">
        <v>38</v>
      </c>
      <c r="C5949" s="10">
        <v>75</v>
      </c>
      <c r="D5949" s="10">
        <v>374</v>
      </c>
      <c r="E5949" s="10" t="s">
        <v>33</v>
      </c>
      <c r="F5949" s="10" t="s">
        <v>476</v>
      </c>
      <c r="G5949" t="s">
        <v>651</v>
      </c>
      <c r="N5949" t="s">
        <v>42</v>
      </c>
      <c r="O5949" t="s">
        <v>39</v>
      </c>
      <c r="P5949" t="s">
        <v>40</v>
      </c>
      <c r="Q5949" t="s">
        <v>36</v>
      </c>
      <c r="R5949" t="s">
        <v>33</v>
      </c>
      <c r="S5949" t="s">
        <v>34</v>
      </c>
      <c r="T5949" t="s">
        <v>32</v>
      </c>
      <c r="U5949" t="s">
        <v>37</v>
      </c>
    </row>
    <row r="5950" spans="1:24" x14ac:dyDescent="0.35">
      <c r="A5950" s="2">
        <v>43196</v>
      </c>
      <c r="B5950" s="70" t="s">
        <v>38</v>
      </c>
      <c r="C5950" s="10">
        <v>77</v>
      </c>
      <c r="D5950" s="10">
        <v>449</v>
      </c>
      <c r="E5950" s="10" t="s">
        <v>33</v>
      </c>
      <c r="F5950" s="10" t="s">
        <v>476</v>
      </c>
      <c r="G5950" t="s">
        <v>651</v>
      </c>
      <c r="L5950" t="s">
        <v>686</v>
      </c>
      <c r="N5950" s="5">
        <f>COUNTIF(E5899:E5951,"VA")</f>
        <v>0</v>
      </c>
      <c r="O5950" s="5">
        <f>COUNTIF(E5901:E5951,"VB")</f>
        <v>0</v>
      </c>
      <c r="P5950" s="5">
        <f>COUNTIF(E5900:E5951,"VIA0")</f>
        <v>3</v>
      </c>
      <c r="Q5950" s="5">
        <f>COUNTIF(E5900:E5951,"VIA1")</f>
        <v>5</v>
      </c>
      <c r="R5950" s="5">
        <f>COUNTIF(E5900:E5951,"VIA2")</f>
        <v>28</v>
      </c>
      <c r="S5950" s="5">
        <f>COUNTIF(E5900:E5951,"VIA3")</f>
        <v>13</v>
      </c>
      <c r="T5950" s="5">
        <f>COUNTIF(E5900:E5951,"VIA4")</f>
        <v>2</v>
      </c>
      <c r="U5950" s="5">
        <f>COUNTIF(E5900:E5948,"VIB")</f>
        <v>0</v>
      </c>
      <c r="W5950">
        <f>AVERAGE(C5901:C5951)</f>
        <v>72</v>
      </c>
      <c r="X5950">
        <f>AVERAGE(D5901:D5951)</f>
        <v>333</v>
      </c>
    </row>
    <row r="5951" spans="1:24" s="4" customFormat="1" x14ac:dyDescent="0.35">
      <c r="A5951" s="3">
        <v>43196</v>
      </c>
      <c r="B5951" s="44" t="s">
        <v>38</v>
      </c>
      <c r="C5951" s="11">
        <v>74</v>
      </c>
      <c r="D5951" s="11">
        <v>395</v>
      </c>
      <c r="E5951" s="11" t="s">
        <v>34</v>
      </c>
      <c r="F5951" s="11" t="s">
        <v>646</v>
      </c>
      <c r="G5951" s="4" t="s">
        <v>651</v>
      </c>
      <c r="N5951" s="6">
        <f>N5950/51*100</f>
        <v>0</v>
      </c>
      <c r="O5951" s="6">
        <f t="shared" ref="O5951:U5951" si="182">O5950/51*100</f>
        <v>0</v>
      </c>
      <c r="P5951" s="6">
        <f t="shared" si="182"/>
        <v>5.8823529411764701</v>
      </c>
      <c r="Q5951" s="6">
        <f t="shared" si="182"/>
        <v>9.8039215686274517</v>
      </c>
      <c r="R5951" s="6">
        <f t="shared" si="182"/>
        <v>54.901960784313729</v>
      </c>
      <c r="S5951" s="6">
        <f t="shared" si="182"/>
        <v>25.490196078431371</v>
      </c>
      <c r="T5951" s="6">
        <f t="shared" si="182"/>
        <v>3.9215686274509802</v>
      </c>
      <c r="U5951" s="6">
        <f t="shared" si="182"/>
        <v>0</v>
      </c>
    </row>
    <row r="5952" spans="1:24" x14ac:dyDescent="0.35">
      <c r="A5952" s="2">
        <v>43199</v>
      </c>
      <c r="B5952" s="70" t="s">
        <v>29</v>
      </c>
      <c r="C5952" s="10">
        <v>67</v>
      </c>
      <c r="D5952" s="10">
        <v>258</v>
      </c>
      <c r="E5952" s="10" t="s">
        <v>33</v>
      </c>
      <c r="F5952" s="10" t="s">
        <v>646</v>
      </c>
      <c r="G5952" s="10" t="s">
        <v>651</v>
      </c>
      <c r="I5952" t="s">
        <v>687</v>
      </c>
      <c r="M5952">
        <f>COUNTIF(F5952:F6054,"F++")</f>
        <v>0</v>
      </c>
    </row>
    <row r="5953" spans="1:9" x14ac:dyDescent="0.35">
      <c r="A5953" s="2">
        <v>43199</v>
      </c>
      <c r="B5953" s="70" t="s">
        <v>29</v>
      </c>
      <c r="C5953" s="10">
        <v>71</v>
      </c>
      <c r="D5953" s="10">
        <v>282</v>
      </c>
      <c r="E5953" s="10" t="s">
        <v>33</v>
      </c>
      <c r="F5953" s="10" t="s">
        <v>476</v>
      </c>
      <c r="G5953" s="10" t="s">
        <v>651</v>
      </c>
      <c r="I5953" t="s">
        <v>684</v>
      </c>
    </row>
    <row r="5954" spans="1:9" x14ac:dyDescent="0.35">
      <c r="A5954" s="2">
        <v>43199</v>
      </c>
      <c r="B5954" s="70" t="s">
        <v>29</v>
      </c>
      <c r="C5954" s="10">
        <v>75</v>
      </c>
      <c r="D5954" s="10">
        <v>233</v>
      </c>
      <c r="E5954" s="10" t="s">
        <v>33</v>
      </c>
      <c r="F5954" s="10" t="s">
        <v>476</v>
      </c>
      <c r="G5954" s="10" t="s">
        <v>651</v>
      </c>
    </row>
    <row r="5955" spans="1:9" x14ac:dyDescent="0.35">
      <c r="A5955" s="2">
        <v>43199</v>
      </c>
      <c r="B5955" s="70" t="s">
        <v>29</v>
      </c>
      <c r="C5955" s="10">
        <v>77</v>
      </c>
      <c r="D5955" s="10">
        <v>327</v>
      </c>
      <c r="E5955" s="10" t="s">
        <v>32</v>
      </c>
      <c r="F5955" s="10" t="s">
        <v>476</v>
      </c>
      <c r="G5955" s="10" t="s">
        <v>651</v>
      </c>
    </row>
    <row r="5956" spans="1:9" x14ac:dyDescent="0.35">
      <c r="A5956" s="2">
        <v>43199</v>
      </c>
      <c r="B5956" s="70" t="s">
        <v>29</v>
      </c>
      <c r="C5956" s="10">
        <v>68</v>
      </c>
      <c r="D5956" s="10">
        <v>247</v>
      </c>
      <c r="E5956" s="10" t="s">
        <v>32</v>
      </c>
      <c r="F5956" s="10" t="s">
        <v>476</v>
      </c>
      <c r="G5956" s="10" t="s">
        <v>651</v>
      </c>
    </row>
    <row r="5957" spans="1:9" x14ac:dyDescent="0.35">
      <c r="A5957" s="2">
        <v>43199</v>
      </c>
      <c r="B5957" s="70" t="s">
        <v>29</v>
      </c>
      <c r="C5957" s="10">
        <v>74</v>
      </c>
      <c r="D5957" s="10">
        <v>303</v>
      </c>
      <c r="E5957" s="10" t="s">
        <v>32</v>
      </c>
      <c r="F5957" s="10" t="s">
        <v>476</v>
      </c>
      <c r="G5957" s="10" t="s">
        <v>651</v>
      </c>
    </row>
    <row r="5958" spans="1:9" x14ac:dyDescent="0.35">
      <c r="A5958" s="2">
        <v>43199</v>
      </c>
      <c r="B5958" s="70" t="s">
        <v>29</v>
      </c>
      <c r="C5958" s="10">
        <v>69</v>
      </c>
      <c r="D5958" s="10">
        <v>283</v>
      </c>
      <c r="E5958" s="10" t="s">
        <v>40</v>
      </c>
      <c r="F5958" s="10" t="s">
        <v>646</v>
      </c>
      <c r="G5958" s="10"/>
    </row>
    <row r="5959" spans="1:9" x14ac:dyDescent="0.35">
      <c r="A5959" s="2">
        <v>43199</v>
      </c>
      <c r="B5959" s="70" t="s">
        <v>29</v>
      </c>
      <c r="C5959" s="10">
        <v>81</v>
      </c>
      <c r="D5959" s="10">
        <v>376</v>
      </c>
      <c r="E5959" s="10" t="s">
        <v>32</v>
      </c>
      <c r="F5959" s="10" t="s">
        <v>476</v>
      </c>
      <c r="G5959" s="10" t="s">
        <v>651</v>
      </c>
    </row>
    <row r="5960" spans="1:9" x14ac:dyDescent="0.35">
      <c r="A5960" s="2">
        <v>43199</v>
      </c>
      <c r="B5960" s="70" t="s">
        <v>29</v>
      </c>
      <c r="C5960" s="10">
        <v>71</v>
      </c>
      <c r="D5960" s="10">
        <v>318</v>
      </c>
      <c r="E5960" s="10" t="s">
        <v>32</v>
      </c>
      <c r="F5960" s="10" t="s">
        <v>646</v>
      </c>
      <c r="G5960" s="10" t="s">
        <v>651</v>
      </c>
    </row>
    <row r="5961" spans="1:9" x14ac:dyDescent="0.35">
      <c r="A5961" s="2">
        <v>43199</v>
      </c>
      <c r="B5961" s="70" t="s">
        <v>29</v>
      </c>
      <c r="C5961" s="10">
        <v>70</v>
      </c>
      <c r="D5961" s="10">
        <v>294</v>
      </c>
      <c r="E5961" s="10" t="s">
        <v>33</v>
      </c>
      <c r="F5961" s="10" t="s">
        <v>476</v>
      </c>
      <c r="G5961" s="10" t="s">
        <v>651</v>
      </c>
    </row>
    <row r="5962" spans="1:9" x14ac:dyDescent="0.35">
      <c r="A5962" s="2">
        <v>43199</v>
      </c>
      <c r="B5962" s="70" t="s">
        <v>29</v>
      </c>
      <c r="C5962" s="10">
        <v>68</v>
      </c>
      <c r="D5962" s="10">
        <v>242</v>
      </c>
      <c r="E5962" s="10" t="s">
        <v>33</v>
      </c>
      <c r="F5962" s="10" t="s">
        <v>476</v>
      </c>
      <c r="G5962" s="10" t="s">
        <v>651</v>
      </c>
    </row>
    <row r="5963" spans="1:9" x14ac:dyDescent="0.35">
      <c r="A5963" s="2">
        <v>43199</v>
      </c>
      <c r="B5963" s="70" t="s">
        <v>29</v>
      </c>
      <c r="C5963" s="10">
        <v>74</v>
      </c>
      <c r="D5963" s="10">
        <v>357</v>
      </c>
      <c r="E5963" s="10" t="s">
        <v>33</v>
      </c>
      <c r="F5963" s="10" t="s">
        <v>476</v>
      </c>
      <c r="G5963" s="10" t="s">
        <v>651</v>
      </c>
    </row>
    <row r="5964" spans="1:9" x14ac:dyDescent="0.35">
      <c r="A5964" s="2">
        <v>43199</v>
      </c>
      <c r="B5964" s="70" t="s">
        <v>29</v>
      </c>
      <c r="C5964" s="10">
        <v>65</v>
      </c>
      <c r="D5964" s="10">
        <v>227</v>
      </c>
      <c r="E5964" s="10" t="s">
        <v>33</v>
      </c>
      <c r="F5964" s="10" t="s">
        <v>476</v>
      </c>
      <c r="G5964" s="10" t="s">
        <v>651</v>
      </c>
    </row>
    <row r="5965" spans="1:9" x14ac:dyDescent="0.35">
      <c r="A5965" s="2">
        <v>43199</v>
      </c>
      <c r="B5965" s="70" t="s">
        <v>29</v>
      </c>
      <c r="C5965" s="10">
        <v>65</v>
      </c>
      <c r="D5965" s="10">
        <v>218</v>
      </c>
      <c r="E5965" s="10" t="s">
        <v>40</v>
      </c>
      <c r="F5965" s="10" t="s">
        <v>646</v>
      </c>
      <c r="G5965" s="10"/>
    </row>
    <row r="5966" spans="1:9" x14ac:dyDescent="0.35">
      <c r="A5966" s="2">
        <v>43199</v>
      </c>
      <c r="B5966" s="70" t="s">
        <v>29</v>
      </c>
      <c r="C5966" s="10">
        <v>70</v>
      </c>
      <c r="D5966" s="10">
        <v>323</v>
      </c>
      <c r="E5966" s="10" t="s">
        <v>33</v>
      </c>
      <c r="F5966" s="10" t="s">
        <v>646</v>
      </c>
      <c r="G5966" s="10" t="s">
        <v>651</v>
      </c>
      <c r="I5966" t="s">
        <v>688</v>
      </c>
    </row>
    <row r="5967" spans="1:9" x14ac:dyDescent="0.35">
      <c r="A5967" s="2">
        <v>43199</v>
      </c>
      <c r="B5967" s="70" t="s">
        <v>29</v>
      </c>
      <c r="C5967" s="10">
        <v>70</v>
      </c>
      <c r="D5967" s="10">
        <v>314</v>
      </c>
      <c r="E5967" s="10" t="s">
        <v>33</v>
      </c>
      <c r="F5967" s="10" t="s">
        <v>476</v>
      </c>
      <c r="G5967" s="10" t="s">
        <v>651</v>
      </c>
    </row>
    <row r="5968" spans="1:9" x14ac:dyDescent="0.35">
      <c r="A5968" s="2">
        <v>43199</v>
      </c>
      <c r="B5968" s="70" t="s">
        <v>29</v>
      </c>
      <c r="C5968" s="10">
        <v>69</v>
      </c>
      <c r="D5968" s="10">
        <v>307</v>
      </c>
      <c r="E5968" s="10" t="s">
        <v>33</v>
      </c>
      <c r="F5968" s="10" t="s">
        <v>646</v>
      </c>
      <c r="G5968" s="10" t="s">
        <v>651</v>
      </c>
    </row>
    <row r="5969" spans="1:9" x14ac:dyDescent="0.35">
      <c r="A5969" s="2">
        <v>43199</v>
      </c>
      <c r="B5969" s="70" t="s">
        <v>29</v>
      </c>
      <c r="C5969" s="10">
        <v>72</v>
      </c>
      <c r="D5969" s="10">
        <v>376</v>
      </c>
      <c r="E5969" s="10" t="s">
        <v>34</v>
      </c>
      <c r="F5969" s="10" t="s">
        <v>476</v>
      </c>
      <c r="G5969" s="10" t="s">
        <v>651</v>
      </c>
      <c r="I5969" t="s">
        <v>689</v>
      </c>
    </row>
    <row r="5970" spans="1:9" x14ac:dyDescent="0.35">
      <c r="A5970" s="2">
        <v>43199</v>
      </c>
      <c r="B5970" s="70" t="s">
        <v>29</v>
      </c>
      <c r="C5970" s="10">
        <v>70</v>
      </c>
      <c r="D5970" s="10">
        <v>273</v>
      </c>
      <c r="E5970" s="10" t="s">
        <v>36</v>
      </c>
      <c r="F5970" s="10" t="s">
        <v>476</v>
      </c>
      <c r="G5970" s="10" t="s">
        <v>651</v>
      </c>
    </row>
    <row r="5971" spans="1:9" x14ac:dyDescent="0.35">
      <c r="A5971" s="2">
        <v>43199</v>
      </c>
      <c r="B5971" s="70" t="s">
        <v>29</v>
      </c>
      <c r="C5971" s="10">
        <v>68</v>
      </c>
      <c r="D5971" s="10">
        <v>258</v>
      </c>
      <c r="E5971" s="10" t="s">
        <v>34</v>
      </c>
      <c r="F5971" s="10" t="s">
        <v>476</v>
      </c>
      <c r="G5971" s="10" t="s">
        <v>651</v>
      </c>
    </row>
    <row r="5972" spans="1:9" x14ac:dyDescent="0.35">
      <c r="A5972" s="2">
        <v>43199</v>
      </c>
      <c r="B5972" s="70" t="s">
        <v>29</v>
      </c>
      <c r="C5972" s="10">
        <v>66</v>
      </c>
      <c r="D5972" s="10">
        <v>248</v>
      </c>
      <c r="E5972" s="10" t="s">
        <v>34</v>
      </c>
      <c r="F5972" s="10" t="s">
        <v>646</v>
      </c>
      <c r="G5972" s="10" t="s">
        <v>651</v>
      </c>
    </row>
    <row r="5973" spans="1:9" x14ac:dyDescent="0.35">
      <c r="A5973" s="2">
        <v>43199</v>
      </c>
      <c r="B5973" s="70" t="s">
        <v>29</v>
      </c>
      <c r="C5973" s="10">
        <v>74</v>
      </c>
      <c r="D5973" s="10">
        <v>296</v>
      </c>
      <c r="E5973" s="10" t="s">
        <v>34</v>
      </c>
      <c r="F5973" s="10" t="s">
        <v>476</v>
      </c>
      <c r="G5973" s="10" t="s">
        <v>651</v>
      </c>
    </row>
    <row r="5974" spans="1:9" x14ac:dyDescent="0.35">
      <c r="A5974" s="2">
        <v>43199</v>
      </c>
      <c r="B5974" s="70" t="s">
        <v>29</v>
      </c>
      <c r="C5974" s="10">
        <v>76</v>
      </c>
      <c r="D5974" s="10">
        <v>364</v>
      </c>
      <c r="E5974" s="10" t="s">
        <v>34</v>
      </c>
      <c r="F5974" s="10" t="s">
        <v>476</v>
      </c>
      <c r="G5974" s="10" t="s">
        <v>651</v>
      </c>
    </row>
    <row r="5975" spans="1:9" x14ac:dyDescent="0.35">
      <c r="A5975" s="2">
        <v>43199</v>
      </c>
      <c r="B5975" s="70" t="s">
        <v>29</v>
      </c>
      <c r="C5975" s="10">
        <v>70</v>
      </c>
      <c r="D5975" s="10">
        <v>302</v>
      </c>
      <c r="E5975" s="10" t="s">
        <v>33</v>
      </c>
      <c r="F5975" s="10" t="s">
        <v>476</v>
      </c>
      <c r="G5975" s="10" t="s">
        <v>651</v>
      </c>
    </row>
    <row r="5976" spans="1:9" x14ac:dyDescent="0.35">
      <c r="A5976" s="2">
        <v>43199</v>
      </c>
      <c r="B5976" s="70" t="s">
        <v>29</v>
      </c>
      <c r="C5976" s="10">
        <v>67</v>
      </c>
      <c r="D5976" s="10">
        <v>320</v>
      </c>
      <c r="E5976" s="10" t="s">
        <v>36</v>
      </c>
      <c r="F5976" s="10" t="s">
        <v>646</v>
      </c>
      <c r="G5976" s="10" t="s">
        <v>651</v>
      </c>
    </row>
    <row r="5977" spans="1:9" x14ac:dyDescent="0.35">
      <c r="A5977" s="2">
        <v>43199</v>
      </c>
      <c r="B5977" s="70" t="s">
        <v>29</v>
      </c>
      <c r="C5977" s="10">
        <v>73</v>
      </c>
      <c r="D5977" s="10">
        <v>298</v>
      </c>
      <c r="E5977" s="10" t="s">
        <v>34</v>
      </c>
      <c r="F5977" s="10" t="s">
        <v>646</v>
      </c>
      <c r="G5977" s="10" t="s">
        <v>651</v>
      </c>
    </row>
    <row r="5978" spans="1:9" x14ac:dyDescent="0.35">
      <c r="A5978" s="2">
        <v>43199</v>
      </c>
      <c r="B5978" s="70" t="s">
        <v>29</v>
      </c>
      <c r="C5978" s="10">
        <v>70</v>
      </c>
      <c r="D5978" s="10">
        <v>292</v>
      </c>
      <c r="E5978" s="10" t="s">
        <v>33</v>
      </c>
      <c r="F5978" s="10" t="s">
        <v>646</v>
      </c>
      <c r="G5978" s="10" t="s">
        <v>651</v>
      </c>
    </row>
    <row r="5979" spans="1:9" x14ac:dyDescent="0.35">
      <c r="A5979" s="2">
        <v>43199</v>
      </c>
      <c r="B5979" s="70" t="s">
        <v>29</v>
      </c>
      <c r="C5979" s="10">
        <v>73</v>
      </c>
      <c r="D5979" s="10">
        <v>332</v>
      </c>
      <c r="E5979" s="10" t="s">
        <v>34</v>
      </c>
      <c r="F5979" s="10" t="s">
        <v>476</v>
      </c>
      <c r="G5979" s="10" t="s">
        <v>651</v>
      </c>
    </row>
    <row r="5980" spans="1:9" x14ac:dyDescent="0.35">
      <c r="A5980" s="2">
        <v>43199</v>
      </c>
      <c r="B5980" s="70" t="s">
        <v>29</v>
      </c>
      <c r="C5980" s="10">
        <v>70</v>
      </c>
      <c r="D5980" s="10">
        <v>313</v>
      </c>
      <c r="E5980" s="10" t="s">
        <v>33</v>
      </c>
      <c r="F5980" s="10" t="s">
        <v>293</v>
      </c>
      <c r="G5980" s="10" t="s">
        <v>651</v>
      </c>
    </row>
    <row r="5981" spans="1:9" x14ac:dyDescent="0.35">
      <c r="A5981" s="2">
        <v>43199</v>
      </c>
      <c r="B5981" s="70" t="s">
        <v>29</v>
      </c>
      <c r="C5981" s="10">
        <v>70</v>
      </c>
      <c r="D5981" s="10">
        <v>337</v>
      </c>
      <c r="E5981" s="10" t="s">
        <v>34</v>
      </c>
      <c r="F5981" s="10" t="s">
        <v>293</v>
      </c>
      <c r="G5981" s="10" t="s">
        <v>651</v>
      </c>
    </row>
    <row r="5982" spans="1:9" x14ac:dyDescent="0.35">
      <c r="A5982" s="2">
        <v>43199</v>
      </c>
      <c r="B5982" s="70" t="s">
        <v>29</v>
      </c>
      <c r="C5982" s="10">
        <v>70</v>
      </c>
      <c r="D5982" s="10">
        <v>315</v>
      </c>
      <c r="E5982" s="10" t="s">
        <v>32</v>
      </c>
      <c r="F5982" s="10" t="s">
        <v>646</v>
      </c>
      <c r="G5982" s="10" t="s">
        <v>651</v>
      </c>
    </row>
    <row r="5983" spans="1:9" x14ac:dyDescent="0.35">
      <c r="A5983" s="2">
        <v>43199</v>
      </c>
      <c r="B5983" s="70" t="s">
        <v>29</v>
      </c>
      <c r="C5983" s="10">
        <v>65</v>
      </c>
      <c r="D5983" s="10">
        <v>198</v>
      </c>
      <c r="E5983" s="10" t="s">
        <v>32</v>
      </c>
      <c r="F5983" s="10" t="s">
        <v>293</v>
      </c>
      <c r="G5983" s="10" t="s">
        <v>651</v>
      </c>
    </row>
    <row r="5984" spans="1:9" x14ac:dyDescent="0.35">
      <c r="A5984" s="2">
        <v>43199</v>
      </c>
      <c r="B5984" s="70" t="s">
        <v>29</v>
      </c>
      <c r="C5984" s="10">
        <v>74</v>
      </c>
      <c r="D5984" s="10">
        <v>346</v>
      </c>
      <c r="E5984" s="10" t="s">
        <v>34</v>
      </c>
      <c r="F5984" s="10" t="s">
        <v>476</v>
      </c>
      <c r="G5984" s="10" t="s">
        <v>651</v>
      </c>
    </row>
    <row r="5985" spans="1:24" x14ac:dyDescent="0.35">
      <c r="A5985" s="2">
        <v>43199</v>
      </c>
      <c r="B5985" s="70" t="s">
        <v>29</v>
      </c>
      <c r="C5985" s="10">
        <v>71</v>
      </c>
      <c r="D5985" s="10">
        <v>297</v>
      </c>
      <c r="E5985" s="10" t="s">
        <v>34</v>
      </c>
      <c r="F5985" s="10" t="s">
        <v>476</v>
      </c>
      <c r="G5985" s="10" t="s">
        <v>651</v>
      </c>
    </row>
    <row r="5986" spans="1:24" x14ac:dyDescent="0.35">
      <c r="A5986" s="2">
        <v>43199</v>
      </c>
      <c r="B5986" s="70" t="s">
        <v>29</v>
      </c>
      <c r="C5986" s="10">
        <v>71</v>
      </c>
      <c r="D5986" s="10">
        <v>299</v>
      </c>
      <c r="E5986" s="10" t="s">
        <v>34</v>
      </c>
      <c r="F5986" s="10" t="s">
        <v>646</v>
      </c>
      <c r="G5986" s="10" t="s">
        <v>651</v>
      </c>
    </row>
    <row r="5987" spans="1:24" x14ac:dyDescent="0.35">
      <c r="A5987" s="2">
        <v>43199</v>
      </c>
      <c r="B5987" s="70" t="s">
        <v>29</v>
      </c>
      <c r="C5987" s="10">
        <v>68</v>
      </c>
      <c r="D5987" s="10">
        <v>266</v>
      </c>
      <c r="E5987" s="10" t="s">
        <v>34</v>
      </c>
      <c r="F5987" s="10" t="s">
        <v>646</v>
      </c>
      <c r="G5987" s="10" t="s">
        <v>651</v>
      </c>
    </row>
    <row r="5988" spans="1:24" x14ac:dyDescent="0.35">
      <c r="A5988" s="2">
        <v>43199</v>
      </c>
      <c r="B5988" s="70" t="s">
        <v>29</v>
      </c>
      <c r="C5988" s="10">
        <v>68</v>
      </c>
      <c r="D5988" s="10">
        <v>264</v>
      </c>
      <c r="E5988" s="10" t="s">
        <v>34</v>
      </c>
      <c r="F5988" s="10" t="s">
        <v>476</v>
      </c>
      <c r="G5988" s="10" t="s">
        <v>651</v>
      </c>
    </row>
    <row r="5989" spans="1:24" x14ac:dyDescent="0.35">
      <c r="A5989" s="2">
        <v>43199</v>
      </c>
      <c r="B5989" s="70" t="s">
        <v>29</v>
      </c>
      <c r="C5989" s="10">
        <v>69</v>
      </c>
      <c r="D5989" s="10">
        <v>280</v>
      </c>
      <c r="E5989" s="10" t="s">
        <v>32</v>
      </c>
      <c r="F5989" s="10" t="s">
        <v>476</v>
      </c>
      <c r="G5989" s="10" t="s">
        <v>651</v>
      </c>
    </row>
    <row r="5990" spans="1:24" x14ac:dyDescent="0.35">
      <c r="A5990" s="2">
        <v>43199</v>
      </c>
      <c r="B5990" s="70" t="s">
        <v>29</v>
      </c>
      <c r="C5990" s="10">
        <v>75</v>
      </c>
      <c r="D5990" s="10">
        <v>345</v>
      </c>
      <c r="E5990" s="10" t="s">
        <v>33</v>
      </c>
      <c r="F5990" s="10" t="s">
        <v>293</v>
      </c>
      <c r="G5990" s="10" t="s">
        <v>651</v>
      </c>
    </row>
    <row r="5991" spans="1:24" x14ac:dyDescent="0.35">
      <c r="A5991" s="2">
        <v>43199</v>
      </c>
      <c r="B5991" s="70" t="s">
        <v>29</v>
      </c>
      <c r="C5991" s="10">
        <v>72</v>
      </c>
      <c r="D5991" s="10">
        <v>349</v>
      </c>
      <c r="E5991" s="10" t="s">
        <v>34</v>
      </c>
      <c r="F5991" s="10" t="s">
        <v>646</v>
      </c>
      <c r="G5991" s="10" t="s">
        <v>651</v>
      </c>
    </row>
    <row r="5992" spans="1:24" x14ac:dyDescent="0.35">
      <c r="A5992" s="2">
        <v>43199</v>
      </c>
      <c r="B5992" s="70" t="s">
        <v>29</v>
      </c>
      <c r="C5992" s="10">
        <v>71</v>
      </c>
      <c r="D5992" s="10">
        <v>264</v>
      </c>
      <c r="E5992" s="10" t="s">
        <v>33</v>
      </c>
      <c r="F5992" s="10" t="s">
        <v>646</v>
      </c>
      <c r="G5992" s="10" t="s">
        <v>651</v>
      </c>
    </row>
    <row r="5993" spans="1:24" x14ac:dyDescent="0.35">
      <c r="A5993" s="2">
        <v>43199</v>
      </c>
      <c r="B5993" s="70" t="s">
        <v>29</v>
      </c>
      <c r="C5993" s="10">
        <v>68</v>
      </c>
      <c r="D5993" s="10">
        <v>258</v>
      </c>
      <c r="E5993" s="10" t="s">
        <v>34</v>
      </c>
      <c r="F5993" s="10" t="s">
        <v>646</v>
      </c>
      <c r="G5993" s="10" t="s">
        <v>651</v>
      </c>
    </row>
    <row r="5994" spans="1:24" x14ac:dyDescent="0.35">
      <c r="A5994" s="2">
        <v>43199</v>
      </c>
      <c r="B5994" s="70" t="s">
        <v>29</v>
      </c>
      <c r="C5994" s="10">
        <v>77</v>
      </c>
      <c r="D5994" s="10">
        <v>356</v>
      </c>
      <c r="E5994" s="10" t="s">
        <v>34</v>
      </c>
      <c r="F5994" s="10" t="s">
        <v>646</v>
      </c>
      <c r="G5994" s="10" t="s">
        <v>651</v>
      </c>
    </row>
    <row r="5995" spans="1:24" x14ac:dyDescent="0.35">
      <c r="A5995" s="2">
        <v>43199</v>
      </c>
      <c r="B5995" s="70" t="s">
        <v>29</v>
      </c>
      <c r="C5995" s="10">
        <v>73</v>
      </c>
      <c r="D5995" s="10">
        <v>325</v>
      </c>
      <c r="E5995" s="10" t="s">
        <v>34</v>
      </c>
      <c r="F5995" s="10" t="s">
        <v>293</v>
      </c>
      <c r="G5995" s="10" t="s">
        <v>651</v>
      </c>
      <c r="H5995" s="10" t="s">
        <v>682</v>
      </c>
    </row>
    <row r="5996" spans="1:24" x14ac:dyDescent="0.35">
      <c r="A5996" s="2">
        <v>43199</v>
      </c>
      <c r="B5996" s="70" t="s">
        <v>29</v>
      </c>
      <c r="C5996" s="10">
        <v>67</v>
      </c>
      <c r="D5996" s="10">
        <v>278</v>
      </c>
      <c r="E5996" s="10" t="s">
        <v>40</v>
      </c>
      <c r="F5996" s="10" t="s">
        <v>646</v>
      </c>
      <c r="G5996" s="10" t="s">
        <v>651</v>
      </c>
    </row>
    <row r="5997" spans="1:24" x14ac:dyDescent="0.35">
      <c r="A5997" s="2">
        <v>43199</v>
      </c>
      <c r="B5997" s="70" t="s">
        <v>29</v>
      </c>
      <c r="C5997" s="10">
        <v>75</v>
      </c>
      <c r="D5997" s="10">
        <v>355</v>
      </c>
      <c r="E5997" s="10" t="s">
        <v>33</v>
      </c>
      <c r="F5997" s="10" t="s">
        <v>476</v>
      </c>
      <c r="G5997" s="10" t="s">
        <v>651</v>
      </c>
    </row>
    <row r="5998" spans="1:24" x14ac:dyDescent="0.35">
      <c r="A5998" s="2">
        <v>43199</v>
      </c>
      <c r="B5998" s="70" t="s">
        <v>29</v>
      </c>
      <c r="C5998" s="10">
        <v>76</v>
      </c>
      <c r="D5998" s="10">
        <v>370</v>
      </c>
      <c r="E5998" s="10" t="s">
        <v>33</v>
      </c>
      <c r="F5998" s="10" t="s">
        <v>646</v>
      </c>
      <c r="G5998" s="10" t="s">
        <v>651</v>
      </c>
    </row>
    <row r="5999" spans="1:24" x14ac:dyDescent="0.35">
      <c r="A5999" s="2">
        <v>43199</v>
      </c>
      <c r="B5999" s="70" t="s">
        <v>29</v>
      </c>
      <c r="C5999" s="10">
        <v>72</v>
      </c>
      <c r="D5999" s="10">
        <v>287</v>
      </c>
      <c r="E5999" s="10" t="s">
        <v>32</v>
      </c>
      <c r="F5999" s="10" t="s">
        <v>476</v>
      </c>
      <c r="G5999" s="10" t="s">
        <v>651</v>
      </c>
      <c r="N5999" t="s">
        <v>42</v>
      </c>
      <c r="O5999" t="s">
        <v>39</v>
      </c>
      <c r="P5999" t="s">
        <v>40</v>
      </c>
      <c r="Q5999" t="s">
        <v>36</v>
      </c>
      <c r="R5999" t="s">
        <v>33</v>
      </c>
      <c r="S5999" t="s">
        <v>34</v>
      </c>
      <c r="T5999" t="s">
        <v>32</v>
      </c>
      <c r="U5999" t="s">
        <v>37</v>
      </c>
    </row>
    <row r="6000" spans="1:24" x14ac:dyDescent="0.35">
      <c r="A6000" s="2">
        <v>43199</v>
      </c>
      <c r="B6000" s="70" t="s">
        <v>29</v>
      </c>
      <c r="C6000" s="10">
        <v>72</v>
      </c>
      <c r="D6000" s="10">
        <v>296</v>
      </c>
      <c r="E6000" s="10" t="s">
        <v>34</v>
      </c>
      <c r="F6000" s="10" t="s">
        <v>646</v>
      </c>
      <c r="G6000" s="10" t="s">
        <v>651</v>
      </c>
      <c r="N6000" s="5">
        <f>COUNTIF(E5952:E6001,"VA")</f>
        <v>0</v>
      </c>
      <c r="O6000" s="5">
        <f>COUNTIF(E5952:E6001,"VB")</f>
        <v>0</v>
      </c>
      <c r="P6000" s="5">
        <f>COUNTIF(E5952:E6001,"VIA0")</f>
        <v>3</v>
      </c>
      <c r="Q6000" s="5">
        <f>COUNTIF(E5952:E6001,"VIA1")</f>
        <v>2</v>
      </c>
      <c r="R6000" s="5">
        <f>COUNTIF(E5952:E6001,"VIA2")</f>
        <v>18</v>
      </c>
      <c r="S6000" s="5">
        <f>COUNTIF(E5952:E6001,"VIA3")</f>
        <v>18</v>
      </c>
      <c r="T6000" s="5">
        <f>COUNTIF(E5952:E6001,"VIA4")</f>
        <v>9</v>
      </c>
      <c r="U6000" s="5">
        <f>COUNTIF(E5952:E5998,"VIB")</f>
        <v>0</v>
      </c>
      <c r="W6000">
        <f>AVERAGE(C5952:C6001)</f>
        <v>70.94</v>
      </c>
      <c r="X6000">
        <f>AVERAGE(D5952:D6001)</f>
        <v>298.83999999999997</v>
      </c>
    </row>
    <row r="6001" spans="1:21" s="4" customFormat="1" x14ac:dyDescent="0.35">
      <c r="A6001" s="3">
        <v>43199</v>
      </c>
      <c r="B6001" s="44" t="s">
        <v>29</v>
      </c>
      <c r="C6001" s="11">
        <v>70</v>
      </c>
      <c r="D6001" s="11">
        <v>276</v>
      </c>
      <c r="E6001" s="11" t="s">
        <v>33</v>
      </c>
      <c r="F6001" s="11" t="s">
        <v>476</v>
      </c>
      <c r="G6001" s="11" t="s">
        <v>651</v>
      </c>
      <c r="N6001" s="6">
        <f>N6000/50*100</f>
        <v>0</v>
      </c>
      <c r="O6001" s="6">
        <f t="shared" ref="O6001:U6001" si="183">O6000/50*100</f>
        <v>0</v>
      </c>
      <c r="P6001" s="6">
        <f t="shared" si="183"/>
        <v>6</v>
      </c>
      <c r="Q6001" s="6">
        <f t="shared" si="183"/>
        <v>4</v>
      </c>
      <c r="R6001" s="6">
        <f t="shared" si="183"/>
        <v>36</v>
      </c>
      <c r="S6001" s="6">
        <f t="shared" si="183"/>
        <v>36</v>
      </c>
      <c r="T6001" s="6">
        <f t="shared" si="183"/>
        <v>18</v>
      </c>
      <c r="U6001" s="6">
        <f t="shared" si="183"/>
        <v>0</v>
      </c>
    </row>
    <row r="6002" spans="1:21" x14ac:dyDescent="0.35">
      <c r="A6002" s="2">
        <v>43199</v>
      </c>
      <c r="B6002" s="70" t="s">
        <v>38</v>
      </c>
      <c r="C6002" s="10">
        <v>132</v>
      </c>
      <c r="D6002" s="10">
        <v>3114</v>
      </c>
      <c r="E6002" s="10" t="s">
        <v>59</v>
      </c>
    </row>
    <row r="6003" spans="1:21" x14ac:dyDescent="0.35">
      <c r="A6003" s="2">
        <v>43199</v>
      </c>
      <c r="B6003" s="70" t="s">
        <v>38</v>
      </c>
      <c r="C6003" s="10">
        <v>137</v>
      </c>
      <c r="D6003" s="10">
        <v>2529</v>
      </c>
      <c r="E6003" s="10" t="s">
        <v>59</v>
      </c>
    </row>
    <row r="6004" spans="1:21" x14ac:dyDescent="0.35">
      <c r="A6004" s="2">
        <v>43199</v>
      </c>
      <c r="B6004" s="70" t="s">
        <v>38</v>
      </c>
      <c r="C6004" s="10">
        <v>66</v>
      </c>
      <c r="D6004" s="10">
        <v>174</v>
      </c>
      <c r="E6004" s="10" t="s">
        <v>34</v>
      </c>
      <c r="F6004" t="s">
        <v>646</v>
      </c>
    </row>
    <row r="6005" spans="1:21" x14ac:dyDescent="0.35">
      <c r="A6005" s="2">
        <v>43199</v>
      </c>
      <c r="B6005" s="70" t="s">
        <v>38</v>
      </c>
      <c r="C6005" s="10">
        <v>65</v>
      </c>
      <c r="D6005" s="10">
        <v>261</v>
      </c>
      <c r="E6005" s="10" t="s">
        <v>33</v>
      </c>
      <c r="F6005" t="s">
        <v>646</v>
      </c>
      <c r="G6005" s="10" t="s">
        <v>651</v>
      </c>
      <c r="I6005" t="s">
        <v>688</v>
      </c>
      <c r="J6005" t="s">
        <v>498</v>
      </c>
    </row>
    <row r="6006" spans="1:21" x14ac:dyDescent="0.35">
      <c r="A6006" s="2">
        <v>43199</v>
      </c>
      <c r="B6006" s="70" t="s">
        <v>38</v>
      </c>
      <c r="C6006" s="10">
        <v>70</v>
      </c>
      <c r="D6006" s="10">
        <v>259</v>
      </c>
      <c r="E6006" s="10" t="s">
        <v>34</v>
      </c>
      <c r="F6006" t="s">
        <v>646</v>
      </c>
      <c r="G6006" s="10" t="s">
        <v>651</v>
      </c>
    </row>
    <row r="6007" spans="1:21" x14ac:dyDescent="0.35">
      <c r="A6007" s="2">
        <v>43199</v>
      </c>
      <c r="B6007" s="70" t="s">
        <v>38</v>
      </c>
      <c r="C6007" s="10">
        <v>68</v>
      </c>
      <c r="D6007" s="10">
        <v>279</v>
      </c>
      <c r="E6007" s="10" t="s">
        <v>34</v>
      </c>
      <c r="F6007" t="s">
        <v>476</v>
      </c>
      <c r="G6007" s="10" t="s">
        <v>651</v>
      </c>
    </row>
    <row r="6008" spans="1:21" x14ac:dyDescent="0.35">
      <c r="A6008" s="2">
        <v>43199</v>
      </c>
      <c r="B6008" s="70" t="s">
        <v>38</v>
      </c>
      <c r="C6008" s="10">
        <v>77</v>
      </c>
      <c r="D6008" s="10">
        <v>388</v>
      </c>
      <c r="E6008" s="10" t="s">
        <v>34</v>
      </c>
      <c r="F6008" t="s">
        <v>646</v>
      </c>
      <c r="G6008" s="10" t="s">
        <v>651</v>
      </c>
    </row>
    <row r="6009" spans="1:21" x14ac:dyDescent="0.35">
      <c r="A6009" s="2">
        <v>43199</v>
      </c>
      <c r="B6009" s="70" t="s">
        <v>38</v>
      </c>
      <c r="C6009" s="10">
        <v>69</v>
      </c>
      <c r="D6009" s="10">
        <v>300</v>
      </c>
      <c r="E6009" s="10" t="s">
        <v>34</v>
      </c>
      <c r="F6009" t="s">
        <v>646</v>
      </c>
      <c r="G6009" s="10" t="s">
        <v>651</v>
      </c>
    </row>
    <row r="6010" spans="1:21" x14ac:dyDescent="0.35">
      <c r="A6010" s="2">
        <v>43199</v>
      </c>
      <c r="B6010" s="70" t="s">
        <v>38</v>
      </c>
      <c r="C6010" s="10">
        <v>72</v>
      </c>
      <c r="D6010" s="10">
        <v>313</v>
      </c>
      <c r="E6010" s="10" t="s">
        <v>34</v>
      </c>
      <c r="F6010" t="s">
        <v>476</v>
      </c>
      <c r="G6010" s="10" t="s">
        <v>651</v>
      </c>
      <c r="I6010" t="s">
        <v>687</v>
      </c>
    </row>
    <row r="6011" spans="1:21" x14ac:dyDescent="0.35">
      <c r="A6011" s="2">
        <v>43199</v>
      </c>
      <c r="B6011" s="70" t="s">
        <v>38</v>
      </c>
      <c r="C6011" s="10">
        <v>68</v>
      </c>
      <c r="D6011" s="10">
        <v>248</v>
      </c>
      <c r="E6011" s="10" t="s">
        <v>33</v>
      </c>
      <c r="F6011" t="s">
        <v>476</v>
      </c>
      <c r="G6011" s="10" t="s">
        <v>651</v>
      </c>
    </row>
    <row r="6012" spans="1:21" x14ac:dyDescent="0.35">
      <c r="A6012" s="2">
        <v>43199</v>
      </c>
      <c r="B6012" s="70" t="s">
        <v>38</v>
      </c>
      <c r="C6012" s="10">
        <v>68</v>
      </c>
      <c r="D6012" s="10">
        <v>247</v>
      </c>
      <c r="E6012" s="10" t="s">
        <v>36</v>
      </c>
      <c r="F6012" t="s">
        <v>476</v>
      </c>
      <c r="G6012" s="10" t="s">
        <v>651</v>
      </c>
      <c r="I6012" t="s">
        <v>691</v>
      </c>
    </row>
    <row r="6013" spans="1:21" x14ac:dyDescent="0.35">
      <c r="A6013" s="2">
        <v>43199</v>
      </c>
      <c r="B6013" s="70" t="s">
        <v>38</v>
      </c>
      <c r="C6013" s="10">
        <v>70</v>
      </c>
      <c r="D6013" s="10">
        <v>262</v>
      </c>
      <c r="E6013" s="10" t="s">
        <v>34</v>
      </c>
      <c r="F6013" t="s">
        <v>646</v>
      </c>
      <c r="G6013" s="10" t="s">
        <v>651</v>
      </c>
    </row>
    <row r="6014" spans="1:21" x14ac:dyDescent="0.35">
      <c r="A6014" s="2">
        <v>43199</v>
      </c>
      <c r="B6014" s="70" t="s">
        <v>38</v>
      </c>
      <c r="C6014" s="10">
        <v>71</v>
      </c>
      <c r="D6014" s="10">
        <v>267</v>
      </c>
      <c r="E6014" s="10" t="s">
        <v>36</v>
      </c>
      <c r="F6014" t="s">
        <v>293</v>
      </c>
      <c r="G6014" s="10" t="s">
        <v>651</v>
      </c>
    </row>
    <row r="6015" spans="1:21" x14ac:dyDescent="0.35">
      <c r="A6015" s="2">
        <v>43199</v>
      </c>
      <c r="B6015" s="70" t="s">
        <v>38</v>
      </c>
      <c r="C6015" s="10">
        <v>74</v>
      </c>
      <c r="D6015" s="10">
        <v>326</v>
      </c>
      <c r="E6015" s="10" t="s">
        <v>34</v>
      </c>
      <c r="F6015" t="s">
        <v>646</v>
      </c>
      <c r="G6015" s="10" t="s">
        <v>651</v>
      </c>
    </row>
    <row r="6016" spans="1:21" x14ac:dyDescent="0.35">
      <c r="A6016" s="2">
        <v>43199</v>
      </c>
      <c r="B6016" s="70" t="s">
        <v>38</v>
      </c>
      <c r="C6016" s="10">
        <v>67</v>
      </c>
      <c r="D6016" s="10">
        <v>231</v>
      </c>
      <c r="E6016" s="10" t="s">
        <v>33</v>
      </c>
      <c r="F6016" t="s">
        <v>476</v>
      </c>
      <c r="G6016" s="10" t="s">
        <v>651</v>
      </c>
    </row>
    <row r="6017" spans="1:9" x14ac:dyDescent="0.35">
      <c r="A6017" s="2">
        <v>43199</v>
      </c>
      <c r="B6017" s="70" t="s">
        <v>38</v>
      </c>
      <c r="C6017" s="10">
        <v>69</v>
      </c>
      <c r="D6017" s="10">
        <v>274</v>
      </c>
      <c r="E6017" s="10" t="s">
        <v>33</v>
      </c>
      <c r="F6017" t="s">
        <v>476</v>
      </c>
      <c r="G6017" s="10" t="s">
        <v>651</v>
      </c>
    </row>
    <row r="6018" spans="1:9" x14ac:dyDescent="0.35">
      <c r="A6018" s="2">
        <v>43199</v>
      </c>
      <c r="B6018" s="70" t="s">
        <v>38</v>
      </c>
      <c r="C6018" s="10">
        <v>72</v>
      </c>
      <c r="D6018" s="10">
        <v>372</v>
      </c>
      <c r="E6018" s="10" t="s">
        <v>34</v>
      </c>
      <c r="F6018" t="s">
        <v>646</v>
      </c>
      <c r="G6018" s="10" t="s">
        <v>651</v>
      </c>
    </row>
    <row r="6019" spans="1:9" x14ac:dyDescent="0.35">
      <c r="A6019" s="2">
        <v>43199</v>
      </c>
      <c r="B6019" s="70" t="s">
        <v>38</v>
      </c>
      <c r="C6019" s="10">
        <v>64</v>
      </c>
      <c r="D6019" s="10">
        <v>214</v>
      </c>
      <c r="E6019" s="10" t="s">
        <v>33</v>
      </c>
      <c r="F6019" t="s">
        <v>476</v>
      </c>
      <c r="G6019" s="10" t="s">
        <v>651</v>
      </c>
    </row>
    <row r="6020" spans="1:9" x14ac:dyDescent="0.35">
      <c r="A6020" s="2">
        <v>43199</v>
      </c>
      <c r="B6020" s="70" t="s">
        <v>38</v>
      </c>
      <c r="C6020" s="10">
        <v>75</v>
      </c>
      <c r="D6020" s="10">
        <v>284</v>
      </c>
      <c r="E6020" s="10" t="s">
        <v>33</v>
      </c>
      <c r="F6020" t="s">
        <v>646</v>
      </c>
      <c r="G6020" s="10" t="s">
        <v>651</v>
      </c>
      <c r="I6020" t="s">
        <v>682</v>
      </c>
    </row>
    <row r="6021" spans="1:9" x14ac:dyDescent="0.35">
      <c r="A6021" s="2">
        <v>43199</v>
      </c>
      <c r="B6021" s="70" t="s">
        <v>38</v>
      </c>
      <c r="C6021" s="10">
        <v>65</v>
      </c>
      <c r="D6021" s="10">
        <v>252</v>
      </c>
      <c r="E6021" s="10" t="s">
        <v>34</v>
      </c>
      <c r="F6021" t="s">
        <v>476</v>
      </c>
      <c r="G6021" s="10" t="s">
        <v>651</v>
      </c>
      <c r="I6021" t="s">
        <v>682</v>
      </c>
    </row>
    <row r="6022" spans="1:9" x14ac:dyDescent="0.35">
      <c r="A6022" s="2">
        <v>43199</v>
      </c>
      <c r="B6022" s="70" t="s">
        <v>38</v>
      </c>
      <c r="C6022" s="10">
        <v>66</v>
      </c>
      <c r="D6022" s="10">
        <v>237</v>
      </c>
      <c r="E6022" s="10" t="s">
        <v>34</v>
      </c>
      <c r="F6022" t="s">
        <v>476</v>
      </c>
      <c r="G6022" s="10" t="s">
        <v>651</v>
      </c>
    </row>
    <row r="6023" spans="1:9" x14ac:dyDescent="0.35">
      <c r="A6023" s="2">
        <v>43199</v>
      </c>
      <c r="B6023" s="70" t="s">
        <v>38</v>
      </c>
      <c r="C6023" s="10">
        <v>70</v>
      </c>
      <c r="D6023" s="10">
        <v>327</v>
      </c>
      <c r="E6023" s="10" t="s">
        <v>33</v>
      </c>
      <c r="F6023" t="s">
        <v>646</v>
      </c>
      <c r="G6023" s="10" t="s">
        <v>651</v>
      </c>
    </row>
    <row r="6024" spans="1:9" x14ac:dyDescent="0.35">
      <c r="A6024" s="2">
        <v>43199</v>
      </c>
      <c r="B6024" s="70" t="s">
        <v>38</v>
      </c>
      <c r="C6024" s="10">
        <v>65</v>
      </c>
      <c r="D6024" s="10">
        <v>245</v>
      </c>
      <c r="E6024" s="10" t="s">
        <v>40</v>
      </c>
      <c r="F6024" t="s">
        <v>476</v>
      </c>
      <c r="G6024" s="10" t="s">
        <v>651</v>
      </c>
    </row>
    <row r="6025" spans="1:9" x14ac:dyDescent="0.35">
      <c r="A6025" s="2">
        <v>43199</v>
      </c>
      <c r="B6025" s="70" t="s">
        <v>38</v>
      </c>
      <c r="C6025" s="10">
        <v>65</v>
      </c>
      <c r="D6025" s="10">
        <v>237</v>
      </c>
      <c r="E6025" s="10" t="s">
        <v>32</v>
      </c>
      <c r="F6025" t="s">
        <v>476</v>
      </c>
      <c r="G6025" s="10" t="s">
        <v>651</v>
      </c>
    </row>
    <row r="6026" spans="1:9" x14ac:dyDescent="0.35">
      <c r="A6026" s="2">
        <v>43199</v>
      </c>
      <c r="B6026" s="70" t="s">
        <v>38</v>
      </c>
      <c r="C6026" s="10">
        <v>70</v>
      </c>
      <c r="D6026" s="10">
        <v>286</v>
      </c>
      <c r="E6026" s="10" t="s">
        <v>33</v>
      </c>
      <c r="F6026" t="s">
        <v>476</v>
      </c>
      <c r="G6026" s="10" t="s">
        <v>651</v>
      </c>
    </row>
    <row r="6027" spans="1:9" x14ac:dyDescent="0.35">
      <c r="A6027" s="2">
        <v>43199</v>
      </c>
      <c r="B6027" s="70" t="s">
        <v>38</v>
      </c>
      <c r="C6027" s="10">
        <v>70</v>
      </c>
      <c r="D6027" s="10">
        <v>280</v>
      </c>
      <c r="E6027" s="10" t="s">
        <v>34</v>
      </c>
      <c r="F6027" t="s">
        <v>646</v>
      </c>
      <c r="G6027" s="10" t="s">
        <v>651</v>
      </c>
    </row>
    <row r="6028" spans="1:9" x14ac:dyDescent="0.35">
      <c r="A6028" s="2">
        <v>43199</v>
      </c>
      <c r="B6028" s="70" t="s">
        <v>38</v>
      </c>
      <c r="C6028" s="10">
        <v>70</v>
      </c>
      <c r="D6028" s="10">
        <v>322</v>
      </c>
      <c r="E6028" s="10" t="s">
        <v>34</v>
      </c>
      <c r="F6028" t="s">
        <v>476</v>
      </c>
      <c r="G6028" s="10" t="s">
        <v>651</v>
      </c>
    </row>
    <row r="6029" spans="1:9" x14ac:dyDescent="0.35">
      <c r="A6029" s="2">
        <v>43199</v>
      </c>
      <c r="B6029" s="70" t="s">
        <v>38</v>
      </c>
      <c r="C6029" s="10">
        <v>73</v>
      </c>
      <c r="D6029" s="10">
        <v>356</v>
      </c>
      <c r="E6029" s="10" t="s">
        <v>34</v>
      </c>
      <c r="F6029" t="s">
        <v>646</v>
      </c>
      <c r="G6029" s="10" t="s">
        <v>651</v>
      </c>
    </row>
    <row r="6030" spans="1:9" x14ac:dyDescent="0.35">
      <c r="A6030" s="2">
        <v>43199</v>
      </c>
      <c r="B6030" s="70" t="s">
        <v>38</v>
      </c>
      <c r="C6030" s="10">
        <v>70</v>
      </c>
      <c r="D6030" s="10">
        <v>325</v>
      </c>
      <c r="E6030" s="10" t="s">
        <v>32</v>
      </c>
      <c r="F6030" t="s">
        <v>646</v>
      </c>
      <c r="G6030" s="10" t="s">
        <v>651</v>
      </c>
    </row>
    <row r="6031" spans="1:9" x14ac:dyDescent="0.35">
      <c r="A6031" s="2">
        <v>43199</v>
      </c>
      <c r="B6031" s="70" t="s">
        <v>38</v>
      </c>
      <c r="C6031" s="10">
        <v>72</v>
      </c>
      <c r="D6031" s="10">
        <v>285</v>
      </c>
      <c r="E6031" s="10" t="s">
        <v>32</v>
      </c>
      <c r="F6031" t="s">
        <v>293</v>
      </c>
      <c r="G6031" s="10" t="s">
        <v>651</v>
      </c>
    </row>
    <row r="6032" spans="1:9" x14ac:dyDescent="0.35">
      <c r="A6032" s="2">
        <v>43199</v>
      </c>
      <c r="B6032" s="70" t="s">
        <v>38</v>
      </c>
      <c r="C6032" s="10">
        <v>67</v>
      </c>
      <c r="D6032" s="10">
        <v>283</v>
      </c>
      <c r="E6032" s="10" t="s">
        <v>33</v>
      </c>
      <c r="F6032" t="s">
        <v>476</v>
      </c>
      <c r="G6032" s="10" t="s">
        <v>651</v>
      </c>
    </row>
    <row r="6033" spans="1:21" x14ac:dyDescent="0.35">
      <c r="A6033" s="2">
        <v>43199</v>
      </c>
      <c r="B6033" s="70" t="s">
        <v>38</v>
      </c>
      <c r="C6033" s="10">
        <v>67</v>
      </c>
      <c r="D6033" s="10">
        <v>252</v>
      </c>
      <c r="E6033" s="10" t="s">
        <v>32</v>
      </c>
      <c r="F6033" t="s">
        <v>476</v>
      </c>
      <c r="G6033" s="10" t="s">
        <v>651</v>
      </c>
    </row>
    <row r="6034" spans="1:21" x14ac:dyDescent="0.35">
      <c r="A6034" s="2">
        <v>43199</v>
      </c>
      <c r="B6034" s="70" t="s">
        <v>38</v>
      </c>
      <c r="C6034" s="10">
        <v>69</v>
      </c>
      <c r="D6034" s="10">
        <v>236</v>
      </c>
      <c r="E6034" s="10" t="s">
        <v>32</v>
      </c>
      <c r="F6034" t="s">
        <v>476</v>
      </c>
      <c r="G6034" s="10" t="s">
        <v>651</v>
      </c>
    </row>
    <row r="6035" spans="1:21" x14ac:dyDescent="0.35">
      <c r="A6035" s="2">
        <v>43199</v>
      </c>
      <c r="B6035" s="70" t="s">
        <v>38</v>
      </c>
      <c r="C6035" s="10">
        <v>69</v>
      </c>
      <c r="D6035" s="10">
        <v>290</v>
      </c>
      <c r="E6035" s="10" t="s">
        <v>33</v>
      </c>
      <c r="F6035" t="s">
        <v>476</v>
      </c>
      <c r="G6035" s="10" t="s">
        <v>651</v>
      </c>
    </row>
    <row r="6036" spans="1:21" x14ac:dyDescent="0.35">
      <c r="A6036" s="2">
        <v>43199</v>
      </c>
      <c r="B6036" s="70" t="s">
        <v>38</v>
      </c>
      <c r="C6036" s="10">
        <v>71</v>
      </c>
      <c r="D6036" s="10">
        <v>382</v>
      </c>
      <c r="E6036" s="10" t="s">
        <v>33</v>
      </c>
      <c r="F6036" t="s">
        <v>476</v>
      </c>
      <c r="G6036" s="10" t="s">
        <v>651</v>
      </c>
      <c r="I6036" t="s">
        <v>692</v>
      </c>
    </row>
    <row r="6037" spans="1:21" x14ac:dyDescent="0.35">
      <c r="A6037" s="2">
        <v>43199</v>
      </c>
      <c r="B6037" s="70" t="s">
        <v>38</v>
      </c>
      <c r="C6037" s="10">
        <v>68</v>
      </c>
      <c r="D6037" s="10">
        <v>280</v>
      </c>
      <c r="E6037" s="10" t="s">
        <v>34</v>
      </c>
      <c r="F6037" t="s">
        <v>476</v>
      </c>
      <c r="G6037" s="10" t="s">
        <v>651</v>
      </c>
    </row>
    <row r="6038" spans="1:21" x14ac:dyDescent="0.35">
      <c r="A6038" s="2">
        <v>43199</v>
      </c>
      <c r="B6038" s="70" t="s">
        <v>38</v>
      </c>
      <c r="C6038" s="10">
        <v>67</v>
      </c>
      <c r="D6038" s="10">
        <v>274</v>
      </c>
      <c r="E6038" s="10" t="s">
        <v>33</v>
      </c>
      <c r="F6038" t="s">
        <v>293</v>
      </c>
      <c r="G6038" s="10" t="s">
        <v>651</v>
      </c>
      <c r="K6038" t="s">
        <v>693</v>
      </c>
    </row>
    <row r="6039" spans="1:21" x14ac:dyDescent="0.35">
      <c r="A6039" s="2">
        <v>43199</v>
      </c>
      <c r="B6039" s="70" t="s">
        <v>38</v>
      </c>
      <c r="C6039" s="10">
        <v>69</v>
      </c>
      <c r="D6039" s="10">
        <v>322</v>
      </c>
      <c r="E6039" s="10" t="s">
        <v>33</v>
      </c>
      <c r="F6039" t="s">
        <v>476</v>
      </c>
      <c r="G6039" s="10" t="s">
        <v>651</v>
      </c>
    </row>
    <row r="6040" spans="1:21" x14ac:dyDescent="0.35">
      <c r="A6040" s="2">
        <v>43199</v>
      </c>
      <c r="B6040" s="70" t="s">
        <v>38</v>
      </c>
      <c r="C6040" s="10">
        <v>71</v>
      </c>
      <c r="D6040" s="10">
        <v>290</v>
      </c>
      <c r="E6040" s="10" t="s">
        <v>34</v>
      </c>
      <c r="F6040" t="s">
        <v>646</v>
      </c>
      <c r="G6040" s="10" t="s">
        <v>651</v>
      </c>
    </row>
    <row r="6041" spans="1:21" x14ac:dyDescent="0.35">
      <c r="A6041" s="2">
        <v>43199</v>
      </c>
      <c r="B6041" s="70" t="s">
        <v>38</v>
      </c>
      <c r="C6041" s="10">
        <v>69</v>
      </c>
      <c r="D6041" s="10">
        <v>262</v>
      </c>
      <c r="E6041" s="10" t="s">
        <v>34</v>
      </c>
      <c r="F6041" t="s">
        <v>476</v>
      </c>
      <c r="G6041" s="10" t="s">
        <v>651</v>
      </c>
    </row>
    <row r="6042" spans="1:21" x14ac:dyDescent="0.35">
      <c r="A6042" s="2">
        <v>43199</v>
      </c>
      <c r="B6042" s="70" t="s">
        <v>38</v>
      </c>
      <c r="C6042" s="10">
        <v>69</v>
      </c>
      <c r="D6042" s="10">
        <v>223</v>
      </c>
      <c r="E6042" s="10" t="s">
        <v>33</v>
      </c>
      <c r="F6042" t="s">
        <v>646</v>
      </c>
      <c r="G6042" s="10" t="s">
        <v>651</v>
      </c>
    </row>
    <row r="6043" spans="1:21" x14ac:dyDescent="0.35">
      <c r="A6043" s="2">
        <v>43199</v>
      </c>
      <c r="B6043" s="70" t="s">
        <v>38</v>
      </c>
      <c r="C6043" s="10">
        <v>72</v>
      </c>
      <c r="D6043" s="10">
        <v>333</v>
      </c>
      <c r="E6043" s="10" t="s">
        <v>36</v>
      </c>
      <c r="F6043" t="s">
        <v>646</v>
      </c>
      <c r="G6043" s="10"/>
    </row>
    <row r="6044" spans="1:21" x14ac:dyDescent="0.35">
      <c r="A6044" s="2">
        <v>43199</v>
      </c>
      <c r="B6044" s="70" t="s">
        <v>38</v>
      </c>
      <c r="C6044" s="10">
        <v>70</v>
      </c>
      <c r="D6044" s="10">
        <v>258</v>
      </c>
      <c r="E6044" s="10" t="s">
        <v>34</v>
      </c>
      <c r="F6044" t="s">
        <v>476</v>
      </c>
      <c r="G6044" s="10" t="s">
        <v>651</v>
      </c>
    </row>
    <row r="6045" spans="1:21" x14ac:dyDescent="0.35">
      <c r="A6045" s="2">
        <v>43199</v>
      </c>
      <c r="B6045" s="70" t="s">
        <v>38</v>
      </c>
      <c r="C6045" s="10">
        <v>74</v>
      </c>
      <c r="D6045" s="10">
        <v>324</v>
      </c>
      <c r="E6045" s="10" t="s">
        <v>34</v>
      </c>
      <c r="F6045" t="s">
        <v>476</v>
      </c>
      <c r="G6045" s="10" t="s">
        <v>651</v>
      </c>
    </row>
    <row r="6046" spans="1:21" x14ac:dyDescent="0.35">
      <c r="A6046" s="2">
        <v>43199</v>
      </c>
      <c r="B6046" s="70" t="s">
        <v>38</v>
      </c>
      <c r="C6046" s="10">
        <v>74</v>
      </c>
      <c r="D6046" s="10">
        <v>351</v>
      </c>
      <c r="E6046" s="10" t="s">
        <v>34</v>
      </c>
      <c r="F6046" t="s">
        <v>646</v>
      </c>
      <c r="G6046" s="10"/>
    </row>
    <row r="6047" spans="1:21" x14ac:dyDescent="0.35">
      <c r="A6047" s="2">
        <v>43199</v>
      </c>
      <c r="B6047" s="70" t="s">
        <v>38</v>
      </c>
      <c r="C6047" s="10">
        <v>72</v>
      </c>
      <c r="D6047" s="10">
        <v>305</v>
      </c>
      <c r="E6047" s="10" t="s">
        <v>34</v>
      </c>
      <c r="F6047" t="s">
        <v>646</v>
      </c>
      <c r="G6047" s="10" t="s">
        <v>651</v>
      </c>
    </row>
    <row r="6048" spans="1:21" x14ac:dyDescent="0.35">
      <c r="A6048" s="2">
        <v>43199</v>
      </c>
      <c r="B6048" s="70" t="s">
        <v>38</v>
      </c>
      <c r="C6048" s="10">
        <v>73</v>
      </c>
      <c r="D6048" s="10">
        <v>351</v>
      </c>
      <c r="E6048" s="10" t="s">
        <v>34</v>
      </c>
      <c r="F6048" t="s">
        <v>476</v>
      </c>
      <c r="G6048" s="10"/>
      <c r="N6048" t="s">
        <v>42</v>
      </c>
      <c r="O6048" t="s">
        <v>39</v>
      </c>
      <c r="P6048" t="s">
        <v>40</v>
      </c>
      <c r="Q6048" t="s">
        <v>36</v>
      </c>
      <c r="R6048" t="s">
        <v>33</v>
      </c>
      <c r="S6048" t="s">
        <v>34</v>
      </c>
      <c r="T6048" t="s">
        <v>32</v>
      </c>
      <c r="U6048" t="s">
        <v>37</v>
      </c>
    </row>
    <row r="6049" spans="1:24" x14ac:dyDescent="0.35">
      <c r="A6049" s="2">
        <v>43199</v>
      </c>
      <c r="B6049" s="70" t="s">
        <v>38</v>
      </c>
      <c r="C6049" s="10">
        <v>63</v>
      </c>
      <c r="D6049" s="10">
        <v>242</v>
      </c>
      <c r="E6049" s="10" t="s">
        <v>33</v>
      </c>
      <c r="F6049" t="s">
        <v>646</v>
      </c>
      <c r="G6049" s="10" t="s">
        <v>651</v>
      </c>
      <c r="N6049">
        <f>N6053+N6000</f>
        <v>0</v>
      </c>
      <c r="O6049">
        <f t="shared" ref="O6049:U6049" si="184">O6053+O6000</f>
        <v>0</v>
      </c>
      <c r="P6049">
        <f t="shared" si="184"/>
        <v>4</v>
      </c>
      <c r="Q6049">
        <f t="shared" si="184"/>
        <v>6</v>
      </c>
      <c r="R6049">
        <f t="shared" si="184"/>
        <v>36</v>
      </c>
      <c r="S6049">
        <f t="shared" si="184"/>
        <v>41</v>
      </c>
      <c r="T6049">
        <f t="shared" si="184"/>
        <v>14</v>
      </c>
      <c r="U6049">
        <f t="shared" si="184"/>
        <v>0</v>
      </c>
    </row>
    <row r="6050" spans="1:24" x14ac:dyDescent="0.35">
      <c r="A6050" s="2">
        <v>43199</v>
      </c>
      <c r="B6050" s="70" t="s">
        <v>38</v>
      </c>
      <c r="C6050" s="10">
        <v>70</v>
      </c>
      <c r="D6050" s="10">
        <v>278</v>
      </c>
      <c r="E6050" s="10" t="s">
        <v>36</v>
      </c>
      <c r="F6050" t="s">
        <v>476</v>
      </c>
      <c r="G6050" s="10" t="s">
        <v>651</v>
      </c>
      <c r="N6050">
        <f>N6049/101*100</f>
        <v>0</v>
      </c>
      <c r="O6050">
        <f t="shared" ref="O6050:U6050" si="185">O6049/101*100</f>
        <v>0</v>
      </c>
      <c r="P6050">
        <f t="shared" si="185"/>
        <v>3.9603960396039604</v>
      </c>
      <c r="Q6050">
        <f t="shared" si="185"/>
        <v>5.9405940594059405</v>
      </c>
      <c r="R6050">
        <f t="shared" si="185"/>
        <v>35.64356435643564</v>
      </c>
      <c r="S6050">
        <f t="shared" si="185"/>
        <v>40.594059405940598</v>
      </c>
      <c r="T6050">
        <f t="shared" si="185"/>
        <v>13.861386138613863</v>
      </c>
      <c r="U6050">
        <f t="shared" si="185"/>
        <v>0</v>
      </c>
      <c r="W6050">
        <f>AVERAGE(C6004:C6054,C5952:C6001)</f>
        <v>70.138613861386133</v>
      </c>
      <c r="X6050">
        <f>AVERAGE(D6004:D6054,D5952:D6001)</f>
        <v>290.70297029702971</v>
      </c>
    </row>
    <row r="6051" spans="1:24" x14ac:dyDescent="0.35">
      <c r="A6051" s="2">
        <v>43199</v>
      </c>
      <c r="B6051" s="70" t="s">
        <v>38</v>
      </c>
      <c r="C6051" s="10">
        <v>66</v>
      </c>
      <c r="D6051" s="10">
        <v>243</v>
      </c>
      <c r="E6051" s="10" t="s">
        <v>33</v>
      </c>
      <c r="F6051" t="s">
        <v>476</v>
      </c>
      <c r="G6051" s="10"/>
    </row>
    <row r="6052" spans="1:24" x14ac:dyDescent="0.35">
      <c r="A6052" s="2">
        <v>43199</v>
      </c>
      <c r="B6052" s="70" t="s">
        <v>38</v>
      </c>
      <c r="C6052" s="10">
        <v>69</v>
      </c>
      <c r="D6052" s="10">
        <v>244</v>
      </c>
      <c r="E6052" s="10" t="s">
        <v>33</v>
      </c>
      <c r="F6052" t="s">
        <v>476</v>
      </c>
      <c r="G6052" s="10" t="s">
        <v>651</v>
      </c>
      <c r="N6052" t="s">
        <v>42</v>
      </c>
      <c r="O6052" t="s">
        <v>39</v>
      </c>
      <c r="P6052" t="s">
        <v>40</v>
      </c>
      <c r="Q6052" t="s">
        <v>36</v>
      </c>
      <c r="R6052" t="s">
        <v>33</v>
      </c>
      <c r="S6052" t="s">
        <v>34</v>
      </c>
      <c r="T6052" t="s">
        <v>32</v>
      </c>
      <c r="U6052" t="s">
        <v>37</v>
      </c>
    </row>
    <row r="6053" spans="1:24" x14ac:dyDescent="0.35">
      <c r="A6053" s="2">
        <v>43199</v>
      </c>
      <c r="B6053" s="70" t="s">
        <v>38</v>
      </c>
      <c r="C6053" s="10">
        <v>67</v>
      </c>
      <c r="D6053" s="10">
        <v>255</v>
      </c>
      <c r="E6053" s="10" t="s">
        <v>34</v>
      </c>
      <c r="F6053" t="s">
        <v>476</v>
      </c>
      <c r="G6053" s="10"/>
      <c r="N6053" s="5">
        <f>COUNTIF(E6004:E6054,"VA")</f>
        <v>0</v>
      </c>
      <c r="O6053" s="5">
        <f>COUNTIF(E6004:E6054,"VB")</f>
        <v>0</v>
      </c>
      <c r="P6053" s="5">
        <f>COUNTIF(E6004:E6053,"VIA0")</f>
        <v>1</v>
      </c>
      <c r="Q6053" s="5">
        <f>COUNTIF(E6004:E6053,"VIA1")</f>
        <v>4</v>
      </c>
      <c r="R6053" s="5">
        <f>COUNTIF(E6004:E6054,"VIA2")</f>
        <v>18</v>
      </c>
      <c r="S6053" s="5">
        <f>COUNTIF(E6004:E6054,"VIA3")</f>
        <v>23</v>
      </c>
      <c r="T6053" s="5">
        <f>COUNTIF(E6004:E6054,"VIA4")</f>
        <v>5</v>
      </c>
      <c r="U6053" s="5">
        <f>COUNTIF(E6004:E6051,"VIB")</f>
        <v>0</v>
      </c>
      <c r="W6053">
        <f>AVERAGE(C6004:C6054)</f>
        <v>69.352941176470594</v>
      </c>
      <c r="X6053">
        <f>AVERAGE(D6004:D6054)</f>
        <v>282.72549019607845</v>
      </c>
    </row>
    <row r="6054" spans="1:24" s="4" customFormat="1" x14ac:dyDescent="0.35">
      <c r="A6054" s="3">
        <v>43199</v>
      </c>
      <c r="B6054" s="44" t="s">
        <v>38</v>
      </c>
      <c r="C6054" s="11">
        <v>70</v>
      </c>
      <c r="D6054" s="11">
        <v>290</v>
      </c>
      <c r="E6054" s="11" t="s">
        <v>33</v>
      </c>
      <c r="F6054" s="4" t="s">
        <v>476</v>
      </c>
      <c r="G6054" s="11" t="s">
        <v>651</v>
      </c>
      <c r="N6054" s="6">
        <f>N6053/51*100</f>
        <v>0</v>
      </c>
      <c r="O6054" s="6">
        <f t="shared" ref="O6054:U6054" si="186">O6053/51*100</f>
        <v>0</v>
      </c>
      <c r="P6054" s="6">
        <f t="shared" si="186"/>
        <v>1.9607843137254901</v>
      </c>
      <c r="Q6054" s="6">
        <f t="shared" si="186"/>
        <v>7.8431372549019605</v>
      </c>
      <c r="R6054" s="6">
        <f t="shared" si="186"/>
        <v>35.294117647058826</v>
      </c>
      <c r="S6054" s="6">
        <f t="shared" si="186"/>
        <v>45.098039215686278</v>
      </c>
      <c r="T6054" s="6">
        <f t="shared" si="186"/>
        <v>9.8039215686274517</v>
      </c>
      <c r="U6054" s="6">
        <f t="shared" si="186"/>
        <v>0</v>
      </c>
    </row>
    <row r="6055" spans="1:24" x14ac:dyDescent="0.35">
      <c r="A6055" s="2">
        <v>43199</v>
      </c>
      <c r="B6055" s="70" t="s">
        <v>66</v>
      </c>
      <c r="C6055" s="10">
        <v>95</v>
      </c>
      <c r="D6055" s="10">
        <v>1076</v>
      </c>
      <c r="E6055" s="10" t="s">
        <v>59</v>
      </c>
      <c r="H6055" t="s">
        <v>694</v>
      </c>
      <c r="L6055">
        <f>COUNTIF(F6055:F6073,"F-")</f>
        <v>0</v>
      </c>
    </row>
    <row r="6056" spans="1:24" x14ac:dyDescent="0.35">
      <c r="A6056" s="2">
        <v>43199</v>
      </c>
      <c r="B6056" s="70" t="s">
        <v>66</v>
      </c>
      <c r="C6056" s="10">
        <v>100</v>
      </c>
      <c r="D6056" s="10">
        <v>1108</v>
      </c>
      <c r="E6056" s="10" t="s">
        <v>59</v>
      </c>
    </row>
    <row r="6057" spans="1:24" x14ac:dyDescent="0.35">
      <c r="A6057" s="2">
        <v>43199</v>
      </c>
      <c r="B6057" s="70" t="s">
        <v>66</v>
      </c>
      <c r="C6057" s="10">
        <v>71</v>
      </c>
      <c r="D6057" s="10">
        <v>318</v>
      </c>
      <c r="E6057" s="10" t="s">
        <v>34</v>
      </c>
      <c r="F6057" t="s">
        <v>476</v>
      </c>
      <c r="G6057" s="10" t="s">
        <v>651</v>
      </c>
    </row>
    <row r="6058" spans="1:24" x14ac:dyDescent="0.35">
      <c r="A6058" s="2">
        <v>43199</v>
      </c>
      <c r="B6058" s="70" t="s">
        <v>66</v>
      </c>
      <c r="C6058" s="10">
        <v>76</v>
      </c>
      <c r="D6058" s="10">
        <v>287</v>
      </c>
      <c r="E6058" s="10" t="s">
        <v>33</v>
      </c>
      <c r="F6058" t="s">
        <v>476</v>
      </c>
      <c r="G6058" s="10" t="s">
        <v>651</v>
      </c>
    </row>
    <row r="6059" spans="1:24" x14ac:dyDescent="0.35">
      <c r="A6059" s="2">
        <v>43199</v>
      </c>
      <c r="B6059" s="70" t="s">
        <v>66</v>
      </c>
      <c r="C6059" s="10">
        <v>66</v>
      </c>
      <c r="D6059" s="10">
        <v>242</v>
      </c>
      <c r="E6059" s="10" t="s">
        <v>36</v>
      </c>
      <c r="F6059" t="s">
        <v>646</v>
      </c>
      <c r="G6059" s="10"/>
    </row>
    <row r="6060" spans="1:24" x14ac:dyDescent="0.35">
      <c r="A6060" s="2">
        <v>43199</v>
      </c>
      <c r="B6060" s="70" t="s">
        <v>66</v>
      </c>
      <c r="C6060" s="10">
        <v>66</v>
      </c>
      <c r="D6060" s="10">
        <v>238</v>
      </c>
      <c r="E6060" s="10" t="s">
        <v>33</v>
      </c>
      <c r="F6060" t="s">
        <v>646</v>
      </c>
      <c r="G6060" s="10" t="s">
        <v>651</v>
      </c>
    </row>
    <row r="6061" spans="1:24" s="4" customFormat="1" x14ac:dyDescent="0.35">
      <c r="A6061" s="3">
        <v>43199</v>
      </c>
      <c r="B6061" s="44" t="s">
        <v>66</v>
      </c>
      <c r="C6061" s="11">
        <v>75</v>
      </c>
      <c r="D6061" s="11">
        <v>423</v>
      </c>
      <c r="E6061" s="11" t="s">
        <v>33</v>
      </c>
      <c r="F6061" s="4" t="s">
        <v>646</v>
      </c>
      <c r="G6061" s="11"/>
    </row>
    <row r="6062" spans="1:24" x14ac:dyDescent="0.35">
      <c r="A6062" s="2">
        <v>43199</v>
      </c>
      <c r="B6062" s="70" t="s">
        <v>102</v>
      </c>
      <c r="C6062" s="10">
        <v>65</v>
      </c>
      <c r="D6062" s="10">
        <v>208</v>
      </c>
      <c r="E6062" s="10" t="s">
        <v>33</v>
      </c>
      <c r="F6062" s="10" t="s">
        <v>646</v>
      </c>
    </row>
    <row r="6063" spans="1:24" s="4" customFormat="1" x14ac:dyDescent="0.35">
      <c r="A6063" s="3">
        <v>43199</v>
      </c>
      <c r="B6063" s="44" t="s">
        <v>102</v>
      </c>
      <c r="C6063" s="11">
        <v>67</v>
      </c>
      <c r="D6063" s="11">
        <v>258</v>
      </c>
      <c r="E6063" s="11" t="s">
        <v>34</v>
      </c>
      <c r="F6063" s="11" t="s">
        <v>476</v>
      </c>
      <c r="G6063" s="4" t="s">
        <v>674</v>
      </c>
    </row>
    <row r="6064" spans="1:24" s="22" customFormat="1" x14ac:dyDescent="0.35">
      <c r="A6064" s="19">
        <v>43199</v>
      </c>
      <c r="B6064" s="71" t="s">
        <v>103</v>
      </c>
      <c r="C6064" s="20">
        <v>68</v>
      </c>
      <c r="D6064" s="20">
        <v>263</v>
      </c>
      <c r="E6064" s="20" t="s">
        <v>39</v>
      </c>
      <c r="F6064" s="20" t="s">
        <v>476</v>
      </c>
    </row>
    <row r="6065" spans="1:24" x14ac:dyDescent="0.35">
      <c r="A6065" s="2">
        <v>43199</v>
      </c>
      <c r="B6065" s="70" t="s">
        <v>104</v>
      </c>
      <c r="C6065" s="10">
        <v>71</v>
      </c>
      <c r="D6065" s="10">
        <v>331</v>
      </c>
      <c r="E6065" s="10" t="s">
        <v>33</v>
      </c>
      <c r="F6065" s="10" t="s">
        <v>646</v>
      </c>
      <c r="G6065" t="s">
        <v>651</v>
      </c>
    </row>
    <row r="6066" spans="1:24" s="4" customFormat="1" x14ac:dyDescent="0.35">
      <c r="A6066" s="3">
        <v>43199</v>
      </c>
      <c r="B6066" s="44" t="s">
        <v>104</v>
      </c>
      <c r="C6066" s="4">
        <v>72</v>
      </c>
      <c r="D6066" s="4">
        <v>337</v>
      </c>
      <c r="E6066" s="4" t="s">
        <v>33</v>
      </c>
      <c r="F6066" s="4" t="s">
        <v>476</v>
      </c>
      <c r="G6066" s="4" t="s">
        <v>676</v>
      </c>
      <c r="I6066" s="4" t="s">
        <v>695</v>
      </c>
    </row>
    <row r="6067" spans="1:24" x14ac:dyDescent="0.35">
      <c r="A6067" s="2">
        <v>43199</v>
      </c>
      <c r="B6067" s="70" t="s">
        <v>63</v>
      </c>
      <c r="C6067" s="10">
        <v>100</v>
      </c>
      <c r="D6067" s="10">
        <v>602</v>
      </c>
      <c r="E6067" s="10" t="s">
        <v>59</v>
      </c>
      <c r="F6067" s="10" t="s">
        <v>646</v>
      </c>
    </row>
    <row r="6068" spans="1:24" x14ac:dyDescent="0.35">
      <c r="A6068" s="2">
        <v>43199</v>
      </c>
      <c r="B6068" s="70" t="s">
        <v>63</v>
      </c>
      <c r="C6068" s="10">
        <v>76</v>
      </c>
      <c r="D6068" s="10">
        <v>409</v>
      </c>
      <c r="E6068" s="10" t="s">
        <v>39</v>
      </c>
      <c r="F6068" s="10" t="s">
        <v>476</v>
      </c>
      <c r="G6068" t="s">
        <v>674</v>
      </c>
    </row>
    <row r="6069" spans="1:24" x14ac:dyDescent="0.35">
      <c r="A6069" s="2">
        <v>43199</v>
      </c>
      <c r="B6069" s="70" t="s">
        <v>63</v>
      </c>
      <c r="C6069" s="10">
        <v>70</v>
      </c>
      <c r="D6069" s="10">
        <v>318</v>
      </c>
      <c r="E6069" s="10" t="s">
        <v>36</v>
      </c>
      <c r="F6069" s="10" t="s">
        <v>476</v>
      </c>
    </row>
    <row r="6070" spans="1:24" x14ac:dyDescent="0.35">
      <c r="A6070" s="2">
        <v>43199</v>
      </c>
      <c r="B6070" s="70" t="s">
        <v>63</v>
      </c>
      <c r="C6070" s="10">
        <v>64</v>
      </c>
      <c r="D6070" s="10">
        <v>235</v>
      </c>
      <c r="E6070" s="10" t="s">
        <v>32</v>
      </c>
      <c r="F6070" s="10" t="s">
        <v>476</v>
      </c>
      <c r="G6070" t="s">
        <v>651</v>
      </c>
    </row>
    <row r="6071" spans="1:24" x14ac:dyDescent="0.35">
      <c r="A6071" s="2">
        <v>43199</v>
      </c>
      <c r="B6071" s="70" t="s">
        <v>63</v>
      </c>
      <c r="C6071" s="10">
        <v>70</v>
      </c>
      <c r="D6071" s="10">
        <v>350</v>
      </c>
      <c r="E6071" s="10" t="s">
        <v>36</v>
      </c>
      <c r="F6071" s="10" t="s">
        <v>646</v>
      </c>
      <c r="G6071" t="s">
        <v>651</v>
      </c>
      <c r="N6071" t="s">
        <v>42</v>
      </c>
      <c r="O6071" t="s">
        <v>39</v>
      </c>
      <c r="P6071" t="s">
        <v>40</v>
      </c>
      <c r="Q6071" t="s">
        <v>36</v>
      </c>
      <c r="R6071" t="s">
        <v>33</v>
      </c>
      <c r="S6071" t="s">
        <v>34</v>
      </c>
      <c r="T6071" t="s">
        <v>32</v>
      </c>
      <c r="U6071" t="s">
        <v>37</v>
      </c>
    </row>
    <row r="6072" spans="1:24" x14ac:dyDescent="0.35">
      <c r="A6072" s="2">
        <v>43199</v>
      </c>
      <c r="B6072" s="70" t="s">
        <v>63</v>
      </c>
      <c r="C6072" s="10">
        <v>74</v>
      </c>
      <c r="D6072" s="10">
        <v>343</v>
      </c>
      <c r="E6072" s="10" t="s">
        <v>40</v>
      </c>
      <c r="F6072" s="10" t="s">
        <v>646</v>
      </c>
      <c r="N6072" s="5">
        <f>COUNTIF(E6055:E6073,"VA")</f>
        <v>0</v>
      </c>
      <c r="O6072" s="5">
        <v>2</v>
      </c>
      <c r="P6072" s="5">
        <v>1</v>
      </c>
      <c r="Q6072" s="5">
        <v>3</v>
      </c>
      <c r="R6072" s="5">
        <v>6</v>
      </c>
      <c r="S6072" s="5">
        <v>3</v>
      </c>
      <c r="T6072" s="5">
        <v>1</v>
      </c>
      <c r="U6072" s="5">
        <v>0</v>
      </c>
    </row>
    <row r="6073" spans="1:24" s="4" customFormat="1" x14ac:dyDescent="0.35">
      <c r="A6073" s="3">
        <v>43199</v>
      </c>
      <c r="B6073" s="44" t="s">
        <v>63</v>
      </c>
      <c r="C6073" s="11">
        <v>70</v>
      </c>
      <c r="D6073" s="11">
        <v>312</v>
      </c>
      <c r="E6073" s="11" t="s">
        <v>34</v>
      </c>
      <c r="F6073" s="11" t="s">
        <v>646</v>
      </c>
      <c r="G6073" s="4" t="s">
        <v>651</v>
      </c>
      <c r="N6073" s="4">
        <f>N6072/16*100</f>
        <v>0</v>
      </c>
      <c r="O6073" s="4">
        <f t="shared" ref="O6073:U6073" si="187">O6072/16*100</f>
        <v>12.5</v>
      </c>
      <c r="P6073" s="4">
        <f t="shared" si="187"/>
        <v>6.25</v>
      </c>
      <c r="Q6073" s="4">
        <f t="shared" si="187"/>
        <v>18.75</v>
      </c>
      <c r="R6073" s="4">
        <f t="shared" si="187"/>
        <v>37.5</v>
      </c>
      <c r="S6073" s="4">
        <f t="shared" si="187"/>
        <v>18.75</v>
      </c>
      <c r="T6073" s="4">
        <f t="shared" si="187"/>
        <v>6.25</v>
      </c>
      <c r="U6073" s="4">
        <f t="shared" si="187"/>
        <v>0</v>
      </c>
      <c r="W6073" s="4">
        <f>AVERAGE(C6068:C6073,C6057:C6066)</f>
        <v>70.0625</v>
      </c>
      <c r="X6073" s="4">
        <f>AVERAGE(D6068:D6073,D6057:D6066)</f>
        <v>304.5</v>
      </c>
    </row>
    <row r="6074" spans="1:24" x14ac:dyDescent="0.35">
      <c r="A6074" s="2">
        <v>43199</v>
      </c>
      <c r="B6074" s="70" t="s">
        <v>143</v>
      </c>
      <c r="C6074" s="10">
        <v>152</v>
      </c>
      <c r="D6074" s="10">
        <v>4437</v>
      </c>
      <c r="E6074" s="10" t="s">
        <v>59</v>
      </c>
    </row>
    <row r="6075" spans="1:24" x14ac:dyDescent="0.35">
      <c r="A6075" s="2">
        <v>43199</v>
      </c>
      <c r="B6075" s="70" t="s">
        <v>143</v>
      </c>
      <c r="C6075" s="10">
        <v>151</v>
      </c>
      <c r="D6075" s="10">
        <v>4154</v>
      </c>
      <c r="E6075" s="10" t="s">
        <v>59</v>
      </c>
    </row>
    <row r="6076" spans="1:24" x14ac:dyDescent="0.35">
      <c r="A6076" s="2">
        <v>43199</v>
      </c>
      <c r="B6076" s="70" t="s">
        <v>143</v>
      </c>
      <c r="C6076" s="10">
        <v>72</v>
      </c>
      <c r="D6076" s="10">
        <v>327</v>
      </c>
      <c r="E6076" s="10" t="s">
        <v>40</v>
      </c>
      <c r="F6076" s="10" t="s">
        <v>476</v>
      </c>
    </row>
    <row r="6077" spans="1:24" x14ac:dyDescent="0.35">
      <c r="A6077" s="2">
        <v>43199</v>
      </c>
      <c r="B6077" s="70" t="s">
        <v>143</v>
      </c>
      <c r="C6077" s="10">
        <v>68</v>
      </c>
      <c r="D6077" s="10">
        <v>284</v>
      </c>
      <c r="E6077" s="10" t="s">
        <v>39</v>
      </c>
      <c r="F6077" s="10" t="s">
        <v>646</v>
      </c>
      <c r="G6077" t="s">
        <v>651</v>
      </c>
    </row>
    <row r="6078" spans="1:24" x14ac:dyDescent="0.35">
      <c r="A6078" s="2">
        <v>43199</v>
      </c>
      <c r="B6078" s="70" t="s">
        <v>143</v>
      </c>
      <c r="C6078" s="10">
        <v>73</v>
      </c>
      <c r="D6078" s="10">
        <v>322</v>
      </c>
      <c r="E6078" s="10" t="s">
        <v>40</v>
      </c>
      <c r="F6078" s="10" t="s">
        <v>476</v>
      </c>
      <c r="G6078" t="s">
        <v>682</v>
      </c>
    </row>
    <row r="6079" spans="1:24" s="4" customFormat="1" x14ac:dyDescent="0.35">
      <c r="A6079" s="3">
        <v>43199</v>
      </c>
      <c r="B6079" s="44" t="s">
        <v>143</v>
      </c>
      <c r="C6079" s="11">
        <v>70</v>
      </c>
      <c r="D6079" s="11">
        <v>307</v>
      </c>
      <c r="E6079" s="11" t="s">
        <v>39</v>
      </c>
      <c r="F6079" s="11" t="s">
        <v>476</v>
      </c>
    </row>
    <row r="6080" spans="1:24" x14ac:dyDescent="0.35">
      <c r="A6080" s="2">
        <v>43199</v>
      </c>
      <c r="B6080" s="70" t="s">
        <v>114</v>
      </c>
      <c r="C6080" s="10">
        <v>63</v>
      </c>
      <c r="D6080" s="10">
        <v>175</v>
      </c>
      <c r="E6080" s="10" t="s">
        <v>34</v>
      </c>
      <c r="F6080" s="10" t="s">
        <v>476</v>
      </c>
      <c r="G6080" t="s">
        <v>651</v>
      </c>
    </row>
    <row r="6081" spans="1:14" x14ac:dyDescent="0.35">
      <c r="A6081" s="2">
        <v>43199</v>
      </c>
      <c r="B6081" s="70" t="s">
        <v>114</v>
      </c>
      <c r="C6081" s="10">
        <v>71</v>
      </c>
      <c r="D6081" s="10">
        <v>284</v>
      </c>
      <c r="E6081" s="10" t="s">
        <v>34</v>
      </c>
      <c r="F6081" s="10" t="s">
        <v>646</v>
      </c>
    </row>
    <row r="6082" spans="1:14" x14ac:dyDescent="0.35">
      <c r="A6082" s="2">
        <v>43199</v>
      </c>
      <c r="B6082" s="70" t="s">
        <v>114</v>
      </c>
      <c r="C6082" s="10">
        <v>71</v>
      </c>
      <c r="D6082" s="10">
        <v>301</v>
      </c>
      <c r="E6082" s="10" t="s">
        <v>40</v>
      </c>
      <c r="F6082" s="10" t="s">
        <v>646</v>
      </c>
      <c r="G6082" t="s">
        <v>651</v>
      </c>
    </row>
    <row r="6083" spans="1:14" x14ac:dyDescent="0.35">
      <c r="A6083" s="2">
        <v>43199</v>
      </c>
      <c r="B6083" s="70" t="s">
        <v>114</v>
      </c>
      <c r="C6083" s="10">
        <v>80</v>
      </c>
      <c r="D6083" s="10">
        <v>493</v>
      </c>
      <c r="E6083" s="10" t="s">
        <v>36</v>
      </c>
      <c r="F6083" s="10" t="s">
        <v>476</v>
      </c>
      <c r="G6083" t="s">
        <v>651</v>
      </c>
    </row>
    <row r="6084" spans="1:14" s="4" customFormat="1" x14ac:dyDescent="0.35">
      <c r="A6084" s="3">
        <v>43199</v>
      </c>
      <c r="B6084" s="44" t="s">
        <v>114</v>
      </c>
      <c r="C6084" s="11">
        <v>63</v>
      </c>
      <c r="D6084" s="11">
        <v>217</v>
      </c>
      <c r="E6084" s="11" t="s">
        <v>40</v>
      </c>
      <c r="F6084" s="11" t="s">
        <v>646</v>
      </c>
    </row>
    <row r="6085" spans="1:14" x14ac:dyDescent="0.35">
      <c r="A6085" s="2">
        <v>43199</v>
      </c>
      <c r="B6085" s="70" t="s">
        <v>667</v>
      </c>
      <c r="C6085" s="10">
        <v>75</v>
      </c>
      <c r="D6085" s="10">
        <v>335</v>
      </c>
      <c r="E6085" s="10" t="s">
        <v>40</v>
      </c>
      <c r="F6085" s="10" t="s">
        <v>293</v>
      </c>
      <c r="G6085" s="10" t="s">
        <v>651</v>
      </c>
      <c r="N6085">
        <f>COUNTIF(F6085:F6136,"F0")</f>
        <v>26</v>
      </c>
    </row>
    <row r="6086" spans="1:14" x14ac:dyDescent="0.35">
      <c r="A6086" s="2">
        <v>43199</v>
      </c>
      <c r="B6086" s="70" t="s">
        <v>667</v>
      </c>
      <c r="C6086" s="10">
        <v>73</v>
      </c>
      <c r="D6086" s="10">
        <v>305</v>
      </c>
      <c r="E6086" s="10" t="s">
        <v>32</v>
      </c>
      <c r="F6086" s="10" t="s">
        <v>476</v>
      </c>
      <c r="G6086" s="10" t="s">
        <v>651</v>
      </c>
    </row>
    <row r="6087" spans="1:14" x14ac:dyDescent="0.35">
      <c r="A6087" s="2">
        <v>43199</v>
      </c>
      <c r="B6087" s="70" t="s">
        <v>667</v>
      </c>
      <c r="C6087" s="10">
        <v>68</v>
      </c>
      <c r="D6087" s="10">
        <v>321</v>
      </c>
      <c r="E6087" s="10" t="s">
        <v>33</v>
      </c>
      <c r="F6087" s="10" t="s">
        <v>476</v>
      </c>
    </row>
    <row r="6088" spans="1:14" x14ac:dyDescent="0.35">
      <c r="A6088" s="2">
        <v>43199</v>
      </c>
      <c r="B6088" s="70" t="s">
        <v>667</v>
      </c>
      <c r="C6088" s="10">
        <v>68</v>
      </c>
      <c r="D6088" s="10">
        <v>238</v>
      </c>
      <c r="E6088" s="10" t="s">
        <v>36</v>
      </c>
      <c r="F6088" s="10" t="s">
        <v>646</v>
      </c>
    </row>
    <row r="6089" spans="1:14" x14ac:dyDescent="0.35">
      <c r="A6089" s="2">
        <v>43199</v>
      </c>
      <c r="B6089" s="70" t="s">
        <v>667</v>
      </c>
      <c r="C6089" s="10">
        <v>69</v>
      </c>
      <c r="D6089" s="10">
        <v>246</v>
      </c>
      <c r="E6089" s="10" t="s">
        <v>34</v>
      </c>
      <c r="F6089" s="10" t="s">
        <v>646</v>
      </c>
      <c r="G6089" t="s">
        <v>651</v>
      </c>
    </row>
    <row r="6090" spans="1:14" x14ac:dyDescent="0.35">
      <c r="A6090" s="2">
        <v>43199</v>
      </c>
      <c r="B6090" s="70" t="s">
        <v>667</v>
      </c>
      <c r="C6090" s="10">
        <v>73</v>
      </c>
      <c r="D6090" s="10">
        <v>355</v>
      </c>
      <c r="E6090" s="10" t="s">
        <v>34</v>
      </c>
      <c r="F6090" s="10" t="s">
        <v>646</v>
      </c>
      <c r="G6090" t="s">
        <v>651</v>
      </c>
    </row>
    <row r="6091" spans="1:14" x14ac:dyDescent="0.35">
      <c r="A6091" s="2">
        <v>43199</v>
      </c>
      <c r="B6091" s="70" t="s">
        <v>667</v>
      </c>
      <c r="C6091" s="10">
        <v>76</v>
      </c>
      <c r="D6091" s="10">
        <v>399</v>
      </c>
      <c r="E6091" s="10" t="s">
        <v>33</v>
      </c>
      <c r="F6091" s="10" t="s">
        <v>646</v>
      </c>
    </row>
    <row r="6092" spans="1:14" x14ac:dyDescent="0.35">
      <c r="A6092" s="2">
        <v>43199</v>
      </c>
      <c r="B6092" s="70" t="s">
        <v>667</v>
      </c>
      <c r="C6092" s="10">
        <v>75</v>
      </c>
      <c r="D6092" s="10">
        <v>372</v>
      </c>
      <c r="E6092" s="10" t="s">
        <v>34</v>
      </c>
      <c r="F6092" s="10" t="s">
        <v>476</v>
      </c>
      <c r="G6092" t="s">
        <v>651</v>
      </c>
    </row>
    <row r="6093" spans="1:14" x14ac:dyDescent="0.35">
      <c r="A6093" s="2">
        <v>43199</v>
      </c>
      <c r="B6093" s="70" t="s">
        <v>667</v>
      </c>
      <c r="C6093" s="10">
        <v>67</v>
      </c>
      <c r="D6093" s="10">
        <v>254</v>
      </c>
      <c r="E6093" s="10" t="s">
        <v>39</v>
      </c>
      <c r="F6093" s="10" t="s">
        <v>476</v>
      </c>
    </row>
    <row r="6094" spans="1:14" x14ac:dyDescent="0.35">
      <c r="A6094" s="2">
        <v>43199</v>
      </c>
      <c r="B6094" s="70" t="s">
        <v>667</v>
      </c>
      <c r="C6094" s="10">
        <v>80</v>
      </c>
      <c r="D6094" s="10">
        <v>378</v>
      </c>
      <c r="E6094" s="10" t="s">
        <v>34</v>
      </c>
      <c r="F6094" s="10" t="s">
        <v>476</v>
      </c>
    </row>
    <row r="6095" spans="1:14" x14ac:dyDescent="0.35">
      <c r="A6095" s="2">
        <v>43199</v>
      </c>
      <c r="B6095" s="70" t="s">
        <v>667</v>
      </c>
      <c r="C6095" s="10">
        <v>70</v>
      </c>
      <c r="D6095" s="10">
        <v>262</v>
      </c>
      <c r="E6095" s="10" t="s">
        <v>40</v>
      </c>
      <c r="F6095" s="10" t="s">
        <v>646</v>
      </c>
    </row>
    <row r="6096" spans="1:14" x14ac:dyDescent="0.35">
      <c r="A6096" s="2">
        <v>43199</v>
      </c>
      <c r="B6096" s="70" t="s">
        <v>667</v>
      </c>
      <c r="C6096" s="10">
        <v>69</v>
      </c>
      <c r="D6096" s="10">
        <v>289</v>
      </c>
      <c r="E6096" s="10" t="s">
        <v>36</v>
      </c>
      <c r="F6096" s="10" t="s">
        <v>646</v>
      </c>
      <c r="G6096" t="s">
        <v>651</v>
      </c>
    </row>
    <row r="6097" spans="1:7" x14ac:dyDescent="0.35">
      <c r="A6097" s="2">
        <v>43199</v>
      </c>
      <c r="B6097" s="70" t="s">
        <v>667</v>
      </c>
      <c r="C6097" s="10">
        <v>68</v>
      </c>
      <c r="D6097" s="10">
        <v>244</v>
      </c>
      <c r="E6097" s="10" t="s">
        <v>33</v>
      </c>
      <c r="F6097" s="10" t="s">
        <v>476</v>
      </c>
    </row>
    <row r="6098" spans="1:7" x14ac:dyDescent="0.35">
      <c r="A6098" s="2">
        <v>43199</v>
      </c>
      <c r="B6098" s="70" t="s">
        <v>667</v>
      </c>
      <c r="C6098" s="10">
        <v>76</v>
      </c>
      <c r="D6098" s="10">
        <v>404</v>
      </c>
      <c r="E6098" s="10" t="s">
        <v>40</v>
      </c>
      <c r="F6098" s="10" t="s">
        <v>198</v>
      </c>
      <c r="G6098" t="s">
        <v>651</v>
      </c>
    </row>
    <row r="6099" spans="1:7" x14ac:dyDescent="0.35">
      <c r="A6099" s="2">
        <v>43199</v>
      </c>
      <c r="B6099" s="70" t="s">
        <v>667</v>
      </c>
      <c r="C6099" s="10">
        <v>69</v>
      </c>
      <c r="D6099" s="10">
        <v>282</v>
      </c>
      <c r="E6099" s="10" t="s">
        <v>34</v>
      </c>
      <c r="F6099" s="10" t="s">
        <v>646</v>
      </c>
    </row>
    <row r="6100" spans="1:7" x14ac:dyDescent="0.35">
      <c r="A6100" s="2">
        <v>43199</v>
      </c>
      <c r="B6100" s="70" t="s">
        <v>667</v>
      </c>
      <c r="C6100" s="10">
        <v>70</v>
      </c>
      <c r="D6100" s="10">
        <v>293</v>
      </c>
      <c r="E6100" s="10" t="s">
        <v>34</v>
      </c>
      <c r="F6100" s="10" t="s">
        <v>646</v>
      </c>
      <c r="G6100" t="s">
        <v>651</v>
      </c>
    </row>
    <row r="6101" spans="1:7" x14ac:dyDescent="0.35">
      <c r="A6101" s="2">
        <v>43199</v>
      </c>
      <c r="B6101" s="70" t="s">
        <v>667</v>
      </c>
      <c r="C6101" s="10">
        <v>74</v>
      </c>
      <c r="D6101" s="10">
        <v>291</v>
      </c>
      <c r="E6101" s="10" t="s">
        <v>33</v>
      </c>
      <c r="F6101" s="10" t="s">
        <v>476</v>
      </c>
    </row>
    <row r="6102" spans="1:7" x14ac:dyDescent="0.35">
      <c r="A6102" s="2">
        <v>43199</v>
      </c>
      <c r="B6102" s="70" t="s">
        <v>667</v>
      </c>
      <c r="C6102" s="10">
        <v>75</v>
      </c>
      <c r="D6102" s="10">
        <v>305</v>
      </c>
      <c r="E6102" s="10" t="s">
        <v>33</v>
      </c>
      <c r="F6102" s="10" t="s">
        <v>476</v>
      </c>
      <c r="G6102" t="s">
        <v>651</v>
      </c>
    </row>
    <row r="6103" spans="1:7" x14ac:dyDescent="0.35">
      <c r="A6103" s="2">
        <v>43199</v>
      </c>
      <c r="B6103" s="70" t="s">
        <v>667</v>
      </c>
      <c r="C6103" s="10">
        <v>68</v>
      </c>
      <c r="D6103" s="10">
        <v>210</v>
      </c>
      <c r="E6103" s="10" t="s">
        <v>34</v>
      </c>
      <c r="F6103" s="10" t="s">
        <v>646</v>
      </c>
      <c r="G6103" t="s">
        <v>651</v>
      </c>
    </row>
    <row r="6104" spans="1:7" x14ac:dyDescent="0.35">
      <c r="A6104" s="2">
        <v>43199</v>
      </c>
      <c r="B6104" s="70" t="s">
        <v>667</v>
      </c>
      <c r="C6104" s="10">
        <v>71</v>
      </c>
      <c r="D6104" s="10">
        <v>349</v>
      </c>
      <c r="E6104" s="10" t="s">
        <v>33</v>
      </c>
      <c r="F6104" s="10" t="s">
        <v>476</v>
      </c>
    </row>
    <row r="6105" spans="1:7" x14ac:dyDescent="0.35">
      <c r="A6105" s="2">
        <v>43199</v>
      </c>
      <c r="B6105" s="70" t="s">
        <v>667</v>
      </c>
      <c r="C6105" s="10">
        <v>65</v>
      </c>
      <c r="D6105" s="10">
        <v>196</v>
      </c>
      <c r="E6105" s="10" t="s">
        <v>39</v>
      </c>
      <c r="F6105" s="10" t="s">
        <v>476</v>
      </c>
    </row>
    <row r="6106" spans="1:7" x14ac:dyDescent="0.35">
      <c r="A6106" s="2">
        <v>43199</v>
      </c>
      <c r="B6106" s="70" t="s">
        <v>667</v>
      </c>
      <c r="C6106" s="10">
        <v>70</v>
      </c>
      <c r="D6106" s="10">
        <v>291</v>
      </c>
      <c r="E6106" s="10" t="s">
        <v>34</v>
      </c>
      <c r="F6106" s="10" t="s">
        <v>646</v>
      </c>
      <c r="G6106" t="s">
        <v>651</v>
      </c>
    </row>
    <row r="6107" spans="1:7" x14ac:dyDescent="0.35">
      <c r="A6107" s="2">
        <v>43199</v>
      </c>
      <c r="B6107" s="70" t="s">
        <v>667</v>
      </c>
      <c r="C6107" s="10">
        <v>73</v>
      </c>
      <c r="D6107" s="10">
        <v>337</v>
      </c>
      <c r="E6107" s="10" t="s">
        <v>33</v>
      </c>
      <c r="F6107" s="10" t="s">
        <v>476</v>
      </c>
    </row>
    <row r="6108" spans="1:7" x14ac:dyDescent="0.35">
      <c r="A6108" s="2">
        <v>43199</v>
      </c>
      <c r="B6108" s="70" t="s">
        <v>667</v>
      </c>
      <c r="C6108" s="10">
        <v>71</v>
      </c>
      <c r="D6108" s="10">
        <v>284</v>
      </c>
      <c r="E6108" s="10" t="s">
        <v>33</v>
      </c>
      <c r="F6108" s="10" t="s">
        <v>646</v>
      </c>
    </row>
    <row r="6109" spans="1:7" x14ac:dyDescent="0.35">
      <c r="A6109" s="2">
        <v>43199</v>
      </c>
      <c r="B6109" s="70" t="s">
        <v>667</v>
      </c>
      <c r="C6109" s="10">
        <v>71</v>
      </c>
      <c r="D6109" s="10">
        <v>326</v>
      </c>
      <c r="E6109" s="10" t="s">
        <v>34</v>
      </c>
      <c r="F6109" s="10" t="s">
        <v>476</v>
      </c>
      <c r="G6109" t="s">
        <v>651</v>
      </c>
    </row>
    <row r="6110" spans="1:7" x14ac:dyDescent="0.35">
      <c r="A6110" s="2">
        <v>43199</v>
      </c>
      <c r="B6110" s="70" t="s">
        <v>667</v>
      </c>
      <c r="C6110" s="10">
        <v>75</v>
      </c>
      <c r="D6110" s="10">
        <v>296</v>
      </c>
      <c r="E6110" s="10" t="s">
        <v>33</v>
      </c>
      <c r="F6110" s="10" t="s">
        <v>476</v>
      </c>
      <c r="G6110" t="s">
        <v>651</v>
      </c>
    </row>
    <row r="6111" spans="1:7" x14ac:dyDescent="0.35">
      <c r="A6111" s="2">
        <v>43199</v>
      </c>
      <c r="B6111" s="70" t="s">
        <v>667</v>
      </c>
      <c r="C6111" s="10">
        <v>76</v>
      </c>
      <c r="D6111" s="10">
        <v>360</v>
      </c>
      <c r="E6111" s="10" t="s">
        <v>34</v>
      </c>
      <c r="F6111" s="10" t="s">
        <v>476</v>
      </c>
      <c r="G6111" t="s">
        <v>651</v>
      </c>
    </row>
    <row r="6112" spans="1:7" x14ac:dyDescent="0.35">
      <c r="A6112" s="2">
        <v>43199</v>
      </c>
      <c r="B6112" s="70" t="s">
        <v>667</v>
      </c>
      <c r="C6112" s="10">
        <v>68</v>
      </c>
      <c r="D6112" s="10">
        <v>234</v>
      </c>
      <c r="E6112" s="10" t="s">
        <v>40</v>
      </c>
      <c r="F6112" s="10" t="s">
        <v>646</v>
      </c>
      <c r="G6112" t="s">
        <v>651</v>
      </c>
    </row>
    <row r="6113" spans="1:7" x14ac:dyDescent="0.35">
      <c r="A6113" s="2">
        <v>43199</v>
      </c>
      <c r="B6113" s="70" t="s">
        <v>667</v>
      </c>
      <c r="C6113" s="10">
        <v>70</v>
      </c>
      <c r="D6113" s="10">
        <v>244</v>
      </c>
      <c r="E6113" s="10" t="s">
        <v>34</v>
      </c>
      <c r="F6113" s="10" t="s">
        <v>646</v>
      </c>
      <c r="G6113" t="s">
        <v>651</v>
      </c>
    </row>
    <row r="6114" spans="1:7" x14ac:dyDescent="0.35">
      <c r="A6114" s="2">
        <v>43199</v>
      </c>
      <c r="B6114" s="70" t="s">
        <v>667</v>
      </c>
      <c r="C6114" s="10">
        <v>70</v>
      </c>
      <c r="D6114" s="10">
        <v>326</v>
      </c>
      <c r="E6114" s="10" t="s">
        <v>33</v>
      </c>
      <c r="F6114" s="10" t="s">
        <v>646</v>
      </c>
    </row>
    <row r="6115" spans="1:7" x14ac:dyDescent="0.35">
      <c r="A6115" s="2">
        <v>43199</v>
      </c>
      <c r="B6115" s="70" t="s">
        <v>667</v>
      </c>
      <c r="C6115" s="10">
        <v>64</v>
      </c>
      <c r="D6115" s="10">
        <v>247</v>
      </c>
      <c r="E6115" s="10" t="s">
        <v>39</v>
      </c>
      <c r="F6115" s="10" t="s">
        <v>476</v>
      </c>
    </row>
    <row r="6116" spans="1:7" x14ac:dyDescent="0.35">
      <c r="A6116" s="2">
        <v>43199</v>
      </c>
      <c r="B6116" s="70" t="s">
        <v>667</v>
      </c>
      <c r="C6116" s="10">
        <v>76</v>
      </c>
      <c r="D6116" s="10">
        <v>308</v>
      </c>
      <c r="E6116" s="10" t="s">
        <v>34</v>
      </c>
      <c r="F6116" s="10" t="s">
        <v>646</v>
      </c>
    </row>
    <row r="6117" spans="1:7" x14ac:dyDescent="0.35">
      <c r="A6117" s="2">
        <v>43199</v>
      </c>
      <c r="B6117" s="70" t="s">
        <v>667</v>
      </c>
      <c r="C6117" s="10">
        <v>72</v>
      </c>
      <c r="D6117" s="10">
        <v>317</v>
      </c>
      <c r="E6117" s="10" t="s">
        <v>36</v>
      </c>
      <c r="F6117" s="10" t="s">
        <v>646</v>
      </c>
      <c r="G6117" t="s">
        <v>651</v>
      </c>
    </row>
    <row r="6118" spans="1:7" x14ac:dyDescent="0.35">
      <c r="A6118" s="2">
        <v>43199</v>
      </c>
      <c r="B6118" s="70" t="s">
        <v>667</v>
      </c>
      <c r="C6118" s="10">
        <v>73</v>
      </c>
      <c r="D6118" s="10">
        <v>279</v>
      </c>
      <c r="E6118" s="10" t="s">
        <v>33</v>
      </c>
      <c r="F6118" s="10" t="s">
        <v>646</v>
      </c>
      <c r="G6118" t="s">
        <v>651</v>
      </c>
    </row>
    <row r="6119" spans="1:7" x14ac:dyDescent="0.35">
      <c r="A6119" s="2">
        <v>43199</v>
      </c>
      <c r="B6119" s="70" t="s">
        <v>667</v>
      </c>
      <c r="C6119" s="10">
        <v>76</v>
      </c>
      <c r="D6119" s="10">
        <v>354</v>
      </c>
      <c r="E6119" s="10" t="s">
        <v>34</v>
      </c>
      <c r="F6119" s="10" t="s">
        <v>476</v>
      </c>
      <c r="G6119" t="s">
        <v>651</v>
      </c>
    </row>
    <row r="6120" spans="1:7" x14ac:dyDescent="0.35">
      <c r="A6120" s="2">
        <v>43199</v>
      </c>
      <c r="B6120" s="70" t="s">
        <v>667</v>
      </c>
      <c r="C6120" s="10">
        <v>75</v>
      </c>
      <c r="D6120" s="10">
        <v>312</v>
      </c>
      <c r="E6120" s="10" t="s">
        <v>34</v>
      </c>
      <c r="F6120" s="10" t="s">
        <v>646</v>
      </c>
    </row>
    <row r="6121" spans="1:7" x14ac:dyDescent="0.35">
      <c r="A6121" s="2">
        <v>43199</v>
      </c>
      <c r="B6121" s="70" t="s">
        <v>667</v>
      </c>
      <c r="C6121" s="10">
        <v>69</v>
      </c>
      <c r="D6121" s="10">
        <v>278</v>
      </c>
      <c r="E6121" s="10" t="s">
        <v>34</v>
      </c>
      <c r="F6121" s="10" t="s">
        <v>646</v>
      </c>
    </row>
    <row r="6122" spans="1:7" x14ac:dyDescent="0.35">
      <c r="A6122" s="2">
        <v>43199</v>
      </c>
      <c r="B6122" s="70" t="s">
        <v>667</v>
      </c>
      <c r="C6122" s="10">
        <v>69</v>
      </c>
      <c r="D6122" s="10">
        <v>262</v>
      </c>
      <c r="E6122" s="10" t="s">
        <v>34</v>
      </c>
      <c r="F6122" s="10" t="s">
        <v>646</v>
      </c>
      <c r="G6122" t="s">
        <v>651</v>
      </c>
    </row>
    <row r="6123" spans="1:7" x14ac:dyDescent="0.35">
      <c r="A6123" s="2">
        <v>43199</v>
      </c>
      <c r="B6123" s="70" t="s">
        <v>667</v>
      </c>
      <c r="C6123" s="10">
        <v>71</v>
      </c>
      <c r="D6123" s="10">
        <v>288</v>
      </c>
      <c r="E6123" s="10" t="s">
        <v>40</v>
      </c>
      <c r="F6123" s="10" t="s">
        <v>476</v>
      </c>
    </row>
    <row r="6124" spans="1:7" x14ac:dyDescent="0.35">
      <c r="A6124" s="2">
        <v>43199</v>
      </c>
      <c r="B6124" s="70" t="s">
        <v>667</v>
      </c>
      <c r="C6124" s="10">
        <v>66</v>
      </c>
      <c r="D6124" s="10">
        <v>244</v>
      </c>
      <c r="E6124" s="10" t="s">
        <v>34</v>
      </c>
      <c r="F6124" s="10" t="s">
        <v>476</v>
      </c>
      <c r="G6124" t="s">
        <v>651</v>
      </c>
    </row>
    <row r="6125" spans="1:7" x14ac:dyDescent="0.35">
      <c r="A6125" s="2">
        <v>43199</v>
      </c>
      <c r="B6125" s="70" t="s">
        <v>667</v>
      </c>
      <c r="C6125" s="10">
        <v>68</v>
      </c>
      <c r="D6125" s="10">
        <v>266</v>
      </c>
      <c r="E6125" s="10" t="s">
        <v>40</v>
      </c>
      <c r="F6125" s="10" t="s">
        <v>476</v>
      </c>
    </row>
    <row r="6126" spans="1:7" x14ac:dyDescent="0.35">
      <c r="A6126" s="2">
        <v>43199</v>
      </c>
      <c r="B6126" s="70" t="s">
        <v>667</v>
      </c>
      <c r="C6126" s="10">
        <v>75</v>
      </c>
      <c r="D6126" s="10">
        <v>313</v>
      </c>
      <c r="E6126" s="10" t="s">
        <v>40</v>
      </c>
      <c r="F6126" s="10" t="s">
        <v>646</v>
      </c>
      <c r="G6126" t="s">
        <v>651</v>
      </c>
    </row>
    <row r="6127" spans="1:7" x14ac:dyDescent="0.35">
      <c r="A6127" s="2">
        <v>43199</v>
      </c>
      <c r="B6127" s="70" t="s">
        <v>667</v>
      </c>
      <c r="C6127" s="10">
        <v>73</v>
      </c>
      <c r="D6127" s="10">
        <v>303</v>
      </c>
      <c r="E6127" s="10" t="s">
        <v>34</v>
      </c>
      <c r="F6127" s="10" t="s">
        <v>476</v>
      </c>
      <c r="G6127" t="s">
        <v>651</v>
      </c>
    </row>
    <row r="6128" spans="1:7" x14ac:dyDescent="0.35">
      <c r="A6128" s="2">
        <v>43199</v>
      </c>
      <c r="B6128" s="70" t="s">
        <v>667</v>
      </c>
      <c r="C6128" s="10">
        <v>74</v>
      </c>
      <c r="D6128" s="10">
        <v>320</v>
      </c>
      <c r="E6128" s="10" t="s">
        <v>33</v>
      </c>
      <c r="F6128" s="10" t="s">
        <v>293</v>
      </c>
      <c r="G6128" t="s">
        <v>651</v>
      </c>
    </row>
    <row r="6129" spans="1:24" x14ac:dyDescent="0.35">
      <c r="A6129" s="2">
        <v>43199</v>
      </c>
      <c r="B6129" s="70" t="s">
        <v>667</v>
      </c>
      <c r="C6129" s="10">
        <v>72</v>
      </c>
      <c r="D6129" s="10">
        <v>338</v>
      </c>
      <c r="E6129" s="10" t="s">
        <v>34</v>
      </c>
      <c r="F6129" s="10" t="s">
        <v>476</v>
      </c>
      <c r="G6129" t="s">
        <v>651</v>
      </c>
    </row>
    <row r="6130" spans="1:24" x14ac:dyDescent="0.35">
      <c r="A6130" s="2">
        <v>43199</v>
      </c>
      <c r="B6130" s="70" t="s">
        <v>667</v>
      </c>
      <c r="C6130" s="10">
        <v>68</v>
      </c>
      <c r="D6130" s="10">
        <v>223</v>
      </c>
      <c r="E6130" s="10" t="s">
        <v>32</v>
      </c>
      <c r="F6130" s="10" t="s">
        <v>476</v>
      </c>
      <c r="G6130" t="s">
        <v>651</v>
      </c>
    </row>
    <row r="6131" spans="1:24" x14ac:dyDescent="0.35">
      <c r="A6131" s="2">
        <v>43199</v>
      </c>
      <c r="B6131" s="70" t="s">
        <v>667</v>
      </c>
      <c r="C6131" s="10">
        <v>70</v>
      </c>
      <c r="D6131" s="10">
        <v>238</v>
      </c>
      <c r="E6131" s="10" t="s">
        <v>40</v>
      </c>
      <c r="F6131" s="10" t="s">
        <v>476</v>
      </c>
      <c r="H6131" t="s">
        <v>696</v>
      </c>
    </row>
    <row r="6132" spans="1:24" x14ac:dyDescent="0.35">
      <c r="A6132" s="2">
        <v>43199</v>
      </c>
      <c r="B6132" s="70" t="s">
        <v>667</v>
      </c>
      <c r="C6132" s="10">
        <v>73</v>
      </c>
      <c r="D6132" s="10">
        <v>357</v>
      </c>
      <c r="E6132" s="10" t="s">
        <v>40</v>
      </c>
      <c r="F6132" s="10" t="s">
        <v>646</v>
      </c>
      <c r="G6132" t="s">
        <v>651</v>
      </c>
    </row>
    <row r="6133" spans="1:24" x14ac:dyDescent="0.35">
      <c r="A6133" s="2">
        <v>43199</v>
      </c>
      <c r="B6133" s="70" t="s">
        <v>667</v>
      </c>
      <c r="C6133" s="10">
        <v>69</v>
      </c>
      <c r="D6133" s="10">
        <v>285</v>
      </c>
      <c r="E6133" s="10" t="s">
        <v>34</v>
      </c>
      <c r="F6133" s="10" t="s">
        <v>476</v>
      </c>
      <c r="G6133" t="s">
        <v>651</v>
      </c>
    </row>
    <row r="6134" spans="1:24" x14ac:dyDescent="0.35">
      <c r="A6134" s="2">
        <v>43199</v>
      </c>
      <c r="B6134" s="70" t="s">
        <v>667</v>
      </c>
      <c r="C6134" s="10">
        <v>64</v>
      </c>
      <c r="D6134" s="10">
        <v>205</v>
      </c>
      <c r="E6134" s="10" t="s">
        <v>40</v>
      </c>
      <c r="F6134" s="10" t="s">
        <v>476</v>
      </c>
      <c r="N6134" t="s">
        <v>42</v>
      </c>
      <c r="O6134" t="s">
        <v>39</v>
      </c>
      <c r="P6134" t="s">
        <v>40</v>
      </c>
      <c r="Q6134" t="s">
        <v>36</v>
      </c>
      <c r="R6134" t="s">
        <v>33</v>
      </c>
      <c r="S6134" t="s">
        <v>34</v>
      </c>
      <c r="T6134" t="s">
        <v>32</v>
      </c>
      <c r="U6134" t="s">
        <v>37</v>
      </c>
    </row>
    <row r="6135" spans="1:24" x14ac:dyDescent="0.35">
      <c r="A6135" s="2">
        <v>43199</v>
      </c>
      <c r="B6135" s="70" t="s">
        <v>667</v>
      </c>
      <c r="C6135" s="10">
        <v>66</v>
      </c>
      <c r="D6135" s="10">
        <v>232</v>
      </c>
      <c r="E6135" s="10" t="s">
        <v>34</v>
      </c>
      <c r="F6135" s="10" t="s">
        <v>646</v>
      </c>
      <c r="G6135" t="s">
        <v>651</v>
      </c>
      <c r="N6135" s="5">
        <f>COUNTIF(E6085:E6136,"VA")</f>
        <v>0</v>
      </c>
      <c r="O6135" s="5">
        <f>COUNTIF(E6085:E6136,"VB")</f>
        <v>3</v>
      </c>
      <c r="P6135" s="5">
        <f>COUNTIF(E6085:E6135,"VIA0")</f>
        <v>10</v>
      </c>
      <c r="Q6135" s="5">
        <f>COUNTIF(E6085:E6136,"VIA1")</f>
        <v>4</v>
      </c>
      <c r="R6135" s="5">
        <f>COUNTIF(E6086:E6136,"VIA2")</f>
        <v>12</v>
      </c>
      <c r="S6135" s="5">
        <f>COUNTIF(E6086:E6136,"VIA3")</f>
        <v>21</v>
      </c>
      <c r="T6135" s="5">
        <f>COUNTIF(E6086:E6136,"VIA4")</f>
        <v>2</v>
      </c>
      <c r="U6135" s="5">
        <f>COUNTIF(E6086:E6133,"VIB")</f>
        <v>0</v>
      </c>
      <c r="W6135">
        <f>AVERAGE(C6085:C6136)</f>
        <v>71.115384615384613</v>
      </c>
      <c r="X6135">
        <f>AVERAGE(D6085:D6136)</f>
        <v>294.17307692307691</v>
      </c>
    </row>
    <row r="6136" spans="1:24" s="4" customFormat="1" x14ac:dyDescent="0.35">
      <c r="A6136" s="3">
        <v>43199</v>
      </c>
      <c r="B6136" s="44" t="s">
        <v>667</v>
      </c>
      <c r="C6136" s="11">
        <v>72</v>
      </c>
      <c r="D6136" s="11">
        <v>302</v>
      </c>
      <c r="E6136" s="11" t="s">
        <v>36</v>
      </c>
      <c r="F6136" s="11" t="s">
        <v>476</v>
      </c>
      <c r="G6136" s="4" t="s">
        <v>651</v>
      </c>
      <c r="N6136" s="6">
        <f>N6135/52*100</f>
        <v>0</v>
      </c>
      <c r="O6136" s="6">
        <f t="shared" ref="O6136:U6136" si="188">O6135/52*100</f>
        <v>5.7692307692307692</v>
      </c>
      <c r="P6136" s="6">
        <f>P6135/52*100</f>
        <v>19.230769230769234</v>
      </c>
      <c r="Q6136" s="6">
        <f t="shared" si="188"/>
        <v>7.6923076923076925</v>
      </c>
      <c r="R6136" s="6">
        <f t="shared" si="188"/>
        <v>23.076923076923077</v>
      </c>
      <c r="S6136" s="6">
        <f t="shared" si="188"/>
        <v>40.384615384615387</v>
      </c>
      <c r="T6136" s="6">
        <f t="shared" si="188"/>
        <v>3.8461538461538463</v>
      </c>
      <c r="U6136" s="6">
        <f t="shared" si="188"/>
        <v>0</v>
      </c>
    </row>
    <row r="6137" spans="1:24" x14ac:dyDescent="0.35">
      <c r="A6137" s="2">
        <v>43200</v>
      </c>
      <c r="B6137" s="70" t="s">
        <v>38</v>
      </c>
      <c r="C6137" s="10">
        <v>112</v>
      </c>
      <c r="D6137" s="10">
        <v>1482</v>
      </c>
      <c r="E6137" s="10" t="s">
        <v>59</v>
      </c>
      <c r="F6137" s="10"/>
      <c r="M6137">
        <f>COUNTIF(F6137:F6237,"F0")</f>
        <v>52</v>
      </c>
    </row>
    <row r="6138" spans="1:24" x14ac:dyDescent="0.35">
      <c r="A6138" s="2">
        <v>43200</v>
      </c>
      <c r="B6138" s="70" t="s">
        <v>38</v>
      </c>
      <c r="C6138" s="10">
        <v>76</v>
      </c>
      <c r="D6138" s="10">
        <v>451</v>
      </c>
      <c r="E6138" s="10" t="s">
        <v>159</v>
      </c>
    </row>
    <row r="6139" spans="1:24" x14ac:dyDescent="0.35">
      <c r="A6139" s="2">
        <v>43200</v>
      </c>
      <c r="B6139" s="70" t="s">
        <v>38</v>
      </c>
      <c r="C6139" s="10">
        <v>75</v>
      </c>
      <c r="D6139" s="10">
        <v>335</v>
      </c>
      <c r="E6139" s="10" t="s">
        <v>36</v>
      </c>
      <c r="F6139" s="10" t="s">
        <v>476</v>
      </c>
    </row>
    <row r="6140" spans="1:24" x14ac:dyDescent="0.35">
      <c r="A6140" s="2">
        <v>43200</v>
      </c>
      <c r="B6140" s="70" t="s">
        <v>38</v>
      </c>
      <c r="C6140" s="10">
        <v>78</v>
      </c>
      <c r="D6140" s="10">
        <v>379</v>
      </c>
      <c r="E6140" s="10" t="s">
        <v>40</v>
      </c>
      <c r="F6140" s="10" t="s">
        <v>646</v>
      </c>
      <c r="G6140" t="s">
        <v>651</v>
      </c>
    </row>
    <row r="6141" spans="1:24" x14ac:dyDescent="0.35">
      <c r="A6141" s="2">
        <v>43200</v>
      </c>
      <c r="B6141" s="70" t="s">
        <v>38</v>
      </c>
      <c r="C6141" s="10">
        <v>70</v>
      </c>
      <c r="D6141" s="10">
        <v>230</v>
      </c>
      <c r="E6141" s="10" t="s">
        <v>33</v>
      </c>
      <c r="F6141" s="10" t="s">
        <v>476</v>
      </c>
    </row>
    <row r="6142" spans="1:24" x14ac:dyDescent="0.35">
      <c r="A6142" s="2">
        <v>43200</v>
      </c>
      <c r="B6142" s="70" t="s">
        <v>38</v>
      </c>
      <c r="C6142" s="10">
        <v>70</v>
      </c>
      <c r="D6142" s="10">
        <v>249</v>
      </c>
      <c r="E6142" s="10" t="s">
        <v>36</v>
      </c>
      <c r="F6142" s="10" t="s">
        <v>476</v>
      </c>
      <c r="G6142" t="s">
        <v>651</v>
      </c>
    </row>
    <row r="6143" spans="1:24" x14ac:dyDescent="0.35">
      <c r="A6143" s="2">
        <v>43200</v>
      </c>
      <c r="B6143" s="70" t="s">
        <v>38</v>
      </c>
      <c r="C6143" s="10">
        <v>67</v>
      </c>
      <c r="D6143" s="10">
        <v>228</v>
      </c>
      <c r="E6143" s="10" t="s">
        <v>34</v>
      </c>
      <c r="F6143" s="10" t="s">
        <v>646</v>
      </c>
    </row>
    <row r="6144" spans="1:24" x14ac:dyDescent="0.35">
      <c r="A6144" s="2">
        <v>43200</v>
      </c>
      <c r="B6144" s="70" t="s">
        <v>38</v>
      </c>
      <c r="C6144" s="10">
        <v>73</v>
      </c>
      <c r="D6144" s="10">
        <v>305</v>
      </c>
      <c r="E6144" s="10" t="s">
        <v>34</v>
      </c>
      <c r="F6144" s="10" t="s">
        <v>646</v>
      </c>
      <c r="G6144" t="s">
        <v>651</v>
      </c>
    </row>
    <row r="6145" spans="1:7" x14ac:dyDescent="0.35">
      <c r="A6145" s="2">
        <v>43200</v>
      </c>
      <c r="B6145" s="70" t="s">
        <v>38</v>
      </c>
      <c r="C6145" s="10">
        <v>69</v>
      </c>
      <c r="D6145" s="10">
        <v>259</v>
      </c>
      <c r="E6145" s="10" t="s">
        <v>33</v>
      </c>
      <c r="F6145" s="10" t="s">
        <v>476</v>
      </c>
    </row>
    <row r="6146" spans="1:7" x14ac:dyDescent="0.35">
      <c r="A6146" s="2">
        <v>43200</v>
      </c>
      <c r="B6146" s="70" t="s">
        <v>38</v>
      </c>
      <c r="C6146" s="10">
        <v>70</v>
      </c>
      <c r="D6146" s="10">
        <v>269</v>
      </c>
      <c r="E6146" s="10" t="s">
        <v>33</v>
      </c>
      <c r="F6146" s="10" t="s">
        <v>476</v>
      </c>
    </row>
    <row r="6147" spans="1:7" x14ac:dyDescent="0.35">
      <c r="A6147" s="2">
        <v>43200</v>
      </c>
      <c r="B6147" s="70" t="s">
        <v>38</v>
      </c>
      <c r="C6147" s="10">
        <v>70</v>
      </c>
      <c r="D6147" s="10">
        <v>220</v>
      </c>
      <c r="E6147" s="10" t="s">
        <v>34</v>
      </c>
      <c r="F6147" s="10" t="s">
        <v>476</v>
      </c>
      <c r="G6147" t="s">
        <v>651</v>
      </c>
    </row>
    <row r="6148" spans="1:7" x14ac:dyDescent="0.35">
      <c r="A6148" s="2">
        <v>43200</v>
      </c>
      <c r="B6148" s="70" t="s">
        <v>38</v>
      </c>
      <c r="C6148" s="10">
        <v>72</v>
      </c>
      <c r="D6148" s="10">
        <v>309</v>
      </c>
      <c r="E6148" s="10" t="s">
        <v>34</v>
      </c>
      <c r="F6148" s="10" t="s">
        <v>476</v>
      </c>
      <c r="G6148" t="s">
        <v>651</v>
      </c>
    </row>
    <row r="6149" spans="1:7" x14ac:dyDescent="0.35">
      <c r="A6149" s="2">
        <v>43200</v>
      </c>
      <c r="B6149" s="70" t="s">
        <v>38</v>
      </c>
      <c r="C6149" s="10">
        <v>69</v>
      </c>
      <c r="D6149" s="10">
        <v>259</v>
      </c>
      <c r="E6149" s="10" t="s">
        <v>34</v>
      </c>
      <c r="F6149" s="10" t="s">
        <v>476</v>
      </c>
      <c r="G6149" t="s">
        <v>651</v>
      </c>
    </row>
    <row r="6150" spans="1:7" x14ac:dyDescent="0.35">
      <c r="A6150" s="2">
        <v>43200</v>
      </c>
      <c r="B6150" s="70" t="s">
        <v>38</v>
      </c>
      <c r="C6150" s="10">
        <v>74</v>
      </c>
      <c r="D6150" s="10">
        <v>335</v>
      </c>
      <c r="E6150" s="10" t="s">
        <v>33</v>
      </c>
      <c r="F6150" s="10" t="s">
        <v>476</v>
      </c>
      <c r="G6150" t="s">
        <v>651</v>
      </c>
    </row>
    <row r="6151" spans="1:7" x14ac:dyDescent="0.35">
      <c r="A6151" s="2">
        <v>43200</v>
      </c>
      <c r="B6151" s="70" t="s">
        <v>38</v>
      </c>
      <c r="C6151" s="10">
        <v>73</v>
      </c>
      <c r="D6151" s="10">
        <v>316</v>
      </c>
      <c r="E6151" s="10" t="s">
        <v>34</v>
      </c>
      <c r="F6151" s="10" t="s">
        <v>646</v>
      </c>
      <c r="G6151" t="s">
        <v>651</v>
      </c>
    </row>
    <row r="6152" spans="1:7" x14ac:dyDescent="0.35">
      <c r="A6152" s="2">
        <v>43200</v>
      </c>
      <c r="B6152" s="70" t="s">
        <v>38</v>
      </c>
      <c r="C6152" s="10">
        <v>71</v>
      </c>
      <c r="D6152" s="10">
        <v>304</v>
      </c>
      <c r="E6152" s="10" t="s">
        <v>33</v>
      </c>
      <c r="F6152" s="10" t="s">
        <v>476</v>
      </c>
    </row>
    <row r="6153" spans="1:7" x14ac:dyDescent="0.35">
      <c r="A6153" s="2">
        <v>43200</v>
      </c>
      <c r="B6153" s="70" t="s">
        <v>38</v>
      </c>
      <c r="C6153" s="10">
        <v>71</v>
      </c>
      <c r="D6153" s="10">
        <v>307</v>
      </c>
      <c r="E6153" s="10" t="s">
        <v>33</v>
      </c>
      <c r="F6153" s="10" t="s">
        <v>646</v>
      </c>
      <c r="G6153" t="s">
        <v>651</v>
      </c>
    </row>
    <row r="6154" spans="1:7" x14ac:dyDescent="0.35">
      <c r="A6154" s="2">
        <v>43200</v>
      </c>
      <c r="B6154" s="70" t="s">
        <v>38</v>
      </c>
      <c r="C6154" s="10">
        <v>68</v>
      </c>
      <c r="D6154" s="10">
        <v>291</v>
      </c>
      <c r="E6154" s="10" t="s">
        <v>36</v>
      </c>
      <c r="F6154" s="10" t="s">
        <v>476</v>
      </c>
      <c r="G6154" t="s">
        <v>651</v>
      </c>
    </row>
    <row r="6155" spans="1:7" x14ac:dyDescent="0.35">
      <c r="A6155" s="2">
        <v>43200</v>
      </c>
      <c r="B6155" s="70" t="s">
        <v>38</v>
      </c>
      <c r="C6155" s="10">
        <v>69</v>
      </c>
      <c r="D6155" s="10">
        <v>281</v>
      </c>
      <c r="E6155" s="10" t="s">
        <v>39</v>
      </c>
      <c r="F6155" s="10" t="s">
        <v>476</v>
      </c>
      <c r="G6155" t="s">
        <v>651</v>
      </c>
    </row>
    <row r="6156" spans="1:7" x14ac:dyDescent="0.35">
      <c r="A6156" s="2">
        <v>43200</v>
      </c>
      <c r="B6156" s="70" t="s">
        <v>38</v>
      </c>
      <c r="C6156" s="10">
        <v>63</v>
      </c>
      <c r="D6156" s="10">
        <v>180</v>
      </c>
      <c r="E6156" s="10" t="s">
        <v>33</v>
      </c>
      <c r="F6156" s="10" t="s">
        <v>476</v>
      </c>
      <c r="G6156" t="s">
        <v>651</v>
      </c>
    </row>
    <row r="6157" spans="1:7" x14ac:dyDescent="0.35">
      <c r="A6157" s="2">
        <v>43200</v>
      </c>
      <c r="B6157" s="70" t="s">
        <v>38</v>
      </c>
      <c r="C6157" s="10">
        <v>68</v>
      </c>
      <c r="D6157" s="10">
        <v>234</v>
      </c>
      <c r="E6157" s="10" t="s">
        <v>34</v>
      </c>
      <c r="F6157" s="10" t="s">
        <v>476</v>
      </c>
      <c r="G6157" t="s">
        <v>651</v>
      </c>
    </row>
    <row r="6158" spans="1:7" x14ac:dyDescent="0.35">
      <c r="A6158" s="2">
        <v>43200</v>
      </c>
      <c r="B6158" s="70" t="s">
        <v>38</v>
      </c>
      <c r="C6158" s="10">
        <v>69</v>
      </c>
      <c r="D6158" s="10">
        <v>303</v>
      </c>
      <c r="E6158" s="10" t="s">
        <v>33</v>
      </c>
      <c r="F6158" s="10" t="s">
        <v>476</v>
      </c>
      <c r="G6158" t="s">
        <v>651</v>
      </c>
    </row>
    <row r="6159" spans="1:7" x14ac:dyDescent="0.35">
      <c r="A6159" s="2">
        <v>43200</v>
      </c>
      <c r="B6159" s="70" t="s">
        <v>38</v>
      </c>
      <c r="C6159" s="10">
        <v>70</v>
      </c>
      <c r="D6159" s="10">
        <v>278</v>
      </c>
      <c r="E6159" s="10" t="s">
        <v>33</v>
      </c>
      <c r="F6159" s="10" t="s">
        <v>646</v>
      </c>
      <c r="G6159" t="s">
        <v>651</v>
      </c>
    </row>
    <row r="6160" spans="1:7" x14ac:dyDescent="0.35">
      <c r="A6160" s="2">
        <v>43200</v>
      </c>
      <c r="B6160" s="70" t="s">
        <v>38</v>
      </c>
      <c r="C6160" s="10">
        <v>70</v>
      </c>
      <c r="D6160" s="10">
        <v>315</v>
      </c>
      <c r="E6160" s="10" t="s">
        <v>33</v>
      </c>
      <c r="F6160" s="10" t="s">
        <v>293</v>
      </c>
      <c r="G6160" t="s">
        <v>651</v>
      </c>
    </row>
    <row r="6161" spans="1:7" x14ac:dyDescent="0.35">
      <c r="A6161" s="2">
        <v>43200</v>
      </c>
      <c r="B6161" s="70" t="s">
        <v>38</v>
      </c>
      <c r="C6161" s="10">
        <v>71</v>
      </c>
      <c r="D6161" s="10">
        <v>276</v>
      </c>
      <c r="E6161" s="10" t="s">
        <v>33</v>
      </c>
      <c r="F6161" s="10" t="s">
        <v>476</v>
      </c>
      <c r="G6161" t="s">
        <v>651</v>
      </c>
    </row>
    <row r="6162" spans="1:7" x14ac:dyDescent="0.35">
      <c r="A6162" s="2">
        <v>43200</v>
      </c>
      <c r="B6162" s="70" t="s">
        <v>38</v>
      </c>
      <c r="C6162" s="10">
        <v>66</v>
      </c>
      <c r="D6162" s="10">
        <v>245</v>
      </c>
      <c r="E6162" s="10" t="s">
        <v>34</v>
      </c>
      <c r="F6162" s="10" t="s">
        <v>476</v>
      </c>
      <c r="G6162" t="s">
        <v>651</v>
      </c>
    </row>
    <row r="6163" spans="1:7" x14ac:dyDescent="0.35">
      <c r="A6163" s="2">
        <v>43200</v>
      </c>
      <c r="B6163" s="70" t="s">
        <v>38</v>
      </c>
      <c r="C6163" s="10">
        <v>70</v>
      </c>
      <c r="D6163" s="10">
        <v>272</v>
      </c>
      <c r="E6163" s="10" t="s">
        <v>34</v>
      </c>
      <c r="F6163" s="10" t="s">
        <v>293</v>
      </c>
      <c r="G6163" t="s">
        <v>651</v>
      </c>
    </row>
    <row r="6164" spans="1:7" x14ac:dyDescent="0.35">
      <c r="A6164" s="2">
        <v>43200</v>
      </c>
      <c r="B6164" s="70" t="s">
        <v>38</v>
      </c>
      <c r="C6164" s="10">
        <v>71</v>
      </c>
      <c r="D6164" s="10">
        <v>298</v>
      </c>
      <c r="E6164" s="10" t="s">
        <v>33</v>
      </c>
      <c r="F6164" s="10" t="s">
        <v>293</v>
      </c>
      <c r="G6164" t="s">
        <v>651</v>
      </c>
    </row>
    <row r="6165" spans="1:7" x14ac:dyDescent="0.35">
      <c r="A6165" s="2">
        <v>43200</v>
      </c>
      <c r="B6165" s="70" t="s">
        <v>38</v>
      </c>
      <c r="C6165" s="10">
        <v>75</v>
      </c>
      <c r="D6165" s="10">
        <v>372</v>
      </c>
      <c r="E6165" s="10" t="s">
        <v>34</v>
      </c>
      <c r="F6165" s="10" t="s">
        <v>293</v>
      </c>
      <c r="G6165" t="s">
        <v>651</v>
      </c>
    </row>
    <row r="6166" spans="1:7" x14ac:dyDescent="0.35">
      <c r="A6166" s="2">
        <v>43200</v>
      </c>
      <c r="B6166" s="70" t="s">
        <v>38</v>
      </c>
      <c r="C6166" s="10">
        <v>71</v>
      </c>
      <c r="D6166" s="10">
        <v>307</v>
      </c>
      <c r="E6166" s="10" t="s">
        <v>33</v>
      </c>
      <c r="F6166" s="10" t="s">
        <v>476</v>
      </c>
      <c r="G6166" t="s">
        <v>651</v>
      </c>
    </row>
    <row r="6167" spans="1:7" x14ac:dyDescent="0.35">
      <c r="A6167" s="2">
        <v>43200</v>
      </c>
      <c r="B6167" s="70" t="s">
        <v>38</v>
      </c>
      <c r="C6167" s="10">
        <v>72</v>
      </c>
      <c r="D6167" s="10">
        <v>296</v>
      </c>
      <c r="E6167" s="10" t="s">
        <v>33</v>
      </c>
      <c r="F6167" s="10" t="s">
        <v>476</v>
      </c>
    </row>
    <row r="6168" spans="1:7" x14ac:dyDescent="0.35">
      <c r="A6168" s="2">
        <v>43200</v>
      </c>
      <c r="B6168" s="70" t="s">
        <v>38</v>
      </c>
      <c r="C6168" s="10">
        <v>72</v>
      </c>
      <c r="D6168" s="10">
        <v>269</v>
      </c>
      <c r="E6168" s="10" t="s">
        <v>34</v>
      </c>
      <c r="F6168" s="10" t="s">
        <v>476</v>
      </c>
      <c r="G6168" t="s">
        <v>651</v>
      </c>
    </row>
    <row r="6169" spans="1:7" x14ac:dyDescent="0.35">
      <c r="A6169" s="2">
        <v>43200</v>
      </c>
      <c r="B6169" s="70" t="s">
        <v>38</v>
      </c>
      <c r="C6169" s="10">
        <v>69</v>
      </c>
      <c r="D6169" s="10">
        <v>267</v>
      </c>
      <c r="E6169" s="10" t="s">
        <v>40</v>
      </c>
      <c r="F6169" s="10" t="s">
        <v>476</v>
      </c>
      <c r="G6169" t="s">
        <v>651</v>
      </c>
    </row>
    <row r="6170" spans="1:7" x14ac:dyDescent="0.35">
      <c r="A6170" s="2">
        <v>43200</v>
      </c>
      <c r="B6170" s="70" t="s">
        <v>38</v>
      </c>
      <c r="C6170" s="10">
        <v>74</v>
      </c>
      <c r="D6170" s="10">
        <v>297</v>
      </c>
      <c r="E6170" s="10" t="s">
        <v>33</v>
      </c>
      <c r="F6170" s="10" t="s">
        <v>476</v>
      </c>
      <c r="G6170" t="s">
        <v>651</v>
      </c>
    </row>
    <row r="6171" spans="1:7" x14ac:dyDescent="0.35">
      <c r="A6171" s="2">
        <v>43200</v>
      </c>
      <c r="B6171" s="70" t="s">
        <v>38</v>
      </c>
      <c r="C6171" s="10">
        <v>69</v>
      </c>
      <c r="D6171" s="10">
        <v>273</v>
      </c>
      <c r="E6171" s="10" t="s">
        <v>34</v>
      </c>
      <c r="F6171" s="10" t="s">
        <v>646</v>
      </c>
      <c r="G6171" t="s">
        <v>651</v>
      </c>
    </row>
    <row r="6172" spans="1:7" x14ac:dyDescent="0.35">
      <c r="A6172" s="2">
        <v>43200</v>
      </c>
      <c r="B6172" s="70" t="s">
        <v>38</v>
      </c>
      <c r="C6172" s="10">
        <v>69</v>
      </c>
      <c r="D6172" s="10">
        <v>237</v>
      </c>
      <c r="E6172" s="10" t="s">
        <v>33</v>
      </c>
      <c r="F6172" s="10" t="s">
        <v>476</v>
      </c>
      <c r="G6172" t="s">
        <v>651</v>
      </c>
    </row>
    <row r="6173" spans="1:7" x14ac:dyDescent="0.35">
      <c r="A6173" s="2">
        <v>43200</v>
      </c>
      <c r="B6173" s="70" t="s">
        <v>38</v>
      </c>
      <c r="C6173" s="10">
        <v>67</v>
      </c>
      <c r="D6173" s="10">
        <v>251</v>
      </c>
      <c r="E6173" s="10" t="s">
        <v>34</v>
      </c>
      <c r="F6173" s="10" t="s">
        <v>476</v>
      </c>
      <c r="G6173" t="s">
        <v>651</v>
      </c>
    </row>
    <row r="6174" spans="1:7" x14ac:dyDescent="0.35">
      <c r="A6174" s="2">
        <v>43200</v>
      </c>
      <c r="B6174" s="70" t="s">
        <v>38</v>
      </c>
      <c r="C6174" s="10">
        <v>71</v>
      </c>
      <c r="D6174" s="10">
        <v>268</v>
      </c>
      <c r="E6174" s="10" t="s">
        <v>33</v>
      </c>
      <c r="F6174" s="10" t="s">
        <v>646</v>
      </c>
      <c r="G6174" t="s">
        <v>651</v>
      </c>
    </row>
    <row r="6175" spans="1:7" x14ac:dyDescent="0.35">
      <c r="A6175" s="2">
        <v>43200</v>
      </c>
      <c r="B6175" s="70" t="s">
        <v>38</v>
      </c>
      <c r="C6175" s="10">
        <v>76</v>
      </c>
      <c r="D6175" s="10">
        <v>306</v>
      </c>
      <c r="E6175" s="10" t="s">
        <v>34</v>
      </c>
      <c r="F6175" s="10" t="s">
        <v>646</v>
      </c>
    </row>
    <row r="6176" spans="1:7" x14ac:dyDescent="0.35">
      <c r="A6176" s="2">
        <v>43200</v>
      </c>
      <c r="B6176" s="70" t="s">
        <v>38</v>
      </c>
      <c r="C6176" s="10">
        <v>70</v>
      </c>
      <c r="D6176" s="10">
        <v>276</v>
      </c>
      <c r="E6176" s="10" t="s">
        <v>34</v>
      </c>
      <c r="F6176" s="10" t="s">
        <v>476</v>
      </c>
      <c r="G6176" t="s">
        <v>651</v>
      </c>
    </row>
    <row r="6177" spans="1:24" x14ac:dyDescent="0.35">
      <c r="A6177" s="2">
        <v>43200</v>
      </c>
      <c r="B6177" s="70" t="s">
        <v>38</v>
      </c>
      <c r="C6177" s="10">
        <v>68</v>
      </c>
      <c r="D6177" s="10">
        <v>247</v>
      </c>
      <c r="E6177" s="10" t="s">
        <v>33</v>
      </c>
      <c r="F6177" s="10" t="s">
        <v>476</v>
      </c>
      <c r="G6177" t="s">
        <v>651</v>
      </c>
    </row>
    <row r="6178" spans="1:24" x14ac:dyDescent="0.35">
      <c r="A6178" s="2">
        <v>43200</v>
      </c>
      <c r="B6178" s="70" t="s">
        <v>38</v>
      </c>
      <c r="C6178" s="10">
        <v>73</v>
      </c>
      <c r="D6178" s="10">
        <v>349</v>
      </c>
      <c r="E6178" s="10" t="s">
        <v>34</v>
      </c>
      <c r="F6178" s="10" t="s">
        <v>476</v>
      </c>
    </row>
    <row r="6179" spans="1:24" x14ac:dyDescent="0.35">
      <c r="A6179" s="2">
        <v>43200</v>
      </c>
      <c r="B6179" s="70" t="s">
        <v>38</v>
      </c>
      <c r="C6179" s="10">
        <v>75</v>
      </c>
      <c r="D6179" s="10">
        <v>359</v>
      </c>
      <c r="E6179" s="10" t="s">
        <v>34</v>
      </c>
      <c r="F6179" s="10" t="s">
        <v>646</v>
      </c>
      <c r="G6179" t="s">
        <v>651</v>
      </c>
    </row>
    <row r="6180" spans="1:24" x14ac:dyDescent="0.35">
      <c r="A6180" s="2">
        <v>43200</v>
      </c>
      <c r="B6180" s="70" t="s">
        <v>38</v>
      </c>
      <c r="C6180" s="10">
        <v>72</v>
      </c>
      <c r="D6180" s="10">
        <v>310</v>
      </c>
      <c r="E6180" s="10" t="s">
        <v>33</v>
      </c>
      <c r="F6180" s="10" t="s">
        <v>476</v>
      </c>
      <c r="G6180" t="s">
        <v>651</v>
      </c>
    </row>
    <row r="6181" spans="1:24" x14ac:dyDescent="0.35">
      <c r="A6181" s="2">
        <v>43200</v>
      </c>
      <c r="B6181" s="70" t="s">
        <v>38</v>
      </c>
      <c r="C6181" s="10">
        <v>70</v>
      </c>
      <c r="D6181" s="10">
        <v>269</v>
      </c>
      <c r="E6181" s="10" t="s">
        <v>33</v>
      </c>
      <c r="F6181" s="10" t="s">
        <v>476</v>
      </c>
      <c r="G6181" t="s">
        <v>651</v>
      </c>
    </row>
    <row r="6182" spans="1:24" x14ac:dyDescent="0.35">
      <c r="A6182" s="2">
        <v>43200</v>
      </c>
      <c r="B6182" s="70" t="s">
        <v>38</v>
      </c>
      <c r="C6182" s="10">
        <v>72</v>
      </c>
      <c r="D6182" s="10">
        <v>303</v>
      </c>
      <c r="E6182" s="10" t="s">
        <v>34</v>
      </c>
      <c r="F6182" s="10" t="s">
        <v>293</v>
      </c>
      <c r="G6182" t="s">
        <v>651</v>
      </c>
      <c r="K6182" t="s">
        <v>697</v>
      </c>
    </row>
    <row r="6183" spans="1:24" x14ac:dyDescent="0.35">
      <c r="A6183" s="2">
        <v>43200</v>
      </c>
      <c r="B6183" s="70" t="s">
        <v>38</v>
      </c>
      <c r="C6183" s="10">
        <v>68</v>
      </c>
      <c r="D6183" s="10">
        <v>275</v>
      </c>
      <c r="E6183" s="10" t="s">
        <v>33</v>
      </c>
      <c r="F6183" s="10" t="s">
        <v>476</v>
      </c>
      <c r="G6183" t="s">
        <v>651</v>
      </c>
    </row>
    <row r="6184" spans="1:24" x14ac:dyDescent="0.35">
      <c r="A6184" s="2">
        <v>43200</v>
      </c>
      <c r="B6184" s="70" t="s">
        <v>38</v>
      </c>
      <c r="C6184" s="10">
        <v>73</v>
      </c>
      <c r="D6184" s="10">
        <v>369</v>
      </c>
      <c r="E6184" s="10" t="s">
        <v>40</v>
      </c>
      <c r="F6184" s="10" t="s">
        <v>476</v>
      </c>
      <c r="G6184" t="s">
        <v>651</v>
      </c>
    </row>
    <row r="6185" spans="1:24" x14ac:dyDescent="0.35">
      <c r="A6185" s="2">
        <v>43200</v>
      </c>
      <c r="B6185" s="70" t="s">
        <v>38</v>
      </c>
      <c r="C6185" s="10">
        <v>72</v>
      </c>
      <c r="D6185" s="10">
        <v>296</v>
      </c>
      <c r="E6185" s="10" t="s">
        <v>33</v>
      </c>
      <c r="F6185" s="10" t="s">
        <v>476</v>
      </c>
      <c r="G6185" t="s">
        <v>651</v>
      </c>
      <c r="N6185" t="s">
        <v>42</v>
      </c>
      <c r="O6185" t="s">
        <v>39</v>
      </c>
      <c r="P6185" t="s">
        <v>40</v>
      </c>
      <c r="Q6185" t="s">
        <v>36</v>
      </c>
      <c r="R6185" t="s">
        <v>33</v>
      </c>
      <c r="S6185" t="s">
        <v>34</v>
      </c>
      <c r="T6185" t="s">
        <v>32</v>
      </c>
      <c r="U6185" t="s">
        <v>37</v>
      </c>
      <c r="V6185" t="s">
        <v>159</v>
      </c>
    </row>
    <row r="6186" spans="1:24" x14ac:dyDescent="0.35">
      <c r="A6186" s="2">
        <v>43200</v>
      </c>
      <c r="B6186" s="70" t="s">
        <v>38</v>
      </c>
      <c r="C6186" s="10">
        <v>75</v>
      </c>
      <c r="D6186" s="10">
        <v>384</v>
      </c>
      <c r="E6186" s="10" t="s">
        <v>33</v>
      </c>
      <c r="F6186" s="10" t="s">
        <v>646</v>
      </c>
      <c r="G6186" t="s">
        <v>651</v>
      </c>
      <c r="N6186" s="5">
        <f>COUNTIF(E6138:E6187,"VA")</f>
        <v>0</v>
      </c>
      <c r="O6186" s="5">
        <f>COUNTIF(E6136:E6187,"VB")</f>
        <v>1</v>
      </c>
      <c r="P6186" s="5">
        <f>COUNTIF(E6137:E6187,"VIA0")</f>
        <v>3</v>
      </c>
      <c r="Q6186" s="5">
        <f>COUNTIF(E6137:E6187,"VIA1")</f>
        <v>3</v>
      </c>
      <c r="R6186" s="5">
        <f>COUNTIF(E6137:E6187,"VIA2")</f>
        <v>24</v>
      </c>
      <c r="S6186" s="5">
        <f>COUNTIF(E6137:E6187,"VIA3")</f>
        <v>18</v>
      </c>
      <c r="T6186" s="5">
        <f>COUNTIF(E6137:E6187,"VIA4")</f>
        <v>0</v>
      </c>
      <c r="U6186" s="5">
        <f>COUNTIF(E6137:E6187,"VIB")</f>
        <v>0</v>
      </c>
      <c r="V6186" s="5">
        <f>COUNTIF(E6137:E6187,"VII")</f>
        <v>1</v>
      </c>
      <c r="W6186">
        <f>AVERAGE(C6138:C6187)</f>
        <v>70.98</v>
      </c>
      <c r="X6186">
        <f>AVERAGE(D6138:D6187)</f>
        <v>292.3</v>
      </c>
    </row>
    <row r="6187" spans="1:24" s="4" customFormat="1" x14ac:dyDescent="0.35">
      <c r="A6187" s="3">
        <v>43200</v>
      </c>
      <c r="B6187" s="44" t="s">
        <v>38</v>
      </c>
      <c r="C6187" s="11">
        <v>73</v>
      </c>
      <c r="D6187" s="11">
        <v>307</v>
      </c>
      <c r="E6187" s="11" t="s">
        <v>33</v>
      </c>
      <c r="F6187" s="11" t="s">
        <v>646</v>
      </c>
      <c r="G6187" s="4" t="s">
        <v>651</v>
      </c>
      <c r="N6187" s="6">
        <f>N6186/50*100</f>
        <v>0</v>
      </c>
      <c r="O6187" s="6">
        <f t="shared" ref="O6187:V6187" si="189">O6186/50*100</f>
        <v>2</v>
      </c>
      <c r="P6187" s="6">
        <f t="shared" si="189"/>
        <v>6</v>
      </c>
      <c r="Q6187" s="6">
        <f t="shared" si="189"/>
        <v>6</v>
      </c>
      <c r="R6187" s="6">
        <f t="shared" si="189"/>
        <v>48</v>
      </c>
      <c r="S6187" s="6">
        <f t="shared" si="189"/>
        <v>36</v>
      </c>
      <c r="T6187" s="6">
        <f t="shared" si="189"/>
        <v>0</v>
      </c>
      <c r="U6187" s="6">
        <f t="shared" si="189"/>
        <v>0</v>
      </c>
      <c r="V6187" s="6">
        <f t="shared" si="189"/>
        <v>2</v>
      </c>
    </row>
    <row r="6188" spans="1:24" x14ac:dyDescent="0.35">
      <c r="A6188" s="2">
        <v>43200</v>
      </c>
      <c r="B6188" s="70" t="s">
        <v>29</v>
      </c>
      <c r="C6188" s="10">
        <v>70</v>
      </c>
      <c r="D6188" s="10">
        <v>267</v>
      </c>
      <c r="E6188" s="10" t="s">
        <v>34</v>
      </c>
      <c r="F6188" s="10" t="s">
        <v>646</v>
      </c>
      <c r="G6188" s="10" t="s">
        <v>651</v>
      </c>
    </row>
    <row r="6189" spans="1:24" x14ac:dyDescent="0.35">
      <c r="A6189" s="2">
        <v>43200</v>
      </c>
      <c r="B6189" s="70" t="s">
        <v>29</v>
      </c>
      <c r="C6189" s="10">
        <v>74</v>
      </c>
      <c r="D6189" s="10">
        <v>265</v>
      </c>
      <c r="E6189" s="10" t="s">
        <v>32</v>
      </c>
      <c r="F6189" s="10" t="s">
        <v>476</v>
      </c>
      <c r="G6189" s="10" t="s">
        <v>651</v>
      </c>
    </row>
    <row r="6190" spans="1:24" x14ac:dyDescent="0.35">
      <c r="A6190" s="2">
        <v>43200</v>
      </c>
      <c r="B6190" s="70" t="s">
        <v>29</v>
      </c>
      <c r="C6190" s="10">
        <v>73</v>
      </c>
      <c r="D6190" s="10">
        <v>314</v>
      </c>
      <c r="E6190" s="10" t="s">
        <v>32</v>
      </c>
      <c r="F6190" s="10" t="s">
        <v>646</v>
      </c>
      <c r="G6190" s="10" t="s">
        <v>651</v>
      </c>
      <c r="J6190" t="s">
        <v>698</v>
      </c>
    </row>
    <row r="6191" spans="1:24" x14ac:dyDescent="0.35">
      <c r="A6191" s="2">
        <v>43200</v>
      </c>
      <c r="B6191" s="70" t="s">
        <v>29</v>
      </c>
      <c r="C6191" s="10">
        <v>77</v>
      </c>
      <c r="D6191" s="10">
        <v>431</v>
      </c>
      <c r="E6191" s="10" t="s">
        <v>33</v>
      </c>
      <c r="F6191" s="10" t="s">
        <v>476</v>
      </c>
      <c r="G6191" s="10"/>
    </row>
    <row r="6192" spans="1:24" x14ac:dyDescent="0.35">
      <c r="A6192" s="2">
        <v>43200</v>
      </c>
      <c r="B6192" s="70" t="s">
        <v>29</v>
      </c>
      <c r="C6192" s="10">
        <v>72</v>
      </c>
      <c r="D6192" s="10">
        <v>259</v>
      </c>
      <c r="E6192" s="10" t="s">
        <v>33</v>
      </c>
      <c r="F6192" s="10" t="s">
        <v>476</v>
      </c>
      <c r="G6192" s="10" t="s">
        <v>651</v>
      </c>
    </row>
    <row r="6193" spans="1:10" x14ac:dyDescent="0.35">
      <c r="A6193" s="2">
        <v>43200</v>
      </c>
      <c r="B6193" s="70" t="s">
        <v>29</v>
      </c>
      <c r="C6193" s="10">
        <v>69</v>
      </c>
      <c r="D6193" s="10">
        <v>277</v>
      </c>
      <c r="E6193" s="10" t="s">
        <v>39</v>
      </c>
      <c r="F6193" s="10" t="s">
        <v>476</v>
      </c>
      <c r="G6193" s="10" t="s">
        <v>651</v>
      </c>
      <c r="I6193" t="s">
        <v>699</v>
      </c>
    </row>
    <row r="6194" spans="1:10" x14ac:dyDescent="0.35">
      <c r="A6194" s="2">
        <v>43200</v>
      </c>
      <c r="B6194" s="70" t="s">
        <v>29</v>
      </c>
      <c r="C6194" s="10">
        <v>72</v>
      </c>
      <c r="D6194" s="10">
        <v>257</v>
      </c>
      <c r="E6194" s="10" t="s">
        <v>40</v>
      </c>
      <c r="F6194" s="10" t="s">
        <v>476</v>
      </c>
      <c r="G6194" s="10" t="s">
        <v>651</v>
      </c>
    </row>
    <row r="6195" spans="1:10" x14ac:dyDescent="0.35">
      <c r="A6195" s="2">
        <v>43200</v>
      </c>
      <c r="B6195" s="70" t="s">
        <v>29</v>
      </c>
      <c r="C6195" s="10">
        <v>77</v>
      </c>
      <c r="D6195" s="10">
        <v>409</v>
      </c>
      <c r="E6195" s="10" t="s">
        <v>33</v>
      </c>
      <c r="F6195" s="10" t="s">
        <v>293</v>
      </c>
      <c r="G6195" s="10" t="s">
        <v>651</v>
      </c>
    </row>
    <row r="6196" spans="1:10" x14ac:dyDescent="0.35">
      <c r="A6196" s="2">
        <v>43200</v>
      </c>
      <c r="B6196" s="70" t="s">
        <v>29</v>
      </c>
      <c r="C6196" s="10">
        <v>63</v>
      </c>
      <c r="D6196" s="10">
        <v>207</v>
      </c>
      <c r="E6196" s="10" t="s">
        <v>34</v>
      </c>
      <c r="F6196" s="10" t="s">
        <v>646</v>
      </c>
      <c r="G6196" s="10" t="s">
        <v>651</v>
      </c>
    </row>
    <row r="6197" spans="1:10" x14ac:dyDescent="0.35">
      <c r="A6197" s="2">
        <v>43200</v>
      </c>
      <c r="B6197" s="70" t="s">
        <v>29</v>
      </c>
      <c r="C6197" s="10">
        <v>68</v>
      </c>
      <c r="D6197" s="10">
        <v>248</v>
      </c>
      <c r="E6197" s="10" t="s">
        <v>33</v>
      </c>
      <c r="F6197" s="10" t="s">
        <v>646</v>
      </c>
      <c r="G6197" s="10" t="s">
        <v>651</v>
      </c>
    </row>
    <row r="6198" spans="1:10" x14ac:dyDescent="0.35">
      <c r="A6198" s="2">
        <v>43200</v>
      </c>
      <c r="B6198" s="70" t="s">
        <v>29</v>
      </c>
      <c r="C6198" s="10">
        <v>67</v>
      </c>
      <c r="D6198" s="10">
        <v>233</v>
      </c>
      <c r="E6198" s="10" t="s">
        <v>33</v>
      </c>
      <c r="F6198" s="10" t="s">
        <v>293</v>
      </c>
      <c r="G6198" s="10" t="s">
        <v>651</v>
      </c>
      <c r="I6198" t="s">
        <v>475</v>
      </c>
      <c r="J6198" t="s">
        <v>700</v>
      </c>
    </row>
    <row r="6199" spans="1:10" x14ac:dyDescent="0.35">
      <c r="A6199" s="2">
        <v>43200</v>
      </c>
      <c r="B6199" s="70" t="s">
        <v>29</v>
      </c>
      <c r="C6199" s="10">
        <v>67</v>
      </c>
      <c r="D6199" s="10">
        <v>253</v>
      </c>
      <c r="E6199" s="10" t="s">
        <v>34</v>
      </c>
      <c r="F6199" s="10" t="s">
        <v>476</v>
      </c>
      <c r="G6199" s="10" t="s">
        <v>651</v>
      </c>
    </row>
    <row r="6200" spans="1:10" x14ac:dyDescent="0.35">
      <c r="A6200" s="2">
        <v>43200</v>
      </c>
      <c r="B6200" s="70" t="s">
        <v>29</v>
      </c>
      <c r="C6200" s="10">
        <v>73</v>
      </c>
      <c r="D6200" s="10">
        <v>296</v>
      </c>
      <c r="E6200" s="10" t="s">
        <v>34</v>
      </c>
      <c r="F6200" s="10" t="s">
        <v>476</v>
      </c>
      <c r="G6200" s="10" t="s">
        <v>651</v>
      </c>
    </row>
    <row r="6201" spans="1:10" x14ac:dyDescent="0.35">
      <c r="A6201" s="2">
        <v>43200</v>
      </c>
      <c r="B6201" s="70" t="s">
        <v>29</v>
      </c>
      <c r="C6201" s="10">
        <v>72</v>
      </c>
      <c r="D6201" s="10">
        <v>315</v>
      </c>
      <c r="E6201" s="10" t="s">
        <v>32</v>
      </c>
      <c r="F6201" s="10" t="s">
        <v>646</v>
      </c>
      <c r="G6201" s="10" t="s">
        <v>651</v>
      </c>
    </row>
    <row r="6202" spans="1:10" x14ac:dyDescent="0.35">
      <c r="A6202" s="2">
        <v>43200</v>
      </c>
      <c r="B6202" s="70" t="s">
        <v>29</v>
      </c>
      <c r="C6202" s="10">
        <v>71</v>
      </c>
      <c r="D6202" s="10">
        <v>289</v>
      </c>
      <c r="E6202" s="10" t="s">
        <v>33</v>
      </c>
      <c r="F6202" s="10" t="s">
        <v>476</v>
      </c>
      <c r="G6202" s="10" t="s">
        <v>651</v>
      </c>
    </row>
    <row r="6203" spans="1:10" x14ac:dyDescent="0.35">
      <c r="A6203" s="2">
        <v>43200</v>
      </c>
      <c r="B6203" s="70" t="s">
        <v>29</v>
      </c>
      <c r="C6203" s="10">
        <v>65</v>
      </c>
      <c r="D6203" s="10">
        <v>253</v>
      </c>
      <c r="E6203" s="10" t="s">
        <v>34</v>
      </c>
      <c r="F6203" s="10" t="s">
        <v>646</v>
      </c>
      <c r="G6203" s="10" t="s">
        <v>651</v>
      </c>
    </row>
    <row r="6204" spans="1:10" x14ac:dyDescent="0.35">
      <c r="A6204" s="2">
        <v>43200</v>
      </c>
      <c r="B6204" s="70" t="s">
        <v>29</v>
      </c>
      <c r="C6204" s="10">
        <v>65</v>
      </c>
      <c r="D6204" s="10">
        <v>228</v>
      </c>
      <c r="E6204" s="10" t="s">
        <v>33</v>
      </c>
      <c r="F6204" s="10" t="s">
        <v>476</v>
      </c>
      <c r="G6204" s="10" t="s">
        <v>651</v>
      </c>
    </row>
    <row r="6205" spans="1:10" x14ac:dyDescent="0.35">
      <c r="A6205" s="2">
        <v>43200</v>
      </c>
      <c r="B6205" s="70" t="s">
        <v>29</v>
      </c>
      <c r="C6205" s="10">
        <v>68</v>
      </c>
      <c r="D6205" s="10">
        <v>208</v>
      </c>
      <c r="E6205" s="10" t="s">
        <v>33</v>
      </c>
      <c r="F6205" s="10" t="s">
        <v>293</v>
      </c>
      <c r="G6205" s="10" t="s">
        <v>651</v>
      </c>
    </row>
    <row r="6206" spans="1:10" x14ac:dyDescent="0.35">
      <c r="A6206" s="2">
        <v>43200</v>
      </c>
      <c r="B6206" s="70" t="s">
        <v>29</v>
      </c>
      <c r="C6206" s="10">
        <v>75</v>
      </c>
      <c r="D6206" s="10">
        <v>341</v>
      </c>
      <c r="E6206" s="10" t="s">
        <v>34</v>
      </c>
      <c r="F6206" s="10" t="s">
        <v>476</v>
      </c>
      <c r="G6206" s="10" t="s">
        <v>651</v>
      </c>
    </row>
    <row r="6207" spans="1:10" x14ac:dyDescent="0.35">
      <c r="A6207" s="2">
        <v>43200</v>
      </c>
      <c r="B6207" s="70" t="s">
        <v>29</v>
      </c>
      <c r="C6207" s="10">
        <v>72</v>
      </c>
      <c r="D6207" s="10">
        <v>295</v>
      </c>
      <c r="E6207" s="10" t="s">
        <v>36</v>
      </c>
      <c r="F6207" s="10" t="s">
        <v>476</v>
      </c>
      <c r="G6207" s="10" t="s">
        <v>651</v>
      </c>
    </row>
    <row r="6208" spans="1:10" x14ac:dyDescent="0.35">
      <c r="A6208" s="2">
        <v>43200</v>
      </c>
      <c r="B6208" s="70" t="s">
        <v>29</v>
      </c>
      <c r="C6208" s="10">
        <v>71</v>
      </c>
      <c r="D6208" s="10">
        <v>275</v>
      </c>
      <c r="E6208" s="10" t="s">
        <v>36</v>
      </c>
      <c r="F6208" s="10" t="s">
        <v>646</v>
      </c>
      <c r="G6208" s="10" t="s">
        <v>651</v>
      </c>
    </row>
    <row r="6209" spans="1:9" x14ac:dyDescent="0.35">
      <c r="A6209" s="2">
        <v>43200</v>
      </c>
      <c r="B6209" s="70" t="s">
        <v>29</v>
      </c>
      <c r="C6209" s="10">
        <v>70</v>
      </c>
      <c r="D6209" s="10">
        <v>320</v>
      </c>
      <c r="E6209" s="10" t="s">
        <v>34</v>
      </c>
      <c r="F6209" s="10" t="s">
        <v>646</v>
      </c>
      <c r="G6209" s="10" t="s">
        <v>651</v>
      </c>
    </row>
    <row r="6210" spans="1:9" x14ac:dyDescent="0.35">
      <c r="A6210" s="2">
        <v>43200</v>
      </c>
      <c r="B6210" s="70" t="s">
        <v>29</v>
      </c>
      <c r="C6210" s="10">
        <v>77</v>
      </c>
      <c r="D6210" s="10">
        <v>404</v>
      </c>
      <c r="E6210" s="10" t="s">
        <v>33</v>
      </c>
      <c r="F6210" s="10" t="s">
        <v>646</v>
      </c>
      <c r="G6210" s="10" t="s">
        <v>651</v>
      </c>
      <c r="I6210" t="s">
        <v>475</v>
      </c>
    </row>
    <row r="6211" spans="1:9" x14ac:dyDescent="0.35">
      <c r="A6211" s="2">
        <v>43200</v>
      </c>
      <c r="B6211" s="70" t="s">
        <v>29</v>
      </c>
      <c r="C6211" s="10">
        <v>71</v>
      </c>
      <c r="D6211" s="10">
        <v>319</v>
      </c>
      <c r="E6211" s="10" t="s">
        <v>34</v>
      </c>
      <c r="F6211" s="10" t="s">
        <v>646</v>
      </c>
      <c r="G6211" s="10" t="s">
        <v>651</v>
      </c>
    </row>
    <row r="6212" spans="1:9" x14ac:dyDescent="0.35">
      <c r="A6212" s="2">
        <v>43200</v>
      </c>
      <c r="B6212" s="70" t="s">
        <v>29</v>
      </c>
      <c r="C6212" s="10">
        <v>72</v>
      </c>
      <c r="D6212" s="10">
        <v>289</v>
      </c>
      <c r="E6212" s="10" t="s">
        <v>34</v>
      </c>
      <c r="F6212" s="10" t="s">
        <v>646</v>
      </c>
      <c r="G6212" s="10" t="s">
        <v>651</v>
      </c>
    </row>
    <row r="6213" spans="1:9" x14ac:dyDescent="0.35">
      <c r="A6213" s="2">
        <v>43200</v>
      </c>
      <c r="B6213" s="70" t="s">
        <v>29</v>
      </c>
      <c r="C6213" s="10">
        <v>72</v>
      </c>
      <c r="D6213" s="10">
        <v>302</v>
      </c>
      <c r="E6213" s="10" t="s">
        <v>40</v>
      </c>
      <c r="F6213" s="10" t="s">
        <v>646</v>
      </c>
      <c r="G6213" s="10" t="s">
        <v>651</v>
      </c>
    </row>
    <row r="6214" spans="1:9" x14ac:dyDescent="0.35">
      <c r="A6214" s="2">
        <v>43200</v>
      </c>
      <c r="B6214" s="70" t="s">
        <v>29</v>
      </c>
      <c r="C6214" s="10">
        <v>72</v>
      </c>
      <c r="D6214" s="10">
        <v>315</v>
      </c>
      <c r="E6214" s="10" t="s">
        <v>33</v>
      </c>
      <c r="F6214" s="10" t="s">
        <v>476</v>
      </c>
      <c r="G6214" s="10" t="s">
        <v>651</v>
      </c>
    </row>
    <row r="6215" spans="1:9" x14ac:dyDescent="0.35">
      <c r="A6215" s="2">
        <v>43200</v>
      </c>
      <c r="B6215" s="70" t="s">
        <v>29</v>
      </c>
      <c r="C6215" s="10">
        <v>73</v>
      </c>
      <c r="D6215" s="10">
        <v>297</v>
      </c>
      <c r="E6215" s="10" t="s">
        <v>36</v>
      </c>
      <c r="F6215" s="10" t="s">
        <v>476</v>
      </c>
      <c r="G6215" s="10" t="s">
        <v>651</v>
      </c>
    </row>
    <row r="6216" spans="1:9" x14ac:dyDescent="0.35">
      <c r="A6216" s="2">
        <v>43200</v>
      </c>
      <c r="B6216" s="70" t="s">
        <v>29</v>
      </c>
      <c r="C6216" s="10">
        <v>74</v>
      </c>
      <c r="D6216" s="10">
        <v>328</v>
      </c>
      <c r="E6216" s="10" t="s">
        <v>34</v>
      </c>
      <c r="F6216" s="10" t="s">
        <v>293</v>
      </c>
      <c r="G6216" s="10" t="s">
        <v>651</v>
      </c>
    </row>
    <row r="6217" spans="1:9" x14ac:dyDescent="0.35">
      <c r="A6217" s="2">
        <v>43200</v>
      </c>
      <c r="B6217" s="70" t="s">
        <v>29</v>
      </c>
      <c r="C6217" s="10">
        <v>70</v>
      </c>
      <c r="D6217" s="10">
        <v>250</v>
      </c>
      <c r="E6217" s="10" t="s">
        <v>34</v>
      </c>
      <c r="F6217" s="10" t="s">
        <v>646</v>
      </c>
      <c r="G6217" s="10" t="s">
        <v>651</v>
      </c>
    </row>
    <row r="6218" spans="1:9" x14ac:dyDescent="0.35">
      <c r="A6218" s="2">
        <v>43200</v>
      </c>
      <c r="B6218" s="70" t="s">
        <v>29</v>
      </c>
      <c r="C6218" s="10">
        <v>69</v>
      </c>
      <c r="D6218" s="10">
        <v>289</v>
      </c>
      <c r="E6218" s="10" t="s">
        <v>34</v>
      </c>
      <c r="F6218" s="10" t="s">
        <v>646</v>
      </c>
      <c r="G6218" s="10" t="s">
        <v>651</v>
      </c>
    </row>
    <row r="6219" spans="1:9" x14ac:dyDescent="0.35">
      <c r="A6219" s="2">
        <v>43200</v>
      </c>
      <c r="B6219" s="70" t="s">
        <v>29</v>
      </c>
      <c r="C6219" s="10">
        <v>68</v>
      </c>
      <c r="D6219" s="10">
        <v>226</v>
      </c>
      <c r="E6219" s="10" t="s">
        <v>34</v>
      </c>
      <c r="F6219" s="10" t="s">
        <v>646</v>
      </c>
      <c r="G6219" s="10" t="s">
        <v>651</v>
      </c>
    </row>
    <row r="6220" spans="1:9" x14ac:dyDescent="0.35">
      <c r="A6220" s="2">
        <v>43200</v>
      </c>
      <c r="B6220" s="70" t="s">
        <v>29</v>
      </c>
      <c r="C6220" s="10">
        <v>67</v>
      </c>
      <c r="D6220" s="10">
        <v>214</v>
      </c>
      <c r="E6220" s="10" t="s">
        <v>32</v>
      </c>
      <c r="F6220" s="10" t="s">
        <v>646</v>
      </c>
      <c r="G6220" s="10" t="s">
        <v>651</v>
      </c>
    </row>
    <row r="6221" spans="1:9" x14ac:dyDescent="0.35">
      <c r="A6221" s="2">
        <v>43200</v>
      </c>
      <c r="B6221" s="70" t="s">
        <v>29</v>
      </c>
      <c r="C6221" s="10">
        <v>69</v>
      </c>
      <c r="D6221" s="10">
        <v>237</v>
      </c>
      <c r="E6221" s="10" t="s">
        <v>33</v>
      </c>
      <c r="F6221" s="10" t="s">
        <v>476</v>
      </c>
      <c r="G6221" s="10" t="s">
        <v>651</v>
      </c>
    </row>
    <row r="6222" spans="1:9" x14ac:dyDescent="0.35">
      <c r="A6222" s="2">
        <v>43200</v>
      </c>
      <c r="B6222" s="70" t="s">
        <v>29</v>
      </c>
      <c r="C6222" s="10">
        <v>66</v>
      </c>
      <c r="D6222" s="10">
        <v>230</v>
      </c>
      <c r="E6222" s="10" t="s">
        <v>34</v>
      </c>
      <c r="F6222" s="10" t="s">
        <v>476</v>
      </c>
      <c r="G6222" s="10" t="s">
        <v>651</v>
      </c>
    </row>
    <row r="6223" spans="1:9" x14ac:dyDescent="0.35">
      <c r="A6223" s="2">
        <v>43200</v>
      </c>
      <c r="B6223" s="70" t="s">
        <v>29</v>
      </c>
      <c r="C6223" s="10">
        <v>69</v>
      </c>
      <c r="D6223" s="10">
        <v>229</v>
      </c>
      <c r="E6223" s="10" t="s">
        <v>34</v>
      </c>
      <c r="F6223" s="10" t="s">
        <v>646</v>
      </c>
      <c r="G6223" s="10" t="s">
        <v>651</v>
      </c>
    </row>
    <row r="6224" spans="1:9" x14ac:dyDescent="0.35">
      <c r="A6224" s="2">
        <v>43200</v>
      </c>
      <c r="B6224" s="70" t="s">
        <v>29</v>
      </c>
      <c r="C6224" s="10">
        <v>68</v>
      </c>
      <c r="D6224" s="10">
        <v>291</v>
      </c>
      <c r="E6224" s="10" t="s">
        <v>33</v>
      </c>
      <c r="F6224" s="10" t="s">
        <v>646</v>
      </c>
      <c r="G6224" s="10" t="s">
        <v>651</v>
      </c>
      <c r="I6224" t="s">
        <v>700</v>
      </c>
    </row>
    <row r="6225" spans="1:24" x14ac:dyDescent="0.35">
      <c r="A6225" s="2">
        <v>43200</v>
      </c>
      <c r="B6225" s="70" t="s">
        <v>29</v>
      </c>
      <c r="C6225" s="10">
        <v>72</v>
      </c>
      <c r="D6225" s="10">
        <v>326</v>
      </c>
      <c r="E6225" s="10" t="s">
        <v>34</v>
      </c>
      <c r="F6225" s="10" t="s">
        <v>646</v>
      </c>
      <c r="G6225" s="10" t="s">
        <v>651</v>
      </c>
      <c r="I6225" t="s">
        <v>498</v>
      </c>
    </row>
    <row r="6226" spans="1:24" x14ac:dyDescent="0.35">
      <c r="A6226" s="2">
        <v>43200</v>
      </c>
      <c r="B6226" s="70" t="s">
        <v>29</v>
      </c>
      <c r="C6226" s="10">
        <v>79</v>
      </c>
      <c r="D6226" s="10">
        <v>417</v>
      </c>
      <c r="E6226" s="10" t="s">
        <v>33</v>
      </c>
      <c r="F6226" s="10" t="s">
        <v>646</v>
      </c>
      <c r="G6226" s="10" t="s">
        <v>651</v>
      </c>
    </row>
    <row r="6227" spans="1:24" x14ac:dyDescent="0.35">
      <c r="A6227" s="2">
        <v>43200</v>
      </c>
      <c r="B6227" s="70" t="s">
        <v>29</v>
      </c>
      <c r="C6227" s="10">
        <v>70</v>
      </c>
      <c r="D6227" s="10">
        <v>258</v>
      </c>
      <c r="E6227" s="10" t="s">
        <v>33</v>
      </c>
      <c r="F6227" s="10" t="s">
        <v>476</v>
      </c>
      <c r="G6227" s="10" t="s">
        <v>651</v>
      </c>
    </row>
    <row r="6228" spans="1:24" x14ac:dyDescent="0.35">
      <c r="A6228" s="2">
        <v>43200</v>
      </c>
      <c r="B6228" s="70" t="s">
        <v>29</v>
      </c>
      <c r="C6228" s="10">
        <v>70</v>
      </c>
      <c r="D6228" s="10">
        <v>294</v>
      </c>
      <c r="E6228" s="10" t="s">
        <v>33</v>
      </c>
      <c r="F6228" s="10" t="s">
        <v>476</v>
      </c>
      <c r="G6228" s="10" t="s">
        <v>651</v>
      </c>
    </row>
    <row r="6229" spans="1:24" x14ac:dyDescent="0.35">
      <c r="A6229" s="2">
        <v>43200</v>
      </c>
      <c r="B6229" s="70" t="s">
        <v>29</v>
      </c>
      <c r="C6229" s="10">
        <v>70</v>
      </c>
      <c r="D6229" s="10">
        <v>240</v>
      </c>
      <c r="E6229" s="10" t="s">
        <v>33</v>
      </c>
      <c r="F6229" s="10" t="s">
        <v>646</v>
      </c>
      <c r="G6229" s="10" t="s">
        <v>651</v>
      </c>
    </row>
    <row r="6230" spans="1:24" x14ac:dyDescent="0.35">
      <c r="A6230" s="2">
        <v>43200</v>
      </c>
      <c r="B6230" s="70" t="s">
        <v>29</v>
      </c>
      <c r="C6230" s="10">
        <v>65</v>
      </c>
      <c r="D6230" s="10">
        <v>227</v>
      </c>
      <c r="E6230" s="10" t="s">
        <v>33</v>
      </c>
      <c r="F6230" s="10" t="s">
        <v>646</v>
      </c>
      <c r="G6230" s="10" t="s">
        <v>651</v>
      </c>
    </row>
    <row r="6231" spans="1:24" x14ac:dyDescent="0.35">
      <c r="A6231" s="2">
        <v>43200</v>
      </c>
      <c r="B6231" s="70" t="s">
        <v>29</v>
      </c>
      <c r="C6231" s="10">
        <v>69</v>
      </c>
      <c r="D6231" s="10">
        <v>273</v>
      </c>
      <c r="E6231" s="10" t="s">
        <v>33</v>
      </c>
      <c r="F6231" s="10" t="s">
        <v>476</v>
      </c>
      <c r="G6231" s="10" t="s">
        <v>651</v>
      </c>
      <c r="N6231" t="s">
        <v>42</v>
      </c>
      <c r="O6231" t="s">
        <v>39</v>
      </c>
      <c r="P6231" t="s">
        <v>40</v>
      </c>
      <c r="Q6231" t="s">
        <v>36</v>
      </c>
      <c r="R6231" t="s">
        <v>33</v>
      </c>
      <c r="S6231" t="s">
        <v>34</v>
      </c>
      <c r="T6231" t="s">
        <v>32</v>
      </c>
      <c r="U6231" t="s">
        <v>37</v>
      </c>
      <c r="V6231" t="s">
        <v>159</v>
      </c>
    </row>
    <row r="6232" spans="1:24" x14ac:dyDescent="0.35">
      <c r="A6232" s="2">
        <v>43200</v>
      </c>
      <c r="B6232" s="70" t="s">
        <v>29</v>
      </c>
      <c r="C6232" s="10">
        <v>71</v>
      </c>
      <c r="D6232" s="10">
        <v>321</v>
      </c>
      <c r="E6232" s="10" t="s">
        <v>36</v>
      </c>
      <c r="F6232" s="10" t="s">
        <v>476</v>
      </c>
      <c r="G6232" s="10"/>
      <c r="N6232">
        <f>N6236+N6186</f>
        <v>0</v>
      </c>
      <c r="O6232">
        <f t="shared" ref="O6232:V6232" si="190">O6236+O6186</f>
        <v>2</v>
      </c>
      <c r="P6232">
        <f t="shared" si="190"/>
        <v>5</v>
      </c>
      <c r="Q6232">
        <f t="shared" si="190"/>
        <v>8</v>
      </c>
      <c r="R6232">
        <f t="shared" si="190"/>
        <v>46</v>
      </c>
      <c r="S6232">
        <f t="shared" si="190"/>
        <v>34</v>
      </c>
      <c r="T6232">
        <f t="shared" si="190"/>
        <v>4</v>
      </c>
      <c r="U6232">
        <f t="shared" si="190"/>
        <v>0</v>
      </c>
      <c r="V6232">
        <f t="shared" si="190"/>
        <v>1</v>
      </c>
      <c r="W6232">
        <f>AVERAGE(C6138:C6237)</f>
        <v>70.760000000000005</v>
      </c>
      <c r="X6232">
        <f>AVERAGE(D6138:D6237)</f>
        <v>286.88</v>
      </c>
    </row>
    <row r="6233" spans="1:24" x14ac:dyDescent="0.35">
      <c r="A6233" s="2">
        <v>43200</v>
      </c>
      <c r="B6233" s="70" t="s">
        <v>29</v>
      </c>
      <c r="C6233" s="10">
        <v>71</v>
      </c>
      <c r="D6233" s="10">
        <v>331</v>
      </c>
      <c r="E6233" s="10" t="s">
        <v>33</v>
      </c>
      <c r="F6233" s="10" t="s">
        <v>646</v>
      </c>
      <c r="G6233" s="10" t="s">
        <v>651</v>
      </c>
    </row>
    <row r="6234" spans="1:24" x14ac:dyDescent="0.35">
      <c r="A6234" s="2">
        <v>43200</v>
      </c>
      <c r="B6234" s="70" t="s">
        <v>29</v>
      </c>
      <c r="C6234" s="10">
        <v>71</v>
      </c>
      <c r="D6234" s="10">
        <v>236</v>
      </c>
      <c r="E6234" s="10" t="s">
        <v>33</v>
      </c>
      <c r="F6234" s="10" t="s">
        <v>646</v>
      </c>
      <c r="G6234" s="10" t="s">
        <v>651</v>
      </c>
    </row>
    <row r="6235" spans="1:24" x14ac:dyDescent="0.35">
      <c r="A6235" s="2">
        <v>43200</v>
      </c>
      <c r="B6235" s="70" t="s">
        <v>29</v>
      </c>
      <c r="C6235" s="10">
        <v>70</v>
      </c>
      <c r="D6235" s="10">
        <v>230</v>
      </c>
      <c r="E6235" s="10" t="s">
        <v>33</v>
      </c>
      <c r="F6235" s="10" t="s">
        <v>646</v>
      </c>
      <c r="G6235" s="10" t="s">
        <v>651</v>
      </c>
      <c r="N6235" t="s">
        <v>42</v>
      </c>
      <c r="O6235" t="s">
        <v>39</v>
      </c>
      <c r="P6235" t="s">
        <v>40</v>
      </c>
      <c r="Q6235" t="s">
        <v>36</v>
      </c>
      <c r="R6235" t="s">
        <v>33</v>
      </c>
      <c r="S6235" t="s">
        <v>34</v>
      </c>
      <c r="T6235" t="s">
        <v>32</v>
      </c>
      <c r="U6235" t="s">
        <v>37</v>
      </c>
      <c r="V6235" t="s">
        <v>159</v>
      </c>
    </row>
    <row r="6236" spans="1:24" x14ac:dyDescent="0.35">
      <c r="A6236" s="2">
        <v>43200</v>
      </c>
      <c r="B6236" s="70" t="s">
        <v>29</v>
      </c>
      <c r="C6236" s="10">
        <v>70</v>
      </c>
      <c r="D6236" s="10">
        <v>198</v>
      </c>
      <c r="E6236" s="10" t="s">
        <v>33</v>
      </c>
      <c r="F6236" s="10" t="s">
        <v>476</v>
      </c>
      <c r="G6236" s="10" t="s">
        <v>651</v>
      </c>
      <c r="N6236" s="5">
        <f>COUNTIF(E6188:E6237,"VA")</f>
        <v>0</v>
      </c>
      <c r="O6236" s="5">
        <f>COUNTIF(E6188:E6237,"VB")</f>
        <v>1</v>
      </c>
      <c r="P6236" s="5">
        <f>COUNTIF(E6188:E6237,"VIA0")</f>
        <v>2</v>
      </c>
      <c r="Q6236" s="5">
        <f>COUNTIF(E6188:E6237,"VIA1")</f>
        <v>5</v>
      </c>
      <c r="R6236" s="5">
        <f>COUNTIF(E6188:E6237,"VIA2")</f>
        <v>22</v>
      </c>
      <c r="S6236" s="5">
        <f>COUNTIF(E6188:E6237,"VIA3")</f>
        <v>16</v>
      </c>
      <c r="T6236" s="5">
        <f>COUNTIF(E6188:E6237,"VIA4")</f>
        <v>4</v>
      </c>
      <c r="U6236" s="5">
        <f>COUNTIF(E6188:E6237,"VIB")</f>
        <v>0</v>
      </c>
      <c r="V6236" s="5">
        <f>COUNTIF(E6187:E6237,"VII")</f>
        <v>0</v>
      </c>
      <c r="W6236">
        <f>AVERAGE(C6188:C6237)</f>
        <v>70.540000000000006</v>
      </c>
      <c r="X6236">
        <f>AVERAGE(D6188:D6237)</f>
        <v>281.45999999999998</v>
      </c>
    </row>
    <row r="6237" spans="1:24" s="4" customFormat="1" x14ac:dyDescent="0.35">
      <c r="A6237" s="3">
        <v>43200</v>
      </c>
      <c r="B6237" s="44" t="s">
        <v>29</v>
      </c>
      <c r="C6237" s="11">
        <v>71</v>
      </c>
      <c r="D6237" s="11">
        <v>262</v>
      </c>
      <c r="E6237" s="11" t="s">
        <v>36</v>
      </c>
      <c r="F6237" s="11" t="s">
        <v>646</v>
      </c>
      <c r="G6237" s="11" t="s">
        <v>651</v>
      </c>
      <c r="N6237" s="6">
        <f>N6236/50*100</f>
        <v>0</v>
      </c>
      <c r="O6237" s="6">
        <f t="shared" ref="O6237" si="191">O6236/50*100</f>
        <v>2</v>
      </c>
      <c r="P6237" s="6">
        <f t="shared" ref="P6237" si="192">P6236/50*100</f>
        <v>4</v>
      </c>
      <c r="Q6237" s="6">
        <f t="shared" ref="Q6237" si="193">Q6236/50*100</f>
        <v>10</v>
      </c>
      <c r="R6237" s="6">
        <f t="shared" ref="R6237" si="194">R6236/50*100</f>
        <v>44</v>
      </c>
      <c r="S6237" s="6">
        <f t="shared" ref="S6237" si="195">S6236/50*100</f>
        <v>32</v>
      </c>
      <c r="T6237" s="6">
        <f t="shared" ref="T6237" si="196">T6236/50*100</f>
        <v>8</v>
      </c>
      <c r="U6237" s="6">
        <f t="shared" ref="U6237" si="197">U6236/50*100</f>
        <v>0</v>
      </c>
      <c r="V6237" s="6">
        <f t="shared" ref="V6237" si="198">V6236/50*100</f>
        <v>0</v>
      </c>
    </row>
    <row r="6238" spans="1:24" x14ac:dyDescent="0.35">
      <c r="A6238" s="2">
        <v>43200</v>
      </c>
      <c r="B6238" s="36" t="s">
        <v>668</v>
      </c>
      <c r="C6238" s="10">
        <v>65</v>
      </c>
      <c r="D6238" s="10">
        <v>274</v>
      </c>
      <c r="E6238" s="10" t="s">
        <v>39</v>
      </c>
      <c r="F6238" s="10" t="s">
        <v>646</v>
      </c>
    </row>
    <row r="6239" spans="1:24" x14ac:dyDescent="0.35">
      <c r="A6239" s="2">
        <v>43200</v>
      </c>
      <c r="B6239" s="36" t="s">
        <v>668</v>
      </c>
      <c r="C6239" s="10">
        <v>67</v>
      </c>
      <c r="D6239" s="10">
        <v>283</v>
      </c>
      <c r="E6239" s="10" t="s">
        <v>39</v>
      </c>
      <c r="F6239" s="10" t="s">
        <v>646</v>
      </c>
    </row>
    <row r="6240" spans="1:24" x14ac:dyDescent="0.35">
      <c r="A6240" s="2">
        <v>43200</v>
      </c>
      <c r="B6240" s="36" t="s">
        <v>668</v>
      </c>
      <c r="C6240" s="10">
        <v>71</v>
      </c>
      <c r="D6240" s="10">
        <v>289</v>
      </c>
      <c r="E6240" s="10" t="s">
        <v>33</v>
      </c>
      <c r="F6240" s="10" t="s">
        <v>646</v>
      </c>
      <c r="G6240" t="s">
        <v>651</v>
      </c>
    </row>
    <row r="6241" spans="1:7" x14ac:dyDescent="0.35">
      <c r="A6241" s="2">
        <v>43200</v>
      </c>
      <c r="B6241" s="36" t="s">
        <v>668</v>
      </c>
      <c r="C6241" s="10">
        <v>70</v>
      </c>
      <c r="D6241" s="10">
        <v>317</v>
      </c>
      <c r="E6241" s="10" t="s">
        <v>40</v>
      </c>
      <c r="F6241" s="10" t="s">
        <v>476</v>
      </c>
    </row>
    <row r="6242" spans="1:7" x14ac:dyDescent="0.35">
      <c r="A6242" s="2">
        <v>43200</v>
      </c>
      <c r="B6242" s="36" t="s">
        <v>668</v>
      </c>
      <c r="C6242" s="10">
        <v>73</v>
      </c>
      <c r="D6242" s="10">
        <v>324</v>
      </c>
      <c r="E6242" s="10" t="s">
        <v>40</v>
      </c>
      <c r="F6242" s="10" t="s">
        <v>646</v>
      </c>
    </row>
    <row r="6243" spans="1:7" x14ac:dyDescent="0.35">
      <c r="A6243" s="2">
        <v>43200</v>
      </c>
      <c r="B6243" s="36" t="s">
        <v>668</v>
      </c>
      <c r="C6243" s="10">
        <v>66</v>
      </c>
      <c r="D6243" s="10">
        <v>220</v>
      </c>
      <c r="E6243" s="10" t="s">
        <v>39</v>
      </c>
      <c r="F6243" s="10" t="s">
        <v>476</v>
      </c>
    </row>
    <row r="6244" spans="1:7" x14ac:dyDescent="0.35">
      <c r="A6244" s="2">
        <v>43200</v>
      </c>
      <c r="B6244" s="36" t="s">
        <v>668</v>
      </c>
      <c r="C6244" s="10">
        <v>72</v>
      </c>
      <c r="D6244" s="10">
        <v>344</v>
      </c>
      <c r="E6244" s="10" t="s">
        <v>40</v>
      </c>
      <c r="F6244" s="10" t="s">
        <v>646</v>
      </c>
    </row>
    <row r="6245" spans="1:7" x14ac:dyDescent="0.35">
      <c r="A6245" s="2">
        <v>43200</v>
      </c>
      <c r="B6245" s="36" t="s">
        <v>668</v>
      </c>
      <c r="C6245" s="10">
        <v>72</v>
      </c>
      <c r="D6245" s="10">
        <v>276</v>
      </c>
      <c r="E6245" s="10" t="s">
        <v>40</v>
      </c>
      <c r="F6245" s="10" t="s">
        <v>476</v>
      </c>
    </row>
    <row r="6246" spans="1:7" x14ac:dyDescent="0.35">
      <c r="A6246" s="2">
        <v>43200</v>
      </c>
      <c r="B6246" s="36" t="s">
        <v>668</v>
      </c>
      <c r="C6246" s="10">
        <v>71</v>
      </c>
      <c r="D6246" s="10">
        <v>271</v>
      </c>
      <c r="E6246" s="10" t="s">
        <v>39</v>
      </c>
      <c r="F6246" s="10" t="s">
        <v>646</v>
      </c>
    </row>
    <row r="6247" spans="1:7" x14ac:dyDescent="0.35">
      <c r="A6247" s="2">
        <v>43200</v>
      </c>
      <c r="B6247" s="36" t="s">
        <v>668</v>
      </c>
      <c r="C6247" s="10">
        <v>67</v>
      </c>
      <c r="D6247" s="10">
        <v>246</v>
      </c>
      <c r="E6247" s="10" t="s">
        <v>39</v>
      </c>
      <c r="F6247" s="10" t="s">
        <v>646</v>
      </c>
    </row>
    <row r="6248" spans="1:7" x14ac:dyDescent="0.35">
      <c r="A6248" s="2">
        <v>43200</v>
      </c>
      <c r="B6248" s="36" t="s">
        <v>668</v>
      </c>
      <c r="C6248" s="10">
        <v>71</v>
      </c>
      <c r="D6248" s="10">
        <v>272</v>
      </c>
      <c r="E6248" s="10" t="s">
        <v>33</v>
      </c>
      <c r="F6248" s="10" t="s">
        <v>646</v>
      </c>
      <c r="G6248" t="s">
        <v>651</v>
      </c>
    </row>
    <row r="6249" spans="1:7" x14ac:dyDescent="0.35">
      <c r="A6249" s="2">
        <v>43200</v>
      </c>
      <c r="B6249" s="36" t="s">
        <v>668</v>
      </c>
      <c r="C6249" s="10">
        <v>79</v>
      </c>
      <c r="D6249" s="10">
        <v>405</v>
      </c>
      <c r="E6249" s="10" t="s">
        <v>40</v>
      </c>
      <c r="F6249" s="10" t="s">
        <v>646</v>
      </c>
      <c r="G6249" t="s">
        <v>651</v>
      </c>
    </row>
    <row r="6250" spans="1:7" x14ac:dyDescent="0.35">
      <c r="A6250" s="2">
        <v>43200</v>
      </c>
      <c r="B6250" s="36" t="s">
        <v>668</v>
      </c>
      <c r="C6250" s="10">
        <v>65</v>
      </c>
      <c r="D6250" s="10">
        <v>258</v>
      </c>
      <c r="E6250" s="10" t="s">
        <v>34</v>
      </c>
      <c r="F6250" s="10" t="s">
        <v>646</v>
      </c>
      <c r="G6250" t="s">
        <v>651</v>
      </c>
    </row>
    <row r="6251" spans="1:7" x14ac:dyDescent="0.35">
      <c r="A6251" s="2">
        <v>43200</v>
      </c>
      <c r="B6251" s="36" t="s">
        <v>668</v>
      </c>
      <c r="C6251" s="10">
        <v>68</v>
      </c>
      <c r="D6251" s="10">
        <v>284</v>
      </c>
      <c r="E6251" s="10" t="s">
        <v>40</v>
      </c>
      <c r="F6251" s="10" t="s">
        <v>646</v>
      </c>
    </row>
    <row r="6252" spans="1:7" x14ac:dyDescent="0.35">
      <c r="A6252" s="2">
        <v>43200</v>
      </c>
      <c r="B6252" s="36" t="s">
        <v>668</v>
      </c>
      <c r="C6252" s="10">
        <v>71</v>
      </c>
      <c r="D6252" s="10">
        <v>346</v>
      </c>
      <c r="E6252" s="10" t="s">
        <v>39</v>
      </c>
      <c r="F6252" s="10" t="s">
        <v>646</v>
      </c>
    </row>
    <row r="6253" spans="1:7" x14ac:dyDescent="0.35">
      <c r="A6253" s="2">
        <v>43200</v>
      </c>
      <c r="B6253" s="36" t="s">
        <v>668</v>
      </c>
      <c r="C6253" s="10">
        <v>73</v>
      </c>
      <c r="D6253" s="10">
        <v>278</v>
      </c>
      <c r="E6253" s="10" t="s">
        <v>39</v>
      </c>
      <c r="F6253" s="10" t="s">
        <v>646</v>
      </c>
    </row>
    <row r="6254" spans="1:7" x14ac:dyDescent="0.35">
      <c r="A6254" s="2">
        <v>43200</v>
      </c>
      <c r="B6254" s="36" t="s">
        <v>668</v>
      </c>
      <c r="C6254" s="10">
        <v>69</v>
      </c>
      <c r="D6254" s="10">
        <v>295</v>
      </c>
      <c r="E6254" s="10" t="s">
        <v>40</v>
      </c>
      <c r="F6254" s="10" t="s">
        <v>646</v>
      </c>
    </row>
    <row r="6255" spans="1:7" x14ac:dyDescent="0.35">
      <c r="A6255" s="2">
        <v>43200</v>
      </c>
      <c r="B6255" s="36" t="s">
        <v>668</v>
      </c>
      <c r="C6255" s="10">
        <v>70</v>
      </c>
      <c r="D6255" s="10">
        <v>321</v>
      </c>
      <c r="E6255" s="10" t="s">
        <v>40</v>
      </c>
      <c r="F6255" s="10" t="s">
        <v>476</v>
      </c>
      <c r="G6255" t="s">
        <v>651</v>
      </c>
    </row>
    <row r="6256" spans="1:7" x14ac:dyDescent="0.35">
      <c r="A6256" s="2">
        <v>43200</v>
      </c>
      <c r="B6256" s="36" t="s">
        <v>668</v>
      </c>
      <c r="C6256" s="10">
        <v>69</v>
      </c>
      <c r="D6256" s="10">
        <v>261</v>
      </c>
      <c r="E6256" s="10" t="s">
        <v>34</v>
      </c>
      <c r="F6256" s="10" t="s">
        <v>646</v>
      </c>
      <c r="G6256" t="s">
        <v>651</v>
      </c>
    </row>
    <row r="6257" spans="1:7" x14ac:dyDescent="0.35">
      <c r="A6257" s="2">
        <v>43200</v>
      </c>
      <c r="B6257" s="36" t="s">
        <v>668</v>
      </c>
      <c r="C6257" s="10">
        <v>72</v>
      </c>
      <c r="D6257" s="10">
        <v>314</v>
      </c>
      <c r="E6257" s="10" t="s">
        <v>39</v>
      </c>
      <c r="F6257" s="10" t="s">
        <v>646</v>
      </c>
    </row>
    <row r="6258" spans="1:7" x14ac:dyDescent="0.35">
      <c r="A6258" s="2">
        <v>43200</v>
      </c>
      <c r="B6258" s="36" t="s">
        <v>668</v>
      </c>
      <c r="C6258" s="10">
        <v>71</v>
      </c>
      <c r="D6258" s="10">
        <v>284</v>
      </c>
      <c r="E6258" s="10" t="s">
        <v>39</v>
      </c>
      <c r="F6258" s="10" t="s">
        <v>646</v>
      </c>
    </row>
    <row r="6259" spans="1:7" x14ac:dyDescent="0.35">
      <c r="A6259" s="2">
        <v>43200</v>
      </c>
      <c r="B6259" s="36" t="s">
        <v>668</v>
      </c>
      <c r="C6259" s="10">
        <v>71</v>
      </c>
      <c r="D6259" s="10">
        <v>331</v>
      </c>
      <c r="E6259" s="10" t="s">
        <v>40</v>
      </c>
      <c r="F6259" s="10" t="s">
        <v>646</v>
      </c>
      <c r="G6259" t="s">
        <v>651</v>
      </c>
    </row>
    <row r="6260" spans="1:7" x14ac:dyDescent="0.35">
      <c r="A6260" s="2">
        <v>43200</v>
      </c>
      <c r="B6260" s="36" t="s">
        <v>668</v>
      </c>
      <c r="C6260" s="10">
        <v>66</v>
      </c>
      <c r="D6260" s="10">
        <v>195</v>
      </c>
      <c r="E6260" s="10" t="s">
        <v>39</v>
      </c>
      <c r="F6260" s="10" t="s">
        <v>476</v>
      </c>
      <c r="G6260" t="s">
        <v>651</v>
      </c>
    </row>
    <row r="6261" spans="1:7" x14ac:dyDescent="0.35">
      <c r="A6261" s="2">
        <v>43200</v>
      </c>
      <c r="B6261" s="36" t="s">
        <v>668</v>
      </c>
      <c r="C6261" s="10">
        <v>71</v>
      </c>
      <c r="D6261" s="10">
        <v>322</v>
      </c>
      <c r="E6261" s="10" t="s">
        <v>39</v>
      </c>
      <c r="F6261" s="10" t="s">
        <v>646</v>
      </c>
    </row>
    <row r="6262" spans="1:7" x14ac:dyDescent="0.35">
      <c r="A6262" s="2">
        <v>43200</v>
      </c>
      <c r="B6262" s="36" t="s">
        <v>668</v>
      </c>
      <c r="C6262" s="10">
        <v>73</v>
      </c>
      <c r="D6262" s="10">
        <v>318</v>
      </c>
      <c r="E6262" s="10" t="s">
        <v>40</v>
      </c>
      <c r="F6262" s="10" t="s">
        <v>476</v>
      </c>
    </row>
    <row r="6263" spans="1:7" x14ac:dyDescent="0.35">
      <c r="A6263" s="2">
        <v>43200</v>
      </c>
      <c r="B6263" s="36" t="s">
        <v>668</v>
      </c>
      <c r="C6263" s="10">
        <v>68</v>
      </c>
      <c r="D6263" s="10">
        <v>251</v>
      </c>
      <c r="E6263" s="10" t="s">
        <v>33</v>
      </c>
      <c r="F6263" s="10" t="s">
        <v>646</v>
      </c>
      <c r="G6263" t="s">
        <v>676</v>
      </c>
    </row>
    <row r="6264" spans="1:7" x14ac:dyDescent="0.35">
      <c r="A6264" s="2">
        <v>43200</v>
      </c>
      <c r="B6264" s="36" t="s">
        <v>668</v>
      </c>
      <c r="C6264" s="10">
        <v>67</v>
      </c>
      <c r="D6264" s="10">
        <v>175</v>
      </c>
      <c r="E6264" s="10" t="s">
        <v>33</v>
      </c>
      <c r="F6264" s="10" t="s">
        <v>646</v>
      </c>
      <c r="G6264" t="s">
        <v>676</v>
      </c>
    </row>
    <row r="6265" spans="1:7" x14ac:dyDescent="0.35">
      <c r="A6265" s="2">
        <v>43200</v>
      </c>
      <c r="B6265" s="36" t="s">
        <v>668</v>
      </c>
      <c r="C6265" s="10">
        <v>67</v>
      </c>
      <c r="D6265" s="10">
        <v>234</v>
      </c>
      <c r="E6265" s="10" t="s">
        <v>33</v>
      </c>
      <c r="F6265" s="10" t="s">
        <v>646</v>
      </c>
      <c r="G6265" t="s">
        <v>676</v>
      </c>
    </row>
    <row r="6266" spans="1:7" x14ac:dyDescent="0.35">
      <c r="A6266" s="2">
        <v>43200</v>
      </c>
      <c r="B6266" s="36" t="s">
        <v>668</v>
      </c>
      <c r="C6266" s="10">
        <v>69</v>
      </c>
      <c r="D6266" s="10">
        <v>255</v>
      </c>
      <c r="E6266" s="10" t="s">
        <v>40</v>
      </c>
      <c r="F6266" s="10" t="s">
        <v>476</v>
      </c>
    </row>
    <row r="6267" spans="1:7" x14ac:dyDescent="0.35">
      <c r="A6267" s="2">
        <v>43200</v>
      </c>
      <c r="B6267" s="36" t="s">
        <v>668</v>
      </c>
      <c r="C6267" s="10">
        <v>72</v>
      </c>
      <c r="D6267" s="10">
        <v>332</v>
      </c>
      <c r="E6267" s="10" t="s">
        <v>39</v>
      </c>
      <c r="F6267" s="10" t="s">
        <v>646</v>
      </c>
    </row>
    <row r="6268" spans="1:7" x14ac:dyDescent="0.35">
      <c r="A6268" s="2">
        <v>43200</v>
      </c>
      <c r="B6268" s="36" t="s">
        <v>668</v>
      </c>
      <c r="C6268" s="10">
        <v>62</v>
      </c>
      <c r="D6268" s="10">
        <v>188</v>
      </c>
      <c r="E6268" s="10" t="s">
        <v>39</v>
      </c>
      <c r="F6268" s="10" t="s">
        <v>476</v>
      </c>
      <c r="G6268" t="s">
        <v>651</v>
      </c>
    </row>
    <row r="6269" spans="1:7" x14ac:dyDescent="0.35">
      <c r="A6269" s="2">
        <v>43200</v>
      </c>
      <c r="B6269" s="36" t="s">
        <v>668</v>
      </c>
      <c r="C6269" s="10">
        <v>72</v>
      </c>
      <c r="D6269" s="10">
        <v>290</v>
      </c>
      <c r="E6269" s="10" t="s">
        <v>40</v>
      </c>
      <c r="F6269" s="10" t="s">
        <v>646</v>
      </c>
      <c r="G6269" t="s">
        <v>651</v>
      </c>
    </row>
    <row r="6270" spans="1:7" x14ac:dyDescent="0.35">
      <c r="A6270" s="2">
        <v>43200</v>
      </c>
      <c r="B6270" s="36" t="s">
        <v>668</v>
      </c>
      <c r="C6270" s="10">
        <v>68</v>
      </c>
      <c r="D6270" s="10">
        <v>267</v>
      </c>
      <c r="E6270" s="10" t="s">
        <v>39</v>
      </c>
      <c r="F6270" s="10" t="s">
        <v>646</v>
      </c>
    </row>
    <row r="6271" spans="1:7" x14ac:dyDescent="0.35">
      <c r="A6271" s="2">
        <v>43200</v>
      </c>
      <c r="B6271" s="36" t="s">
        <v>668</v>
      </c>
      <c r="C6271" s="10">
        <v>72</v>
      </c>
      <c r="D6271" s="10">
        <v>317</v>
      </c>
      <c r="E6271" s="10" t="s">
        <v>39</v>
      </c>
      <c r="F6271" s="10" t="s">
        <v>646</v>
      </c>
    </row>
    <row r="6272" spans="1:7" x14ac:dyDescent="0.35">
      <c r="A6272" s="2">
        <v>43200</v>
      </c>
      <c r="B6272" s="36" t="s">
        <v>668</v>
      </c>
      <c r="C6272" s="10">
        <v>78</v>
      </c>
      <c r="D6272" s="10">
        <v>392</v>
      </c>
      <c r="E6272" s="10" t="s">
        <v>40</v>
      </c>
      <c r="F6272" s="10" t="s">
        <v>646</v>
      </c>
    </row>
    <row r="6273" spans="1:7" x14ac:dyDescent="0.35">
      <c r="A6273" s="2">
        <v>43200</v>
      </c>
      <c r="B6273" s="36" t="s">
        <v>668</v>
      </c>
      <c r="C6273" s="10">
        <v>65</v>
      </c>
      <c r="D6273" s="10">
        <v>230</v>
      </c>
      <c r="E6273" s="10" t="s">
        <v>33</v>
      </c>
      <c r="F6273" s="10" t="s">
        <v>646</v>
      </c>
      <c r="G6273" t="s">
        <v>651</v>
      </c>
    </row>
    <row r="6274" spans="1:7" x14ac:dyDescent="0.35">
      <c r="A6274" s="2">
        <v>43200</v>
      </c>
      <c r="B6274" s="36" t="s">
        <v>668</v>
      </c>
      <c r="C6274" s="10">
        <v>67</v>
      </c>
      <c r="D6274" s="10">
        <v>251</v>
      </c>
      <c r="E6274" s="10" t="s">
        <v>40</v>
      </c>
      <c r="F6274" s="10" t="s">
        <v>476</v>
      </c>
    </row>
    <row r="6275" spans="1:7" x14ac:dyDescent="0.35">
      <c r="A6275" s="2">
        <v>43200</v>
      </c>
      <c r="B6275" s="36" t="s">
        <v>668</v>
      </c>
      <c r="C6275" s="10">
        <v>69</v>
      </c>
      <c r="D6275" s="10">
        <v>270</v>
      </c>
      <c r="E6275" s="10" t="s">
        <v>36</v>
      </c>
      <c r="F6275" s="10" t="s">
        <v>646</v>
      </c>
      <c r="G6275" t="s">
        <v>651</v>
      </c>
    </row>
    <row r="6276" spans="1:7" x14ac:dyDescent="0.35">
      <c r="A6276" s="2">
        <v>43200</v>
      </c>
      <c r="B6276" s="36" t="s">
        <v>668</v>
      </c>
      <c r="C6276" s="10">
        <v>70</v>
      </c>
      <c r="D6276" s="10">
        <v>315</v>
      </c>
      <c r="E6276" s="10" t="s">
        <v>40</v>
      </c>
      <c r="F6276" s="10" t="s">
        <v>476</v>
      </c>
    </row>
    <row r="6277" spans="1:7" x14ac:dyDescent="0.35">
      <c r="A6277" s="2">
        <v>43200</v>
      </c>
      <c r="B6277" s="36" t="s">
        <v>668</v>
      </c>
      <c r="C6277" s="10">
        <v>70</v>
      </c>
      <c r="D6277" s="10">
        <v>284</v>
      </c>
      <c r="E6277" s="10" t="s">
        <v>39</v>
      </c>
      <c r="F6277" s="10" t="s">
        <v>646</v>
      </c>
    </row>
    <row r="6278" spans="1:7" x14ac:dyDescent="0.35">
      <c r="A6278" s="2">
        <v>43200</v>
      </c>
      <c r="B6278" s="36" t="s">
        <v>668</v>
      </c>
      <c r="C6278" s="10">
        <v>70</v>
      </c>
      <c r="D6278" s="10">
        <v>321</v>
      </c>
      <c r="E6278" s="10" t="s">
        <v>39</v>
      </c>
      <c r="F6278" s="10" t="s">
        <v>646</v>
      </c>
    </row>
    <row r="6279" spans="1:7" x14ac:dyDescent="0.35">
      <c r="A6279" s="2">
        <v>43200</v>
      </c>
      <c r="B6279" s="36" t="s">
        <v>668</v>
      </c>
      <c r="C6279" s="10">
        <v>81</v>
      </c>
      <c r="D6279" s="10">
        <v>335</v>
      </c>
      <c r="E6279" s="10" t="s">
        <v>39</v>
      </c>
      <c r="F6279" s="10" t="s">
        <v>646</v>
      </c>
    </row>
    <row r="6280" spans="1:7" x14ac:dyDescent="0.35">
      <c r="A6280" s="2">
        <v>43200</v>
      </c>
      <c r="B6280" s="36" t="s">
        <v>668</v>
      </c>
      <c r="C6280" s="10">
        <v>71</v>
      </c>
      <c r="D6280" s="10">
        <v>339</v>
      </c>
      <c r="E6280" s="10" t="s">
        <v>33</v>
      </c>
      <c r="F6280" s="10" t="s">
        <v>646</v>
      </c>
      <c r="G6280" t="s">
        <v>651</v>
      </c>
    </row>
    <row r="6281" spans="1:7" x14ac:dyDescent="0.35">
      <c r="A6281" s="2">
        <v>43200</v>
      </c>
      <c r="B6281" s="36" t="s">
        <v>668</v>
      </c>
      <c r="C6281" s="10">
        <v>70</v>
      </c>
      <c r="D6281" s="10">
        <v>295</v>
      </c>
      <c r="E6281" s="10" t="s">
        <v>40</v>
      </c>
      <c r="F6281" s="10" t="s">
        <v>646</v>
      </c>
      <c r="G6281" t="s">
        <v>651</v>
      </c>
    </row>
    <row r="6282" spans="1:7" x14ac:dyDescent="0.35">
      <c r="A6282" s="2">
        <v>43200</v>
      </c>
      <c r="B6282" s="36" t="s">
        <v>668</v>
      </c>
      <c r="C6282" s="10">
        <v>71</v>
      </c>
      <c r="D6282" s="10">
        <v>342</v>
      </c>
      <c r="E6282" s="10" t="s">
        <v>40</v>
      </c>
      <c r="F6282" s="10" t="s">
        <v>646</v>
      </c>
    </row>
    <row r="6283" spans="1:7" x14ac:dyDescent="0.35">
      <c r="A6283" s="2">
        <v>43200</v>
      </c>
      <c r="B6283" s="36" t="s">
        <v>668</v>
      </c>
      <c r="C6283" s="10">
        <v>67</v>
      </c>
      <c r="D6283" s="10">
        <v>272</v>
      </c>
      <c r="E6283" s="10" t="s">
        <v>39</v>
      </c>
      <c r="F6283" s="10" t="s">
        <v>646</v>
      </c>
    </row>
    <row r="6284" spans="1:7" x14ac:dyDescent="0.35">
      <c r="A6284" s="2">
        <v>43200</v>
      </c>
      <c r="B6284" s="36" t="s">
        <v>668</v>
      </c>
      <c r="C6284" s="10">
        <v>73</v>
      </c>
      <c r="D6284" s="10">
        <v>313</v>
      </c>
      <c r="E6284" s="10" t="s">
        <v>40</v>
      </c>
      <c r="F6284" s="10" t="s">
        <v>476</v>
      </c>
    </row>
    <row r="6285" spans="1:7" x14ac:dyDescent="0.35">
      <c r="A6285" s="2">
        <v>43200</v>
      </c>
      <c r="B6285" s="36" t="s">
        <v>668</v>
      </c>
      <c r="C6285" s="10">
        <v>74</v>
      </c>
      <c r="D6285" s="10">
        <v>332</v>
      </c>
      <c r="E6285" s="10" t="s">
        <v>36</v>
      </c>
      <c r="F6285" s="10" t="s">
        <v>646</v>
      </c>
    </row>
    <row r="6286" spans="1:7" x14ac:dyDescent="0.35">
      <c r="A6286" s="2">
        <v>43200</v>
      </c>
      <c r="B6286" s="36" t="s">
        <v>668</v>
      </c>
      <c r="C6286" s="10">
        <v>75</v>
      </c>
      <c r="D6286" s="10">
        <v>336</v>
      </c>
      <c r="E6286" s="10" t="s">
        <v>34</v>
      </c>
      <c r="F6286" s="10" t="s">
        <v>646</v>
      </c>
      <c r="G6286" t="s">
        <v>651</v>
      </c>
    </row>
    <row r="6287" spans="1:7" x14ac:dyDescent="0.35">
      <c r="A6287" s="2">
        <v>43200</v>
      </c>
      <c r="B6287" s="36" t="s">
        <v>668</v>
      </c>
      <c r="C6287" s="10">
        <v>72</v>
      </c>
      <c r="D6287" s="10">
        <v>292</v>
      </c>
      <c r="E6287" s="10" t="s">
        <v>39</v>
      </c>
      <c r="F6287" s="10" t="s">
        <v>646</v>
      </c>
    </row>
    <row r="6288" spans="1:7" x14ac:dyDescent="0.35">
      <c r="A6288" s="2">
        <v>43200</v>
      </c>
      <c r="B6288" s="36" t="s">
        <v>668</v>
      </c>
      <c r="C6288" s="10">
        <v>64</v>
      </c>
      <c r="D6288" s="10">
        <v>202</v>
      </c>
      <c r="E6288" s="10" t="s">
        <v>40</v>
      </c>
      <c r="F6288" s="10" t="s">
        <v>646</v>
      </c>
      <c r="G6288" t="s">
        <v>651</v>
      </c>
    </row>
    <row r="6289" spans="1:7" x14ac:dyDescent="0.35">
      <c r="A6289" s="2">
        <v>43200</v>
      </c>
      <c r="B6289" s="36" t="s">
        <v>668</v>
      </c>
      <c r="C6289" s="10">
        <v>68</v>
      </c>
      <c r="D6289" s="10">
        <v>252</v>
      </c>
      <c r="E6289" s="10" t="s">
        <v>39</v>
      </c>
      <c r="F6289" s="10" t="s">
        <v>646</v>
      </c>
    </row>
    <row r="6290" spans="1:7" x14ac:dyDescent="0.35">
      <c r="A6290" s="2">
        <v>43200</v>
      </c>
      <c r="B6290" s="36" t="s">
        <v>668</v>
      </c>
      <c r="C6290" s="10">
        <v>74</v>
      </c>
      <c r="D6290" s="10">
        <v>377</v>
      </c>
      <c r="E6290" s="10" t="s">
        <v>39</v>
      </c>
      <c r="F6290" s="10" t="s">
        <v>646</v>
      </c>
    </row>
    <row r="6291" spans="1:7" x14ac:dyDescent="0.35">
      <c r="A6291" s="2">
        <v>43200</v>
      </c>
      <c r="B6291" s="36" t="s">
        <v>668</v>
      </c>
      <c r="C6291" s="10">
        <v>65</v>
      </c>
      <c r="D6291" s="10">
        <v>186</v>
      </c>
      <c r="E6291" s="10" t="s">
        <v>33</v>
      </c>
      <c r="F6291" s="10" t="s">
        <v>293</v>
      </c>
      <c r="G6291" t="s">
        <v>651</v>
      </c>
    </row>
    <row r="6292" spans="1:7" x14ac:dyDescent="0.35">
      <c r="A6292" s="2">
        <v>43200</v>
      </c>
      <c r="B6292" s="36" t="s">
        <v>668</v>
      </c>
      <c r="C6292" s="10">
        <v>64</v>
      </c>
      <c r="D6292" s="10">
        <v>208</v>
      </c>
      <c r="E6292" s="10" t="s">
        <v>33</v>
      </c>
      <c r="F6292" s="10" t="s">
        <v>646</v>
      </c>
      <c r="G6292" t="s">
        <v>651</v>
      </c>
    </row>
    <row r="6293" spans="1:7" x14ac:dyDescent="0.35">
      <c r="A6293" s="2">
        <v>43200</v>
      </c>
      <c r="B6293" s="36" t="s">
        <v>668</v>
      </c>
      <c r="C6293" s="10">
        <v>64</v>
      </c>
      <c r="D6293" s="10">
        <v>230</v>
      </c>
      <c r="E6293" s="10" t="s">
        <v>39</v>
      </c>
      <c r="F6293" s="10" t="s">
        <v>646</v>
      </c>
      <c r="G6293" t="s">
        <v>651</v>
      </c>
    </row>
    <row r="6294" spans="1:7" x14ac:dyDescent="0.35">
      <c r="A6294" s="2">
        <v>43200</v>
      </c>
      <c r="B6294" s="36" t="s">
        <v>668</v>
      </c>
      <c r="C6294" s="10">
        <v>72</v>
      </c>
      <c r="D6294" s="10">
        <v>341</v>
      </c>
      <c r="E6294" s="10" t="s">
        <v>39</v>
      </c>
      <c r="F6294" s="10" t="s">
        <v>646</v>
      </c>
    </row>
    <row r="6295" spans="1:7" x14ac:dyDescent="0.35">
      <c r="A6295" s="2">
        <v>43200</v>
      </c>
      <c r="B6295" s="36" t="s">
        <v>668</v>
      </c>
      <c r="C6295" s="10">
        <v>68</v>
      </c>
      <c r="D6295" s="10">
        <v>307</v>
      </c>
      <c r="E6295" s="10" t="s">
        <v>39</v>
      </c>
      <c r="F6295" s="10" t="s">
        <v>646</v>
      </c>
    </row>
    <row r="6296" spans="1:7" x14ac:dyDescent="0.35">
      <c r="A6296" s="2">
        <v>43200</v>
      </c>
      <c r="B6296" s="36" t="s">
        <v>668</v>
      </c>
      <c r="C6296" s="10">
        <v>69</v>
      </c>
      <c r="D6296" s="10">
        <v>245</v>
      </c>
      <c r="E6296" s="10" t="s">
        <v>33</v>
      </c>
      <c r="F6296" s="10" t="s">
        <v>646</v>
      </c>
      <c r="G6296" t="s">
        <v>651</v>
      </c>
    </row>
    <row r="6297" spans="1:7" x14ac:dyDescent="0.35">
      <c r="A6297" s="2">
        <v>43200</v>
      </c>
      <c r="B6297" s="36" t="s">
        <v>668</v>
      </c>
      <c r="C6297" s="10">
        <v>72</v>
      </c>
      <c r="D6297" s="10">
        <v>300</v>
      </c>
      <c r="E6297" s="10" t="s">
        <v>39</v>
      </c>
      <c r="F6297" s="10" t="s">
        <v>646</v>
      </c>
      <c r="G6297" t="s">
        <v>651</v>
      </c>
    </row>
    <row r="6298" spans="1:7" x14ac:dyDescent="0.35">
      <c r="A6298" s="2">
        <v>43200</v>
      </c>
      <c r="B6298" s="36" t="s">
        <v>668</v>
      </c>
      <c r="C6298" s="10">
        <v>68</v>
      </c>
      <c r="D6298" s="10">
        <v>276</v>
      </c>
      <c r="E6298" s="10" t="s">
        <v>40</v>
      </c>
      <c r="F6298" s="10" t="s">
        <v>646</v>
      </c>
    </row>
    <row r="6299" spans="1:7" x14ac:dyDescent="0.35">
      <c r="A6299" s="2">
        <v>43200</v>
      </c>
      <c r="B6299" s="36" t="s">
        <v>668</v>
      </c>
      <c r="C6299" s="10">
        <v>72</v>
      </c>
      <c r="D6299" s="10">
        <v>298</v>
      </c>
      <c r="E6299" s="10" t="s">
        <v>34</v>
      </c>
      <c r="F6299" s="10" t="s">
        <v>476</v>
      </c>
      <c r="G6299" t="s">
        <v>651</v>
      </c>
    </row>
    <row r="6300" spans="1:7" x14ac:dyDescent="0.35">
      <c r="A6300" s="2">
        <v>43200</v>
      </c>
      <c r="B6300" s="36" t="s">
        <v>668</v>
      </c>
      <c r="C6300" s="10">
        <v>71</v>
      </c>
      <c r="D6300" s="10">
        <v>295</v>
      </c>
      <c r="E6300" s="10" t="s">
        <v>39</v>
      </c>
      <c r="F6300" s="10" t="s">
        <v>476</v>
      </c>
      <c r="G6300" t="s">
        <v>651</v>
      </c>
    </row>
    <row r="6301" spans="1:7" x14ac:dyDescent="0.35">
      <c r="A6301" s="2">
        <v>43200</v>
      </c>
      <c r="B6301" s="36" t="s">
        <v>668</v>
      </c>
      <c r="C6301" s="10">
        <v>74</v>
      </c>
      <c r="D6301" s="10">
        <v>324</v>
      </c>
      <c r="E6301" s="10" t="s">
        <v>39</v>
      </c>
      <c r="F6301" s="10" t="s">
        <v>476</v>
      </c>
    </row>
    <row r="6302" spans="1:7" x14ac:dyDescent="0.35">
      <c r="A6302" s="2">
        <v>43200</v>
      </c>
      <c r="B6302" s="36" t="s">
        <v>668</v>
      </c>
      <c r="C6302" s="10">
        <v>70</v>
      </c>
      <c r="D6302" s="10">
        <v>318</v>
      </c>
      <c r="E6302" s="10" t="s">
        <v>39</v>
      </c>
      <c r="F6302" s="10" t="s">
        <v>646</v>
      </c>
    </row>
    <row r="6303" spans="1:7" x14ac:dyDescent="0.35">
      <c r="A6303" s="2">
        <v>43200</v>
      </c>
      <c r="B6303" s="36" t="s">
        <v>668</v>
      </c>
      <c r="C6303" s="10">
        <v>69</v>
      </c>
      <c r="D6303" s="10">
        <v>260</v>
      </c>
      <c r="E6303" s="10" t="s">
        <v>40</v>
      </c>
      <c r="F6303" s="10" t="s">
        <v>476</v>
      </c>
      <c r="G6303" t="s">
        <v>651</v>
      </c>
    </row>
    <row r="6304" spans="1:7" x14ac:dyDescent="0.35">
      <c r="A6304" s="2">
        <v>43200</v>
      </c>
      <c r="B6304" s="36" t="s">
        <v>668</v>
      </c>
      <c r="C6304" s="10">
        <v>70</v>
      </c>
      <c r="D6304" s="10">
        <v>369</v>
      </c>
      <c r="E6304" s="10" t="s">
        <v>34</v>
      </c>
      <c r="F6304" s="10" t="s">
        <v>646</v>
      </c>
      <c r="G6304" t="s">
        <v>651</v>
      </c>
    </row>
    <row r="6305" spans="1:7" x14ac:dyDescent="0.35">
      <c r="A6305" s="2">
        <v>43200</v>
      </c>
      <c r="B6305" s="36" t="s">
        <v>668</v>
      </c>
      <c r="C6305" s="10">
        <v>75</v>
      </c>
      <c r="D6305" s="10">
        <v>348</v>
      </c>
      <c r="E6305" s="10" t="s">
        <v>34</v>
      </c>
      <c r="F6305" s="10" t="s">
        <v>476</v>
      </c>
    </row>
    <row r="6306" spans="1:7" x14ac:dyDescent="0.35">
      <c r="A6306" s="2">
        <v>43200</v>
      </c>
      <c r="B6306" s="36" t="s">
        <v>668</v>
      </c>
      <c r="C6306" s="10">
        <v>73</v>
      </c>
      <c r="D6306" s="10">
        <v>270</v>
      </c>
      <c r="E6306" s="10" t="s">
        <v>39</v>
      </c>
      <c r="F6306" s="10" t="s">
        <v>476</v>
      </c>
    </row>
    <row r="6307" spans="1:7" x14ac:dyDescent="0.35">
      <c r="A6307" s="2">
        <v>43200</v>
      </c>
      <c r="B6307" s="36" t="s">
        <v>668</v>
      </c>
      <c r="C6307" s="10">
        <v>73</v>
      </c>
      <c r="D6307" s="10">
        <v>308</v>
      </c>
      <c r="E6307" s="10" t="s">
        <v>40</v>
      </c>
      <c r="F6307" s="10" t="s">
        <v>646</v>
      </c>
    </row>
    <row r="6308" spans="1:7" x14ac:dyDescent="0.35">
      <c r="A6308" s="2">
        <v>43200</v>
      </c>
      <c r="B6308" s="36" t="s">
        <v>668</v>
      </c>
      <c r="C6308" s="10">
        <v>70</v>
      </c>
      <c r="D6308" s="10">
        <v>270</v>
      </c>
      <c r="E6308" s="10" t="s">
        <v>33</v>
      </c>
      <c r="F6308" s="10" t="s">
        <v>476</v>
      </c>
      <c r="G6308" t="s">
        <v>651</v>
      </c>
    </row>
    <row r="6309" spans="1:7" x14ac:dyDescent="0.35">
      <c r="A6309" s="2">
        <v>43200</v>
      </c>
      <c r="B6309" s="36" t="s">
        <v>668</v>
      </c>
      <c r="C6309" s="10">
        <v>66</v>
      </c>
      <c r="D6309" s="10">
        <v>249</v>
      </c>
      <c r="E6309" s="10" t="s">
        <v>39</v>
      </c>
      <c r="F6309" s="10" t="s">
        <v>646</v>
      </c>
    </row>
    <row r="6310" spans="1:7" x14ac:dyDescent="0.35">
      <c r="A6310" s="2">
        <v>43200</v>
      </c>
      <c r="B6310" s="36" t="s">
        <v>668</v>
      </c>
      <c r="C6310" s="10">
        <v>71</v>
      </c>
      <c r="D6310" s="10">
        <v>264</v>
      </c>
      <c r="E6310" s="10" t="s">
        <v>39</v>
      </c>
      <c r="F6310" s="10" t="s">
        <v>476</v>
      </c>
      <c r="G6310" t="s">
        <v>651</v>
      </c>
    </row>
    <row r="6311" spans="1:7" x14ac:dyDescent="0.35">
      <c r="A6311" s="2">
        <v>43200</v>
      </c>
      <c r="B6311" s="36" t="s">
        <v>668</v>
      </c>
      <c r="C6311" s="10">
        <v>74</v>
      </c>
      <c r="D6311" s="10">
        <v>265</v>
      </c>
      <c r="E6311" s="10" t="s">
        <v>40</v>
      </c>
      <c r="F6311" s="10" t="s">
        <v>646</v>
      </c>
      <c r="G6311" t="s">
        <v>651</v>
      </c>
    </row>
    <row r="6312" spans="1:7" x14ac:dyDescent="0.35">
      <c r="A6312" s="2">
        <v>43200</v>
      </c>
      <c r="B6312" s="36" t="s">
        <v>668</v>
      </c>
      <c r="C6312" s="10">
        <v>72</v>
      </c>
      <c r="D6312" s="10">
        <v>291</v>
      </c>
      <c r="E6312" s="10" t="s">
        <v>39</v>
      </c>
      <c r="F6312" s="10" t="s">
        <v>476</v>
      </c>
    </row>
    <row r="6313" spans="1:7" x14ac:dyDescent="0.35">
      <c r="A6313" s="2">
        <v>43200</v>
      </c>
      <c r="B6313" s="36" t="s">
        <v>668</v>
      </c>
      <c r="C6313" s="10">
        <v>72</v>
      </c>
      <c r="D6313" s="10">
        <v>265</v>
      </c>
      <c r="E6313" s="10" t="s">
        <v>40</v>
      </c>
      <c r="F6313" s="10" t="s">
        <v>476</v>
      </c>
    </row>
    <row r="6314" spans="1:7" x14ac:dyDescent="0.35">
      <c r="A6314" s="2">
        <v>43200</v>
      </c>
      <c r="B6314" s="36" t="s">
        <v>668</v>
      </c>
      <c r="C6314" s="10">
        <v>67</v>
      </c>
      <c r="D6314" s="10">
        <v>253</v>
      </c>
      <c r="E6314" s="10" t="s">
        <v>39</v>
      </c>
      <c r="F6314" s="10" t="s">
        <v>646</v>
      </c>
      <c r="G6314" t="s">
        <v>651</v>
      </c>
    </row>
    <row r="6315" spans="1:7" x14ac:dyDescent="0.35">
      <c r="A6315" s="2">
        <v>43200</v>
      </c>
      <c r="B6315" s="36" t="s">
        <v>668</v>
      </c>
      <c r="C6315" s="10">
        <v>67</v>
      </c>
      <c r="D6315" s="10">
        <v>251</v>
      </c>
      <c r="E6315" s="10" t="s">
        <v>40</v>
      </c>
      <c r="F6315" s="10" t="s">
        <v>646</v>
      </c>
    </row>
    <row r="6316" spans="1:7" x14ac:dyDescent="0.35">
      <c r="A6316" s="2">
        <v>43200</v>
      </c>
      <c r="B6316" s="36" t="s">
        <v>668</v>
      </c>
      <c r="C6316" s="10">
        <v>70</v>
      </c>
      <c r="D6316" s="10">
        <v>266</v>
      </c>
      <c r="E6316" s="10" t="s">
        <v>40</v>
      </c>
      <c r="F6316" s="10" t="s">
        <v>476</v>
      </c>
      <c r="G6316" t="s">
        <v>651</v>
      </c>
    </row>
    <row r="6317" spans="1:7" x14ac:dyDescent="0.35">
      <c r="A6317" s="2">
        <v>43200</v>
      </c>
      <c r="B6317" s="36" t="s">
        <v>668</v>
      </c>
      <c r="C6317" s="10">
        <v>69</v>
      </c>
      <c r="D6317" s="10">
        <v>235</v>
      </c>
      <c r="E6317" s="10" t="s">
        <v>33</v>
      </c>
      <c r="F6317" s="10" t="s">
        <v>476</v>
      </c>
    </row>
    <row r="6318" spans="1:7" x14ac:dyDescent="0.35">
      <c r="A6318" s="2">
        <v>43200</v>
      </c>
      <c r="B6318" s="36" t="s">
        <v>668</v>
      </c>
      <c r="C6318" s="10">
        <v>70</v>
      </c>
      <c r="D6318" s="10">
        <v>291</v>
      </c>
      <c r="E6318" s="10" t="s">
        <v>39</v>
      </c>
      <c r="F6318" s="10" t="s">
        <v>646</v>
      </c>
      <c r="G6318" t="s">
        <v>651</v>
      </c>
    </row>
    <row r="6319" spans="1:7" x14ac:dyDescent="0.35">
      <c r="A6319" s="2">
        <v>43200</v>
      </c>
      <c r="B6319" s="36" t="s">
        <v>668</v>
      </c>
      <c r="C6319" s="10">
        <v>69</v>
      </c>
      <c r="D6319" s="10">
        <v>278</v>
      </c>
      <c r="E6319" s="10" t="s">
        <v>40</v>
      </c>
      <c r="F6319" s="10" t="s">
        <v>646</v>
      </c>
    </row>
    <row r="6320" spans="1:7" x14ac:dyDescent="0.35">
      <c r="A6320" s="2">
        <v>43200</v>
      </c>
      <c r="B6320" s="36" t="s">
        <v>668</v>
      </c>
      <c r="C6320" s="10">
        <v>68</v>
      </c>
      <c r="D6320" s="10">
        <v>269</v>
      </c>
      <c r="E6320" s="10" t="s">
        <v>33</v>
      </c>
      <c r="F6320" s="10" t="s">
        <v>646</v>
      </c>
      <c r="G6320" t="s">
        <v>651</v>
      </c>
    </row>
    <row r="6321" spans="1:22" x14ac:dyDescent="0.35">
      <c r="A6321" s="2">
        <v>43200</v>
      </c>
      <c r="B6321" s="36" t="s">
        <v>668</v>
      </c>
      <c r="C6321" s="10">
        <v>66</v>
      </c>
      <c r="D6321" s="10">
        <v>271</v>
      </c>
      <c r="E6321" s="10" t="s">
        <v>39</v>
      </c>
      <c r="F6321" s="10" t="s">
        <v>476</v>
      </c>
    </row>
    <row r="6322" spans="1:22" x14ac:dyDescent="0.35">
      <c r="A6322" s="2">
        <v>43200</v>
      </c>
      <c r="B6322" s="36" t="s">
        <v>668</v>
      </c>
      <c r="C6322" s="10">
        <v>69</v>
      </c>
      <c r="D6322" s="10">
        <v>240</v>
      </c>
      <c r="E6322" s="10" t="s">
        <v>33</v>
      </c>
      <c r="F6322" s="10" t="s">
        <v>476</v>
      </c>
      <c r="G6322" t="s">
        <v>651</v>
      </c>
    </row>
    <row r="6323" spans="1:22" x14ac:dyDescent="0.35">
      <c r="A6323" s="2">
        <v>43200</v>
      </c>
      <c r="B6323" s="36" t="s">
        <v>668</v>
      </c>
      <c r="C6323" s="10">
        <v>72</v>
      </c>
      <c r="D6323" s="10">
        <v>293</v>
      </c>
      <c r="E6323" s="10" t="s">
        <v>39</v>
      </c>
      <c r="F6323" s="10" t="s">
        <v>646</v>
      </c>
      <c r="G6323" t="s">
        <v>651</v>
      </c>
    </row>
    <row r="6324" spans="1:22" x14ac:dyDescent="0.35">
      <c r="A6324" s="2">
        <v>43200</v>
      </c>
      <c r="B6324" s="36" t="s">
        <v>668</v>
      </c>
      <c r="C6324" s="10">
        <v>67</v>
      </c>
      <c r="D6324" s="10">
        <v>280</v>
      </c>
      <c r="E6324" s="10" t="s">
        <v>39</v>
      </c>
      <c r="F6324" s="10" t="s">
        <v>646</v>
      </c>
    </row>
    <row r="6325" spans="1:22" x14ac:dyDescent="0.35">
      <c r="A6325" s="2">
        <v>43200</v>
      </c>
      <c r="B6325" s="36" t="s">
        <v>668</v>
      </c>
      <c r="C6325" s="10">
        <v>68</v>
      </c>
      <c r="D6325" s="10">
        <v>213</v>
      </c>
      <c r="E6325" s="10" t="s">
        <v>34</v>
      </c>
      <c r="F6325" s="10" t="s">
        <v>476</v>
      </c>
    </row>
    <row r="6326" spans="1:22" x14ac:dyDescent="0.35">
      <c r="A6326" s="2">
        <v>43200</v>
      </c>
      <c r="B6326" s="36" t="s">
        <v>668</v>
      </c>
      <c r="C6326" s="10">
        <v>67</v>
      </c>
      <c r="D6326" s="10">
        <v>225</v>
      </c>
      <c r="E6326" s="10" t="s">
        <v>39</v>
      </c>
      <c r="F6326" s="10" t="s">
        <v>476</v>
      </c>
    </row>
    <row r="6327" spans="1:22" x14ac:dyDescent="0.35">
      <c r="A6327" s="2">
        <v>43200</v>
      </c>
      <c r="B6327" s="36" t="s">
        <v>668</v>
      </c>
      <c r="C6327" s="10">
        <v>69</v>
      </c>
      <c r="D6327" s="10">
        <v>274</v>
      </c>
      <c r="E6327" s="10" t="s">
        <v>40</v>
      </c>
      <c r="F6327" s="10" t="s">
        <v>646</v>
      </c>
      <c r="G6327" t="s">
        <v>651</v>
      </c>
    </row>
    <row r="6328" spans="1:22" x14ac:dyDescent="0.35">
      <c r="A6328" s="2">
        <v>43200</v>
      </c>
      <c r="B6328" s="36" t="s">
        <v>668</v>
      </c>
      <c r="C6328" s="10">
        <v>66</v>
      </c>
      <c r="D6328" s="10">
        <v>206</v>
      </c>
      <c r="E6328" s="10" t="s">
        <v>33</v>
      </c>
      <c r="F6328" s="10" t="s">
        <v>476</v>
      </c>
      <c r="G6328" t="s">
        <v>651</v>
      </c>
    </row>
    <row r="6329" spans="1:22" x14ac:dyDescent="0.35">
      <c r="A6329" s="2">
        <v>43200</v>
      </c>
      <c r="B6329" s="36" t="s">
        <v>668</v>
      </c>
      <c r="C6329" s="10">
        <v>68</v>
      </c>
      <c r="D6329" s="10">
        <v>235</v>
      </c>
      <c r="E6329" s="10" t="s">
        <v>36</v>
      </c>
      <c r="F6329" s="10" t="s">
        <v>646</v>
      </c>
      <c r="G6329" t="s">
        <v>651</v>
      </c>
    </row>
    <row r="6330" spans="1:22" x14ac:dyDescent="0.35">
      <c r="A6330" s="2">
        <v>43200</v>
      </c>
      <c r="B6330" s="36" t="s">
        <v>668</v>
      </c>
      <c r="C6330" s="10">
        <v>66</v>
      </c>
      <c r="D6330" s="10">
        <v>226</v>
      </c>
      <c r="E6330" s="10" t="s">
        <v>33</v>
      </c>
      <c r="F6330" s="10" t="s">
        <v>646</v>
      </c>
      <c r="G6330" t="s">
        <v>651</v>
      </c>
    </row>
    <row r="6331" spans="1:22" x14ac:dyDescent="0.35">
      <c r="A6331" s="2">
        <v>43200</v>
      </c>
      <c r="B6331" s="36" t="s">
        <v>668</v>
      </c>
      <c r="C6331" s="10">
        <v>65</v>
      </c>
      <c r="D6331" s="10">
        <v>209</v>
      </c>
      <c r="E6331" s="10" t="s">
        <v>39</v>
      </c>
      <c r="F6331" s="10" t="s">
        <v>476</v>
      </c>
    </row>
    <row r="6332" spans="1:22" x14ac:dyDescent="0.35">
      <c r="A6332" s="2">
        <v>43200</v>
      </c>
      <c r="B6332" s="36" t="s">
        <v>668</v>
      </c>
      <c r="C6332" s="10">
        <v>66</v>
      </c>
      <c r="D6332" s="10">
        <v>279</v>
      </c>
      <c r="E6332" s="10" t="s">
        <v>39</v>
      </c>
      <c r="F6332" s="10" t="s">
        <v>646</v>
      </c>
      <c r="G6332" t="s">
        <v>651</v>
      </c>
    </row>
    <row r="6333" spans="1:22" x14ac:dyDescent="0.35">
      <c r="A6333" s="2">
        <v>43200</v>
      </c>
      <c r="B6333" s="36" t="s">
        <v>668</v>
      </c>
      <c r="C6333" s="10">
        <v>71</v>
      </c>
      <c r="D6333" s="10">
        <v>324</v>
      </c>
      <c r="E6333" s="10" t="s">
        <v>40</v>
      </c>
      <c r="F6333" s="10" t="s">
        <v>646</v>
      </c>
      <c r="G6333" t="s">
        <v>651</v>
      </c>
    </row>
    <row r="6334" spans="1:22" x14ac:dyDescent="0.35">
      <c r="A6334" s="2">
        <v>43200</v>
      </c>
      <c r="B6334" s="36" t="s">
        <v>668</v>
      </c>
      <c r="C6334" s="10">
        <v>66</v>
      </c>
      <c r="D6334" s="10">
        <v>290</v>
      </c>
      <c r="E6334" s="10" t="s">
        <v>39</v>
      </c>
      <c r="F6334" s="10" t="s">
        <v>646</v>
      </c>
    </row>
    <row r="6335" spans="1:22" x14ac:dyDescent="0.35">
      <c r="A6335" s="2">
        <v>43200</v>
      </c>
      <c r="B6335" s="36" t="s">
        <v>668</v>
      </c>
      <c r="C6335" s="10">
        <v>70</v>
      </c>
      <c r="D6335" s="10">
        <v>354</v>
      </c>
      <c r="E6335" s="10" t="s">
        <v>39</v>
      </c>
      <c r="F6335" s="10" t="s">
        <v>646</v>
      </c>
    </row>
    <row r="6336" spans="1:22" x14ac:dyDescent="0.35">
      <c r="A6336" s="2">
        <v>43200</v>
      </c>
      <c r="B6336" s="36" t="s">
        <v>668</v>
      </c>
      <c r="C6336" s="10">
        <v>71</v>
      </c>
      <c r="D6336" s="10">
        <v>278</v>
      </c>
      <c r="E6336" s="10" t="s">
        <v>39</v>
      </c>
      <c r="F6336" s="10" t="s">
        <v>476</v>
      </c>
      <c r="N6336" t="s">
        <v>42</v>
      </c>
      <c r="O6336" t="s">
        <v>39</v>
      </c>
      <c r="P6336" t="s">
        <v>40</v>
      </c>
      <c r="Q6336" t="s">
        <v>36</v>
      </c>
      <c r="R6336" t="s">
        <v>33</v>
      </c>
      <c r="S6336" t="s">
        <v>34</v>
      </c>
      <c r="T6336" t="s">
        <v>32</v>
      </c>
      <c r="U6336" t="s">
        <v>37</v>
      </c>
      <c r="V6336" t="s">
        <v>159</v>
      </c>
    </row>
    <row r="6337" spans="1:24" x14ac:dyDescent="0.35">
      <c r="A6337" s="2">
        <v>43200</v>
      </c>
      <c r="B6337" s="36" t="s">
        <v>668</v>
      </c>
      <c r="C6337" s="10">
        <v>68</v>
      </c>
      <c r="D6337" s="10">
        <v>295</v>
      </c>
      <c r="E6337" s="10" t="s">
        <v>39</v>
      </c>
      <c r="F6337" s="10" t="s">
        <v>646</v>
      </c>
      <c r="N6337" s="5">
        <f>COUNTIF(E6238:E6338,"VA")</f>
        <v>0</v>
      </c>
      <c r="O6337" s="5">
        <f>COUNTIF(E6238:E6338,"VB")</f>
        <v>45</v>
      </c>
      <c r="P6337" s="5">
        <f>COUNTIF(E6238:E6338,"VIA0")</f>
        <v>29</v>
      </c>
      <c r="Q6337" s="5">
        <f>COUNTIF(E6238:E6338,"VIA1")</f>
        <v>3</v>
      </c>
      <c r="R6337" s="5">
        <f>COUNTIF(E6238:E6338,"VIA2")</f>
        <v>17</v>
      </c>
      <c r="S6337" s="5">
        <f>COUNTIF(E6238:E6338,"VIA3")</f>
        <v>7</v>
      </c>
      <c r="T6337" s="5">
        <f>COUNTIF(E6238:E6338,"VIA4")</f>
        <v>0</v>
      </c>
      <c r="U6337" s="5">
        <f>COUNTIF(E6238:E6338,"VIB")</f>
        <v>0</v>
      </c>
      <c r="V6337" s="5">
        <f>COUNTIF(E6238:E6338,"VII")</f>
        <v>0</v>
      </c>
      <c r="W6337">
        <f>AVERAGE(C6238:C6338)</f>
        <v>69.683168316831683</v>
      </c>
      <c r="X6337">
        <f>AVERAGE(D6238:D6338)</f>
        <v>281.48514851485146</v>
      </c>
    </row>
    <row r="6338" spans="1:24" s="4" customFormat="1" x14ac:dyDescent="0.35">
      <c r="A6338" s="3">
        <v>43200</v>
      </c>
      <c r="B6338" s="26" t="s">
        <v>668</v>
      </c>
      <c r="C6338" s="11">
        <v>70</v>
      </c>
      <c r="D6338" s="11">
        <v>221</v>
      </c>
      <c r="E6338" s="11" t="s">
        <v>33</v>
      </c>
      <c r="F6338" s="11" t="s">
        <v>646</v>
      </c>
      <c r="G6338" s="4" t="s">
        <v>651</v>
      </c>
      <c r="N6338" s="6">
        <f>N6337/101*100</f>
        <v>0</v>
      </c>
      <c r="O6338" s="6">
        <f t="shared" ref="O6338:V6338" si="199">O6337/101*100</f>
        <v>44.554455445544555</v>
      </c>
      <c r="P6338" s="6">
        <f t="shared" si="199"/>
        <v>28.71287128712871</v>
      </c>
      <c r="Q6338" s="6">
        <f t="shared" si="199"/>
        <v>2.9702970297029703</v>
      </c>
      <c r="R6338" s="6">
        <f t="shared" si="199"/>
        <v>16.831683168316832</v>
      </c>
      <c r="S6338" s="6">
        <f t="shared" si="199"/>
        <v>6.9306930693069315</v>
      </c>
      <c r="T6338" s="6">
        <f t="shared" si="199"/>
        <v>0</v>
      </c>
      <c r="U6338" s="6">
        <f t="shared" si="199"/>
        <v>0</v>
      </c>
      <c r="V6338" s="6">
        <f t="shared" si="199"/>
        <v>0</v>
      </c>
    </row>
    <row r="6339" spans="1:24" x14ac:dyDescent="0.35">
      <c r="A6339" s="2">
        <v>43201</v>
      </c>
      <c r="B6339" s="70" t="s">
        <v>38</v>
      </c>
      <c r="C6339" s="10">
        <v>104</v>
      </c>
      <c r="D6339" s="10">
        <v>1227</v>
      </c>
      <c r="E6339" s="10" t="s">
        <v>59</v>
      </c>
    </row>
    <row r="6340" spans="1:24" s="4" customFormat="1" x14ac:dyDescent="0.35">
      <c r="A6340" s="3">
        <v>43201</v>
      </c>
      <c r="B6340" s="44" t="s">
        <v>38</v>
      </c>
      <c r="C6340" s="11">
        <v>180</v>
      </c>
      <c r="D6340" s="11">
        <v>8875</v>
      </c>
      <c r="E6340" s="11" t="s">
        <v>59</v>
      </c>
    </row>
    <row r="6341" spans="1:24" s="22" customFormat="1" x14ac:dyDescent="0.35">
      <c r="A6341" s="19">
        <v>43203</v>
      </c>
      <c r="B6341" s="71" t="s">
        <v>38</v>
      </c>
      <c r="C6341" s="20">
        <v>185</v>
      </c>
      <c r="D6341" s="20">
        <v>8000</v>
      </c>
      <c r="E6341" s="20" t="s">
        <v>59</v>
      </c>
    </row>
    <row r="6342" spans="1:24" s="5" customFormat="1" x14ac:dyDescent="0.35">
      <c r="A6342" s="2">
        <v>43206</v>
      </c>
      <c r="B6342" s="70" t="s">
        <v>29</v>
      </c>
      <c r="C6342" s="10">
        <v>124</v>
      </c>
      <c r="D6342" s="10">
        <v>2331</v>
      </c>
      <c r="E6342" s="10" t="s">
        <v>59</v>
      </c>
      <c r="L6342" s="5" t="s">
        <v>701</v>
      </c>
    </row>
    <row r="6343" spans="1:24" s="5" customFormat="1" x14ac:dyDescent="0.35">
      <c r="A6343" s="2">
        <v>43206</v>
      </c>
      <c r="B6343" s="70" t="s">
        <v>29</v>
      </c>
      <c r="C6343" s="10">
        <v>101</v>
      </c>
      <c r="D6343" s="10">
        <v>1212</v>
      </c>
      <c r="E6343" s="10" t="s">
        <v>59</v>
      </c>
    </row>
    <row r="6344" spans="1:24" s="5" customFormat="1" x14ac:dyDescent="0.35">
      <c r="A6344" s="2">
        <v>43206</v>
      </c>
      <c r="B6344" s="70" t="s">
        <v>29</v>
      </c>
      <c r="C6344" s="10">
        <v>86</v>
      </c>
      <c r="D6344" s="10">
        <v>790</v>
      </c>
      <c r="E6344" s="10" t="s">
        <v>59</v>
      </c>
    </row>
    <row r="6345" spans="1:24" x14ac:dyDescent="0.35">
      <c r="A6345" s="2">
        <v>43206</v>
      </c>
      <c r="B6345" s="70" t="s">
        <v>29</v>
      </c>
      <c r="C6345" s="10">
        <v>71</v>
      </c>
      <c r="D6345" s="10">
        <v>266</v>
      </c>
      <c r="E6345" s="10" t="s">
        <v>34</v>
      </c>
      <c r="F6345" t="s">
        <v>646</v>
      </c>
      <c r="M6345">
        <f>COUNTIF(F6345:F6445,"F++")</f>
        <v>0</v>
      </c>
    </row>
    <row r="6346" spans="1:24" x14ac:dyDescent="0.35">
      <c r="A6346" s="2">
        <v>43206</v>
      </c>
      <c r="B6346" s="70" t="s">
        <v>29</v>
      </c>
      <c r="C6346" s="10">
        <v>70</v>
      </c>
      <c r="D6346" s="10">
        <v>294</v>
      </c>
      <c r="E6346" s="10" t="s">
        <v>34</v>
      </c>
      <c r="F6346" t="s">
        <v>476</v>
      </c>
    </row>
    <row r="6347" spans="1:24" x14ac:dyDescent="0.35">
      <c r="A6347" s="2">
        <v>43206</v>
      </c>
      <c r="B6347" s="70" t="s">
        <v>29</v>
      </c>
      <c r="C6347" s="10">
        <v>66</v>
      </c>
      <c r="D6347" s="10">
        <v>241</v>
      </c>
      <c r="E6347" s="10" t="s">
        <v>34</v>
      </c>
      <c r="F6347" t="s">
        <v>646</v>
      </c>
    </row>
    <row r="6348" spans="1:24" x14ac:dyDescent="0.35">
      <c r="A6348" s="2">
        <v>43206</v>
      </c>
      <c r="B6348" s="70" t="s">
        <v>29</v>
      </c>
      <c r="C6348" s="10">
        <v>73</v>
      </c>
      <c r="D6348" s="10">
        <v>318</v>
      </c>
      <c r="E6348" s="10" t="s">
        <v>34</v>
      </c>
      <c r="F6348" t="s">
        <v>293</v>
      </c>
    </row>
    <row r="6349" spans="1:24" x14ac:dyDescent="0.35">
      <c r="A6349" s="2">
        <v>43206</v>
      </c>
      <c r="B6349" s="70" t="s">
        <v>29</v>
      </c>
      <c r="C6349" s="10">
        <v>68</v>
      </c>
      <c r="D6349" s="10">
        <v>263</v>
      </c>
      <c r="E6349" s="10" t="s">
        <v>32</v>
      </c>
      <c r="F6349" t="s">
        <v>646</v>
      </c>
    </row>
    <row r="6350" spans="1:24" x14ac:dyDescent="0.35">
      <c r="A6350" s="2">
        <v>43206</v>
      </c>
      <c r="B6350" s="70" t="s">
        <v>29</v>
      </c>
      <c r="C6350" s="10">
        <v>65</v>
      </c>
      <c r="D6350" s="10">
        <v>261</v>
      </c>
      <c r="E6350" s="10" t="s">
        <v>34</v>
      </c>
      <c r="F6350" t="s">
        <v>646</v>
      </c>
    </row>
    <row r="6351" spans="1:24" x14ac:dyDescent="0.35">
      <c r="A6351" s="2">
        <v>43206</v>
      </c>
      <c r="B6351" s="70" t="s">
        <v>29</v>
      </c>
      <c r="C6351" s="10">
        <v>67</v>
      </c>
      <c r="D6351" s="10">
        <v>262</v>
      </c>
      <c r="E6351" s="10" t="s">
        <v>32</v>
      </c>
      <c r="F6351" t="s">
        <v>476</v>
      </c>
    </row>
    <row r="6352" spans="1:24" x14ac:dyDescent="0.35">
      <c r="A6352" s="2">
        <v>43206</v>
      </c>
      <c r="B6352" s="70" t="s">
        <v>29</v>
      </c>
      <c r="C6352" s="10">
        <v>69</v>
      </c>
      <c r="D6352" s="10">
        <v>271</v>
      </c>
      <c r="E6352" s="10" t="s">
        <v>34</v>
      </c>
      <c r="F6352" t="s">
        <v>198</v>
      </c>
      <c r="G6352" t="s">
        <v>475</v>
      </c>
    </row>
    <row r="6353" spans="1:8" x14ac:dyDescent="0.35">
      <c r="A6353" s="2">
        <v>43206</v>
      </c>
      <c r="B6353" s="70" t="s">
        <v>29</v>
      </c>
      <c r="C6353" s="10">
        <v>69</v>
      </c>
      <c r="D6353" s="10">
        <v>248</v>
      </c>
      <c r="E6353" s="10" t="s">
        <v>34</v>
      </c>
      <c r="F6353" t="s">
        <v>646</v>
      </c>
    </row>
    <row r="6354" spans="1:8" x14ac:dyDescent="0.35">
      <c r="A6354" s="2">
        <v>43206</v>
      </c>
      <c r="B6354" s="70" t="s">
        <v>29</v>
      </c>
      <c r="C6354" s="10">
        <v>75</v>
      </c>
      <c r="D6354" s="10">
        <v>300</v>
      </c>
      <c r="E6354" s="10" t="s">
        <v>34</v>
      </c>
      <c r="F6354" t="s">
        <v>646</v>
      </c>
    </row>
    <row r="6355" spans="1:8" x14ac:dyDescent="0.35">
      <c r="A6355" s="2">
        <v>43206</v>
      </c>
      <c r="B6355" s="70" t="s">
        <v>29</v>
      </c>
      <c r="C6355" s="10">
        <v>65</v>
      </c>
      <c r="D6355" s="10">
        <v>230</v>
      </c>
      <c r="E6355" s="10" t="s">
        <v>34</v>
      </c>
      <c r="F6355" t="s">
        <v>646</v>
      </c>
    </row>
    <row r="6356" spans="1:8" x14ac:dyDescent="0.35">
      <c r="A6356" s="2">
        <v>43206</v>
      </c>
      <c r="B6356" s="70" t="s">
        <v>29</v>
      </c>
      <c r="C6356" s="10">
        <v>66</v>
      </c>
      <c r="D6356" s="10">
        <v>218</v>
      </c>
      <c r="E6356" s="10" t="s">
        <v>32</v>
      </c>
      <c r="F6356" t="s">
        <v>646</v>
      </c>
      <c r="G6356" t="s">
        <v>475</v>
      </c>
    </row>
    <row r="6357" spans="1:8" x14ac:dyDescent="0.35">
      <c r="A6357" s="2">
        <v>43206</v>
      </c>
      <c r="B6357" s="70" t="s">
        <v>29</v>
      </c>
      <c r="C6357" s="10">
        <v>70</v>
      </c>
      <c r="D6357" s="10">
        <v>306</v>
      </c>
      <c r="E6357" s="10" t="s">
        <v>32</v>
      </c>
      <c r="F6357" t="s">
        <v>646</v>
      </c>
    </row>
    <row r="6358" spans="1:8" x14ac:dyDescent="0.35">
      <c r="A6358" s="2">
        <v>43206</v>
      </c>
      <c r="B6358" s="70" t="s">
        <v>29</v>
      </c>
      <c r="C6358" s="10">
        <v>66</v>
      </c>
      <c r="D6358" s="10">
        <v>251</v>
      </c>
      <c r="E6358" s="10" t="s">
        <v>33</v>
      </c>
      <c r="F6358" t="s">
        <v>293</v>
      </c>
      <c r="G6358" t="s">
        <v>475</v>
      </c>
    </row>
    <row r="6359" spans="1:8" x14ac:dyDescent="0.35">
      <c r="A6359" s="2">
        <v>43206</v>
      </c>
      <c r="B6359" s="70" t="s">
        <v>29</v>
      </c>
      <c r="C6359" s="10">
        <v>65</v>
      </c>
      <c r="D6359" s="10">
        <v>179</v>
      </c>
      <c r="E6359" s="10" t="s">
        <v>32</v>
      </c>
      <c r="F6359" t="s">
        <v>646</v>
      </c>
    </row>
    <row r="6360" spans="1:8" x14ac:dyDescent="0.35">
      <c r="A6360" s="2">
        <v>43206</v>
      </c>
      <c r="B6360" s="70" t="s">
        <v>29</v>
      </c>
      <c r="C6360" s="10">
        <v>68</v>
      </c>
      <c r="D6360" s="10">
        <v>268</v>
      </c>
      <c r="E6360" s="10" t="s">
        <v>34</v>
      </c>
      <c r="F6360" t="s">
        <v>198</v>
      </c>
      <c r="G6360" t="s">
        <v>702</v>
      </c>
      <c r="H6360" t="s">
        <v>498</v>
      </c>
    </row>
    <row r="6361" spans="1:8" x14ac:dyDescent="0.35">
      <c r="A6361" s="2">
        <v>43206</v>
      </c>
      <c r="B6361" s="70" t="s">
        <v>29</v>
      </c>
      <c r="C6361" s="10">
        <v>70</v>
      </c>
      <c r="D6361" s="10">
        <v>344</v>
      </c>
      <c r="E6361" s="10" t="s">
        <v>33</v>
      </c>
      <c r="F6361" t="s">
        <v>476</v>
      </c>
    </row>
    <row r="6362" spans="1:8" x14ac:dyDescent="0.35">
      <c r="A6362" s="2">
        <v>43206</v>
      </c>
      <c r="B6362" s="70" t="s">
        <v>29</v>
      </c>
      <c r="C6362" s="10">
        <v>70</v>
      </c>
      <c r="D6362" s="10">
        <v>296</v>
      </c>
      <c r="E6362" s="10" t="s">
        <v>33</v>
      </c>
      <c r="F6362" t="s">
        <v>646</v>
      </c>
      <c r="G6362" t="s">
        <v>703</v>
      </c>
    </row>
    <row r="6363" spans="1:8" x14ac:dyDescent="0.35">
      <c r="A6363" s="2">
        <v>43206</v>
      </c>
      <c r="B6363" s="70" t="s">
        <v>29</v>
      </c>
      <c r="C6363" s="10">
        <v>73</v>
      </c>
      <c r="D6363" s="10">
        <v>311</v>
      </c>
      <c r="E6363" s="10" t="s">
        <v>33</v>
      </c>
      <c r="F6363" t="s">
        <v>476</v>
      </c>
    </row>
    <row r="6364" spans="1:8" x14ac:dyDescent="0.35">
      <c r="A6364" s="2">
        <v>43206</v>
      </c>
      <c r="B6364" s="70" t="s">
        <v>29</v>
      </c>
      <c r="C6364" s="10">
        <v>75</v>
      </c>
      <c r="D6364" s="10">
        <v>345</v>
      </c>
      <c r="E6364" s="10" t="s">
        <v>34</v>
      </c>
      <c r="F6364" t="s">
        <v>198</v>
      </c>
      <c r="G6364" t="s">
        <v>704</v>
      </c>
    </row>
    <row r="6365" spans="1:8" x14ac:dyDescent="0.35">
      <c r="A6365" s="2">
        <v>43206</v>
      </c>
      <c r="B6365" s="70" t="s">
        <v>29</v>
      </c>
      <c r="C6365" s="10">
        <v>72</v>
      </c>
      <c r="D6365" s="10">
        <v>247</v>
      </c>
      <c r="E6365" s="10" t="s">
        <v>34</v>
      </c>
      <c r="F6365" t="s">
        <v>476</v>
      </c>
    </row>
    <row r="6366" spans="1:8" x14ac:dyDescent="0.35">
      <c r="A6366" s="2">
        <v>43206</v>
      </c>
      <c r="B6366" s="70" t="s">
        <v>29</v>
      </c>
      <c r="C6366" s="10">
        <v>74</v>
      </c>
      <c r="D6366" s="10">
        <v>336</v>
      </c>
      <c r="E6366" s="10" t="s">
        <v>34</v>
      </c>
      <c r="F6366" t="s">
        <v>476</v>
      </c>
      <c r="G6366" t="s">
        <v>687</v>
      </c>
    </row>
    <row r="6367" spans="1:8" x14ac:dyDescent="0.35">
      <c r="A6367" s="2">
        <v>43206</v>
      </c>
      <c r="B6367" s="70" t="s">
        <v>29</v>
      </c>
      <c r="C6367" s="10">
        <v>73</v>
      </c>
      <c r="D6367" s="10">
        <v>319</v>
      </c>
      <c r="E6367" s="10" t="s">
        <v>34</v>
      </c>
      <c r="F6367" t="s">
        <v>476</v>
      </c>
    </row>
    <row r="6368" spans="1:8" x14ac:dyDescent="0.35">
      <c r="A6368" s="2">
        <v>43206</v>
      </c>
      <c r="B6368" s="70" t="s">
        <v>29</v>
      </c>
      <c r="C6368" s="10">
        <v>74</v>
      </c>
      <c r="D6368" s="10">
        <v>370</v>
      </c>
      <c r="E6368" s="10" t="s">
        <v>33</v>
      </c>
      <c r="F6368" t="s">
        <v>646</v>
      </c>
    </row>
    <row r="6369" spans="1:8" x14ac:dyDescent="0.35">
      <c r="A6369" s="2">
        <v>43206</v>
      </c>
      <c r="B6369" s="70" t="s">
        <v>29</v>
      </c>
      <c r="C6369" s="10">
        <v>74</v>
      </c>
      <c r="D6369" s="10">
        <v>308</v>
      </c>
      <c r="E6369" s="10" t="s">
        <v>37</v>
      </c>
      <c r="F6369" t="s">
        <v>646</v>
      </c>
    </row>
    <row r="6370" spans="1:8" x14ac:dyDescent="0.35">
      <c r="A6370" s="2">
        <v>43206</v>
      </c>
      <c r="B6370" s="70" t="s">
        <v>29</v>
      </c>
      <c r="C6370" s="10">
        <v>70</v>
      </c>
      <c r="D6370" s="10">
        <v>244</v>
      </c>
      <c r="E6370" s="10" t="s">
        <v>32</v>
      </c>
      <c r="F6370" t="s">
        <v>646</v>
      </c>
    </row>
    <row r="6371" spans="1:8" x14ac:dyDescent="0.35">
      <c r="A6371" s="2">
        <v>43206</v>
      </c>
      <c r="B6371" s="70" t="s">
        <v>29</v>
      </c>
      <c r="C6371" s="10">
        <v>66</v>
      </c>
      <c r="D6371" s="10">
        <v>224</v>
      </c>
      <c r="E6371" s="10" t="s">
        <v>32</v>
      </c>
      <c r="F6371" t="s">
        <v>646</v>
      </c>
    </row>
    <row r="6372" spans="1:8" x14ac:dyDescent="0.35">
      <c r="A6372" s="2">
        <v>43206</v>
      </c>
      <c r="B6372" s="70" t="s">
        <v>29</v>
      </c>
      <c r="C6372" s="10">
        <v>67</v>
      </c>
      <c r="D6372" s="10">
        <v>245</v>
      </c>
      <c r="E6372" s="10" t="s">
        <v>34</v>
      </c>
      <c r="F6372" t="s">
        <v>476</v>
      </c>
    </row>
    <row r="6373" spans="1:8" x14ac:dyDescent="0.35">
      <c r="A6373" s="2">
        <v>43206</v>
      </c>
      <c r="B6373" s="70" t="s">
        <v>29</v>
      </c>
      <c r="C6373" s="10">
        <v>70</v>
      </c>
      <c r="D6373" s="10">
        <v>243</v>
      </c>
      <c r="E6373" s="10" t="s">
        <v>33</v>
      </c>
      <c r="F6373" t="s">
        <v>476</v>
      </c>
    </row>
    <row r="6374" spans="1:8" x14ac:dyDescent="0.35">
      <c r="A6374" s="2">
        <v>43206</v>
      </c>
      <c r="B6374" s="70" t="s">
        <v>29</v>
      </c>
      <c r="C6374" s="10">
        <v>70</v>
      </c>
      <c r="D6374" s="10">
        <v>249</v>
      </c>
      <c r="E6374" s="10" t="s">
        <v>33</v>
      </c>
      <c r="F6374" t="s">
        <v>646</v>
      </c>
    </row>
    <row r="6375" spans="1:8" x14ac:dyDescent="0.35">
      <c r="A6375" s="2">
        <v>43206</v>
      </c>
      <c r="B6375" s="70" t="s">
        <v>29</v>
      </c>
      <c r="C6375" s="10">
        <v>65</v>
      </c>
      <c r="D6375" s="10">
        <v>195</v>
      </c>
      <c r="E6375" s="10" t="s">
        <v>32</v>
      </c>
      <c r="F6375" t="s">
        <v>198</v>
      </c>
      <c r="G6375" t="s">
        <v>705</v>
      </c>
      <c r="H6375" t="s">
        <v>498</v>
      </c>
    </row>
    <row r="6376" spans="1:8" x14ac:dyDescent="0.35">
      <c r="A6376" s="2">
        <v>43206</v>
      </c>
      <c r="B6376" s="70" t="s">
        <v>29</v>
      </c>
      <c r="C6376" s="10">
        <v>65</v>
      </c>
      <c r="D6376" s="10">
        <v>217</v>
      </c>
      <c r="E6376" s="10" t="s">
        <v>34</v>
      </c>
      <c r="F6376" t="s">
        <v>646</v>
      </c>
      <c r="G6376" t="s">
        <v>706</v>
      </c>
    </row>
    <row r="6377" spans="1:8" x14ac:dyDescent="0.35">
      <c r="A6377" s="2">
        <v>43206</v>
      </c>
      <c r="B6377" s="70" t="s">
        <v>29</v>
      </c>
      <c r="C6377" s="10">
        <v>65</v>
      </c>
      <c r="D6377" s="10">
        <v>207</v>
      </c>
      <c r="E6377" s="10" t="s">
        <v>32</v>
      </c>
      <c r="F6377" t="s">
        <v>198</v>
      </c>
    </row>
    <row r="6378" spans="1:8" x14ac:dyDescent="0.35">
      <c r="A6378" s="2">
        <v>43206</v>
      </c>
      <c r="B6378" s="70" t="s">
        <v>29</v>
      </c>
      <c r="C6378" s="10">
        <v>70</v>
      </c>
      <c r="D6378" s="10">
        <v>303</v>
      </c>
      <c r="E6378" s="10" t="s">
        <v>34</v>
      </c>
      <c r="F6378" t="s">
        <v>646</v>
      </c>
      <c r="G6378" t="s">
        <v>696</v>
      </c>
    </row>
    <row r="6379" spans="1:8" x14ac:dyDescent="0.35">
      <c r="A6379" s="2">
        <v>43206</v>
      </c>
      <c r="B6379" s="70" t="s">
        <v>29</v>
      </c>
      <c r="C6379" s="10">
        <v>75</v>
      </c>
      <c r="D6379" s="10">
        <v>390</v>
      </c>
      <c r="E6379" s="10" t="s">
        <v>32</v>
      </c>
      <c r="F6379" t="s">
        <v>646</v>
      </c>
    </row>
    <row r="6380" spans="1:8" x14ac:dyDescent="0.35">
      <c r="A6380" s="2">
        <v>43206</v>
      </c>
      <c r="B6380" s="70" t="s">
        <v>29</v>
      </c>
      <c r="C6380" s="10">
        <v>75</v>
      </c>
      <c r="D6380" s="10">
        <v>320</v>
      </c>
      <c r="E6380" s="10" t="s">
        <v>33</v>
      </c>
      <c r="F6380" t="s">
        <v>476</v>
      </c>
    </row>
    <row r="6381" spans="1:8" x14ac:dyDescent="0.35">
      <c r="A6381" s="2">
        <v>43206</v>
      </c>
      <c r="B6381" s="70" t="s">
        <v>29</v>
      </c>
      <c r="C6381" s="10">
        <v>68</v>
      </c>
      <c r="D6381" s="10">
        <v>247</v>
      </c>
      <c r="E6381" s="10" t="s">
        <v>34</v>
      </c>
      <c r="F6381" t="s">
        <v>646</v>
      </c>
    </row>
    <row r="6382" spans="1:8" x14ac:dyDescent="0.35">
      <c r="A6382" s="2">
        <v>43206</v>
      </c>
      <c r="B6382" s="70" t="s">
        <v>29</v>
      </c>
      <c r="C6382" s="10">
        <v>67</v>
      </c>
      <c r="D6382" s="10">
        <v>172</v>
      </c>
      <c r="E6382" s="10" t="s">
        <v>34</v>
      </c>
      <c r="F6382" t="s">
        <v>476</v>
      </c>
    </row>
    <row r="6383" spans="1:8" x14ac:dyDescent="0.35">
      <c r="A6383" s="2">
        <v>43206</v>
      </c>
      <c r="B6383" s="70" t="s">
        <v>29</v>
      </c>
      <c r="C6383" s="10">
        <v>67</v>
      </c>
      <c r="D6383" s="10">
        <v>214</v>
      </c>
      <c r="E6383" s="10" t="s">
        <v>33</v>
      </c>
      <c r="F6383" t="s">
        <v>646</v>
      </c>
      <c r="G6383" t="s">
        <v>475</v>
      </c>
    </row>
    <row r="6384" spans="1:8" x14ac:dyDescent="0.35">
      <c r="A6384" s="2">
        <v>43206</v>
      </c>
      <c r="B6384" s="70" t="s">
        <v>29</v>
      </c>
      <c r="C6384" s="10">
        <v>68</v>
      </c>
      <c r="D6384" s="10">
        <v>257</v>
      </c>
      <c r="E6384" s="10" t="s">
        <v>34</v>
      </c>
      <c r="F6384" t="s">
        <v>646</v>
      </c>
    </row>
    <row r="6385" spans="1:24" x14ac:dyDescent="0.35">
      <c r="A6385" s="2">
        <v>43206</v>
      </c>
      <c r="B6385" s="70" t="s">
        <v>29</v>
      </c>
      <c r="C6385" s="10">
        <v>70</v>
      </c>
      <c r="D6385" s="10">
        <v>256</v>
      </c>
      <c r="E6385" s="10" t="s">
        <v>34</v>
      </c>
      <c r="F6385" t="s">
        <v>646</v>
      </c>
    </row>
    <row r="6386" spans="1:24" x14ac:dyDescent="0.35">
      <c r="A6386" s="2">
        <v>43206</v>
      </c>
      <c r="B6386" s="70" t="s">
        <v>29</v>
      </c>
      <c r="C6386" s="10">
        <v>73</v>
      </c>
      <c r="D6386" s="10">
        <v>349</v>
      </c>
      <c r="E6386" s="10" t="s">
        <v>34</v>
      </c>
      <c r="F6386" t="s">
        <v>476</v>
      </c>
    </row>
    <row r="6387" spans="1:24" x14ac:dyDescent="0.35">
      <c r="A6387" s="2">
        <v>43206</v>
      </c>
      <c r="B6387" s="70" t="s">
        <v>29</v>
      </c>
      <c r="C6387" s="10">
        <v>73</v>
      </c>
      <c r="D6387" s="10">
        <v>298</v>
      </c>
      <c r="E6387" s="10" t="s">
        <v>34</v>
      </c>
      <c r="F6387" t="s">
        <v>293</v>
      </c>
    </row>
    <row r="6388" spans="1:24" x14ac:dyDescent="0.35">
      <c r="A6388" s="2">
        <v>43206</v>
      </c>
      <c r="B6388" s="70" t="s">
        <v>29</v>
      </c>
      <c r="C6388" s="10">
        <v>71</v>
      </c>
      <c r="D6388" s="10">
        <v>297</v>
      </c>
      <c r="E6388" s="10" t="s">
        <v>33</v>
      </c>
      <c r="F6388" t="s">
        <v>476</v>
      </c>
    </row>
    <row r="6389" spans="1:24" x14ac:dyDescent="0.35">
      <c r="A6389" s="2">
        <v>43206</v>
      </c>
      <c r="B6389" s="70" t="s">
        <v>29</v>
      </c>
      <c r="C6389" s="10">
        <v>65</v>
      </c>
      <c r="D6389" s="10">
        <v>198</v>
      </c>
      <c r="E6389" s="10" t="s">
        <v>34</v>
      </c>
      <c r="F6389" t="s">
        <v>476</v>
      </c>
    </row>
    <row r="6390" spans="1:24" x14ac:dyDescent="0.35">
      <c r="A6390" s="2">
        <v>43206</v>
      </c>
      <c r="B6390" s="70" t="s">
        <v>29</v>
      </c>
      <c r="C6390" s="10">
        <v>73</v>
      </c>
      <c r="D6390" s="10">
        <v>320</v>
      </c>
      <c r="E6390" s="10" t="s">
        <v>32</v>
      </c>
      <c r="F6390" t="s">
        <v>646</v>
      </c>
    </row>
    <row r="6391" spans="1:24" x14ac:dyDescent="0.35">
      <c r="A6391" s="2">
        <v>43206</v>
      </c>
      <c r="B6391" s="70" t="s">
        <v>29</v>
      </c>
      <c r="C6391" s="10">
        <v>70</v>
      </c>
      <c r="D6391" s="10">
        <v>245</v>
      </c>
      <c r="E6391" s="10" t="s">
        <v>33</v>
      </c>
      <c r="F6391" t="s">
        <v>646</v>
      </c>
    </row>
    <row r="6392" spans="1:24" x14ac:dyDescent="0.35">
      <c r="A6392" s="2">
        <v>43206</v>
      </c>
      <c r="B6392" s="70" t="s">
        <v>29</v>
      </c>
      <c r="C6392" s="10">
        <v>70</v>
      </c>
      <c r="D6392" s="10">
        <v>211</v>
      </c>
      <c r="E6392" s="10" t="s">
        <v>34</v>
      </c>
      <c r="F6392" t="s">
        <v>293</v>
      </c>
      <c r="G6392" t="s">
        <v>705</v>
      </c>
      <c r="N6392" t="s">
        <v>42</v>
      </c>
      <c r="O6392" t="s">
        <v>39</v>
      </c>
      <c r="P6392" t="s">
        <v>40</v>
      </c>
      <c r="Q6392" t="s">
        <v>36</v>
      </c>
      <c r="R6392" t="s">
        <v>33</v>
      </c>
      <c r="S6392" t="s">
        <v>34</v>
      </c>
      <c r="T6392" t="s">
        <v>32</v>
      </c>
      <c r="U6392" t="s">
        <v>37</v>
      </c>
      <c r="V6392" t="s">
        <v>159</v>
      </c>
    </row>
    <row r="6393" spans="1:24" x14ac:dyDescent="0.35">
      <c r="A6393" s="2">
        <v>43206</v>
      </c>
      <c r="B6393" s="70" t="s">
        <v>29</v>
      </c>
      <c r="C6393" s="10">
        <v>73</v>
      </c>
      <c r="D6393" s="10">
        <v>312</v>
      </c>
      <c r="E6393" s="10" t="s">
        <v>34</v>
      </c>
      <c r="F6393" t="s">
        <v>198</v>
      </c>
      <c r="G6393" t="s">
        <v>702</v>
      </c>
      <c r="N6393" s="5">
        <f>COUNTIF(E6345:E6394,"VA")</f>
        <v>0</v>
      </c>
      <c r="O6393" s="5">
        <f>COUNTIF(E6345:E6394,"VB")</f>
        <v>0</v>
      </c>
      <c r="P6393" s="5">
        <f>COUNTIF(E6345:E6394,"VIA0")</f>
        <v>0</v>
      </c>
      <c r="Q6393" s="5">
        <f>COUNTIF(E6345:E6394,"VIA1")</f>
        <v>0</v>
      </c>
      <c r="R6393" s="5">
        <f>COUNTIF(E6345:E6394,"VIA2")</f>
        <v>11</v>
      </c>
      <c r="S6393" s="5">
        <f>COUNTIF(E6345:E6394,"VIA3")</f>
        <v>27</v>
      </c>
      <c r="T6393" s="5">
        <f>COUNTIF(E6345:E6394,"VIA4")</f>
        <v>11</v>
      </c>
      <c r="U6393" s="5">
        <f>COUNTIF(E6345:E6394,"VIB")</f>
        <v>1</v>
      </c>
      <c r="V6393" s="5">
        <f>COUNTIF(E6344:E6394,"VII")</f>
        <v>0</v>
      </c>
      <c r="W6393">
        <f>AVERAGE(C6345:C6394)</f>
        <v>69.599999999999994</v>
      </c>
      <c r="X6393">
        <f>AVERAGE(D6345:D6394)</f>
        <v>269.92</v>
      </c>
    </row>
    <row r="6394" spans="1:24" s="4" customFormat="1" x14ac:dyDescent="0.35">
      <c r="A6394" s="3">
        <v>43206</v>
      </c>
      <c r="B6394" s="44" t="s">
        <v>29</v>
      </c>
      <c r="C6394" s="11">
        <v>66</v>
      </c>
      <c r="D6394" s="11">
        <v>231</v>
      </c>
      <c r="E6394" s="11" t="s">
        <v>34</v>
      </c>
      <c r="F6394" s="4" t="s">
        <v>293</v>
      </c>
      <c r="N6394" s="6">
        <f>N6393/50*100</f>
        <v>0</v>
      </c>
      <c r="O6394" s="6">
        <f t="shared" ref="O6394" si="200">O6393/50*100</f>
        <v>0</v>
      </c>
      <c r="P6394" s="6">
        <f t="shared" ref="P6394" si="201">P6393/50*100</f>
        <v>0</v>
      </c>
      <c r="Q6394" s="6">
        <f t="shared" ref="Q6394" si="202">Q6393/50*100</f>
        <v>0</v>
      </c>
      <c r="R6394" s="6">
        <f t="shared" ref="R6394" si="203">R6393/50*100</f>
        <v>22</v>
      </c>
      <c r="S6394" s="6">
        <f t="shared" ref="S6394" si="204">S6393/50*100</f>
        <v>54</v>
      </c>
      <c r="T6394" s="6">
        <f t="shared" ref="T6394" si="205">T6393/50*100</f>
        <v>22</v>
      </c>
      <c r="U6394" s="6">
        <f t="shared" ref="U6394" si="206">U6393/50*100</f>
        <v>2</v>
      </c>
      <c r="V6394" s="6">
        <f t="shared" ref="V6394" si="207">V6393/50*100</f>
        <v>0</v>
      </c>
    </row>
    <row r="6395" spans="1:24" x14ac:dyDescent="0.35">
      <c r="A6395" s="2">
        <v>43206</v>
      </c>
      <c r="B6395" s="70" t="s">
        <v>38</v>
      </c>
      <c r="C6395" s="10">
        <v>102</v>
      </c>
      <c r="D6395" s="10">
        <v>1305</v>
      </c>
      <c r="E6395" s="10" t="s">
        <v>59</v>
      </c>
      <c r="O6395" t="s">
        <v>710</v>
      </c>
    </row>
    <row r="6396" spans="1:24" x14ac:dyDescent="0.35">
      <c r="A6396" s="2">
        <v>43206</v>
      </c>
      <c r="B6396" s="70" t="s">
        <v>38</v>
      </c>
      <c r="C6396" s="10">
        <v>73</v>
      </c>
      <c r="D6396">
        <v>334</v>
      </c>
      <c r="E6396" s="10" t="s">
        <v>34</v>
      </c>
      <c r="F6396" s="10" t="s">
        <v>293</v>
      </c>
    </row>
    <row r="6397" spans="1:24" x14ac:dyDescent="0.35">
      <c r="A6397" s="2">
        <v>43206</v>
      </c>
      <c r="B6397" s="70" t="s">
        <v>38</v>
      </c>
      <c r="C6397" s="10">
        <v>72</v>
      </c>
      <c r="D6397">
        <v>308</v>
      </c>
      <c r="E6397" s="10" t="s">
        <v>34</v>
      </c>
      <c r="F6397" s="10" t="s">
        <v>476</v>
      </c>
    </row>
    <row r="6398" spans="1:24" x14ac:dyDescent="0.35">
      <c r="A6398" s="2">
        <v>43206</v>
      </c>
      <c r="B6398" s="70" t="s">
        <v>38</v>
      </c>
      <c r="C6398" s="10">
        <v>72</v>
      </c>
      <c r="D6398">
        <v>331</v>
      </c>
      <c r="E6398" s="10" t="s">
        <v>33</v>
      </c>
      <c r="F6398" s="10" t="s">
        <v>646</v>
      </c>
    </row>
    <row r="6399" spans="1:24" x14ac:dyDescent="0.35">
      <c r="A6399" s="2">
        <v>43206</v>
      </c>
      <c r="B6399" s="70" t="s">
        <v>38</v>
      </c>
      <c r="C6399" s="10">
        <v>72</v>
      </c>
      <c r="D6399">
        <v>329</v>
      </c>
      <c r="E6399" s="10" t="s">
        <v>33</v>
      </c>
      <c r="F6399" s="10" t="s">
        <v>476</v>
      </c>
    </row>
    <row r="6400" spans="1:24" x14ac:dyDescent="0.35">
      <c r="A6400" s="2">
        <v>43206</v>
      </c>
      <c r="B6400" s="70" t="s">
        <v>38</v>
      </c>
      <c r="C6400" s="10">
        <v>72</v>
      </c>
      <c r="D6400">
        <v>282</v>
      </c>
      <c r="E6400" s="10" t="s">
        <v>32</v>
      </c>
      <c r="F6400" s="10" t="s">
        <v>476</v>
      </c>
    </row>
    <row r="6401" spans="1:7" x14ac:dyDescent="0.35">
      <c r="A6401" s="2">
        <v>43206</v>
      </c>
      <c r="B6401" s="70" t="s">
        <v>38</v>
      </c>
      <c r="C6401" s="10">
        <v>72</v>
      </c>
      <c r="D6401">
        <v>356</v>
      </c>
      <c r="E6401" s="10" t="s">
        <v>34</v>
      </c>
      <c r="F6401" s="10" t="s">
        <v>646</v>
      </c>
    </row>
    <row r="6402" spans="1:7" x14ac:dyDescent="0.35">
      <c r="A6402" s="2">
        <v>43206</v>
      </c>
      <c r="B6402" s="70" t="s">
        <v>38</v>
      </c>
      <c r="C6402" s="10">
        <v>65</v>
      </c>
      <c r="D6402">
        <v>266</v>
      </c>
      <c r="E6402" s="10" t="s">
        <v>34</v>
      </c>
      <c r="F6402" s="10" t="s">
        <v>646</v>
      </c>
      <c r="G6402" t="s">
        <v>707</v>
      </c>
    </row>
    <row r="6403" spans="1:7" x14ac:dyDescent="0.35">
      <c r="A6403" s="2">
        <v>43206</v>
      </c>
      <c r="B6403" s="70" t="s">
        <v>38</v>
      </c>
      <c r="C6403" s="10">
        <v>77</v>
      </c>
      <c r="D6403">
        <v>327</v>
      </c>
      <c r="E6403" s="10" t="s">
        <v>34</v>
      </c>
      <c r="F6403" s="10" t="s">
        <v>646</v>
      </c>
    </row>
    <row r="6404" spans="1:7" x14ac:dyDescent="0.35">
      <c r="A6404" s="2">
        <v>43206</v>
      </c>
      <c r="B6404" s="70" t="s">
        <v>38</v>
      </c>
      <c r="C6404" s="10">
        <v>64</v>
      </c>
      <c r="D6404">
        <v>239</v>
      </c>
      <c r="E6404" s="10" t="s">
        <v>34</v>
      </c>
      <c r="F6404" s="10" t="s">
        <v>646</v>
      </c>
    </row>
    <row r="6405" spans="1:7" x14ac:dyDescent="0.35">
      <c r="A6405" s="2">
        <v>43206</v>
      </c>
      <c r="B6405" s="70" t="s">
        <v>38</v>
      </c>
      <c r="C6405" s="10">
        <v>73</v>
      </c>
      <c r="D6405">
        <v>365</v>
      </c>
      <c r="E6405" s="10" t="s">
        <v>34</v>
      </c>
      <c r="F6405" s="10" t="s">
        <v>476</v>
      </c>
    </row>
    <row r="6406" spans="1:7" x14ac:dyDescent="0.35">
      <c r="A6406" s="2">
        <v>43206</v>
      </c>
      <c r="B6406" s="70" t="s">
        <v>38</v>
      </c>
      <c r="C6406" s="10">
        <v>71</v>
      </c>
      <c r="D6406">
        <v>293</v>
      </c>
      <c r="E6406" s="10" t="s">
        <v>32</v>
      </c>
      <c r="F6406" s="10" t="s">
        <v>646</v>
      </c>
    </row>
    <row r="6407" spans="1:7" x14ac:dyDescent="0.35">
      <c r="A6407" s="2">
        <v>43206</v>
      </c>
      <c r="B6407" s="70" t="s">
        <v>38</v>
      </c>
      <c r="C6407" s="10">
        <v>65</v>
      </c>
      <c r="D6407">
        <v>257</v>
      </c>
      <c r="E6407" s="10" t="s">
        <v>34</v>
      </c>
      <c r="F6407" s="10" t="s">
        <v>476</v>
      </c>
    </row>
    <row r="6408" spans="1:7" x14ac:dyDescent="0.35">
      <c r="A6408" s="2">
        <v>43206</v>
      </c>
      <c r="B6408" s="70" t="s">
        <v>38</v>
      </c>
      <c r="C6408" s="10">
        <v>69</v>
      </c>
      <c r="D6408">
        <v>227</v>
      </c>
      <c r="E6408" s="10" t="s">
        <v>33</v>
      </c>
      <c r="F6408" s="10" t="s">
        <v>646</v>
      </c>
    </row>
    <row r="6409" spans="1:7" x14ac:dyDescent="0.35">
      <c r="A6409" s="2">
        <v>43206</v>
      </c>
      <c r="B6409" s="70" t="s">
        <v>38</v>
      </c>
      <c r="C6409" s="10">
        <v>68</v>
      </c>
      <c r="D6409">
        <v>268</v>
      </c>
      <c r="E6409" s="10" t="s">
        <v>33</v>
      </c>
      <c r="F6409" s="10" t="s">
        <v>476</v>
      </c>
    </row>
    <row r="6410" spans="1:7" x14ac:dyDescent="0.35">
      <c r="A6410" s="2">
        <v>43206</v>
      </c>
      <c r="B6410" s="70" t="s">
        <v>38</v>
      </c>
      <c r="C6410" s="10">
        <v>69</v>
      </c>
      <c r="D6410">
        <v>253</v>
      </c>
      <c r="E6410" s="10" t="s">
        <v>36</v>
      </c>
      <c r="F6410" s="10" t="s">
        <v>476</v>
      </c>
    </row>
    <row r="6411" spans="1:7" x14ac:dyDescent="0.35">
      <c r="A6411" s="2">
        <v>43206</v>
      </c>
      <c r="B6411" s="70" t="s">
        <v>38</v>
      </c>
      <c r="C6411" s="10">
        <v>68</v>
      </c>
      <c r="D6411">
        <v>283</v>
      </c>
      <c r="E6411" s="10" t="s">
        <v>34</v>
      </c>
      <c r="F6411" s="10" t="s">
        <v>646</v>
      </c>
      <c r="G6411" t="s">
        <v>475</v>
      </c>
    </row>
    <row r="6412" spans="1:7" x14ac:dyDescent="0.35">
      <c r="A6412" s="2">
        <v>43206</v>
      </c>
      <c r="B6412" s="70" t="s">
        <v>38</v>
      </c>
      <c r="C6412" s="10">
        <v>64</v>
      </c>
      <c r="D6412">
        <v>193</v>
      </c>
      <c r="E6412" s="10" t="s">
        <v>32</v>
      </c>
      <c r="F6412" s="10" t="s">
        <v>646</v>
      </c>
    </row>
    <row r="6413" spans="1:7" x14ac:dyDescent="0.35">
      <c r="A6413" s="2">
        <v>43206</v>
      </c>
      <c r="B6413" s="70" t="s">
        <v>38</v>
      </c>
      <c r="C6413" s="10">
        <v>72</v>
      </c>
      <c r="D6413">
        <v>348</v>
      </c>
      <c r="E6413" s="10" t="s">
        <v>33</v>
      </c>
      <c r="F6413" s="10" t="s">
        <v>646</v>
      </c>
      <c r="G6413" t="s">
        <v>705</v>
      </c>
    </row>
    <row r="6414" spans="1:7" x14ac:dyDescent="0.35">
      <c r="A6414" s="2">
        <v>43206</v>
      </c>
      <c r="B6414" s="70" t="s">
        <v>38</v>
      </c>
      <c r="C6414" s="10">
        <v>68</v>
      </c>
      <c r="D6414">
        <v>215</v>
      </c>
      <c r="E6414" s="10" t="s">
        <v>34</v>
      </c>
      <c r="F6414" s="10" t="s">
        <v>646</v>
      </c>
      <c r="G6414" t="s">
        <v>706</v>
      </c>
    </row>
    <row r="6415" spans="1:7" x14ac:dyDescent="0.35">
      <c r="A6415" s="2">
        <v>43206</v>
      </c>
      <c r="B6415" s="70" t="s">
        <v>38</v>
      </c>
      <c r="C6415" s="10">
        <v>69</v>
      </c>
      <c r="D6415">
        <v>258</v>
      </c>
      <c r="E6415" s="10" t="s">
        <v>32</v>
      </c>
      <c r="F6415" s="10" t="s">
        <v>646</v>
      </c>
      <c r="G6415" t="s">
        <v>706</v>
      </c>
    </row>
    <row r="6416" spans="1:7" x14ac:dyDescent="0.35">
      <c r="A6416" s="2">
        <v>43206</v>
      </c>
      <c r="B6416" s="70" t="s">
        <v>38</v>
      </c>
      <c r="C6416" s="10">
        <v>74</v>
      </c>
      <c r="D6416">
        <v>318</v>
      </c>
      <c r="E6416" s="10" t="s">
        <v>34</v>
      </c>
      <c r="F6416" s="10" t="s">
        <v>476</v>
      </c>
    </row>
    <row r="6417" spans="1:8" x14ac:dyDescent="0.35">
      <c r="A6417" s="2">
        <v>43206</v>
      </c>
      <c r="B6417" s="70" t="s">
        <v>38</v>
      </c>
      <c r="C6417" s="10">
        <v>67</v>
      </c>
      <c r="D6417">
        <v>259</v>
      </c>
      <c r="E6417" s="10" t="s">
        <v>32</v>
      </c>
      <c r="F6417" s="10" t="s">
        <v>293</v>
      </c>
      <c r="G6417" t="s">
        <v>706</v>
      </c>
    </row>
    <row r="6418" spans="1:8" x14ac:dyDescent="0.35">
      <c r="A6418" s="2">
        <v>43206</v>
      </c>
      <c r="B6418" s="70" t="s">
        <v>38</v>
      </c>
      <c r="C6418" s="10">
        <v>69</v>
      </c>
      <c r="D6418">
        <v>257</v>
      </c>
      <c r="E6418" s="10" t="s">
        <v>34</v>
      </c>
      <c r="F6418" s="10" t="s">
        <v>646</v>
      </c>
    </row>
    <row r="6419" spans="1:8" x14ac:dyDescent="0.35">
      <c r="A6419" s="2">
        <v>43206</v>
      </c>
      <c r="B6419" s="70" t="s">
        <v>38</v>
      </c>
      <c r="C6419" s="10">
        <v>68</v>
      </c>
      <c r="D6419">
        <v>269</v>
      </c>
      <c r="E6419" s="10" t="s">
        <v>33</v>
      </c>
      <c r="F6419" s="10" t="s">
        <v>476</v>
      </c>
    </row>
    <row r="6420" spans="1:8" x14ac:dyDescent="0.35">
      <c r="A6420" s="2">
        <v>43206</v>
      </c>
      <c r="B6420" s="70" t="s">
        <v>38</v>
      </c>
      <c r="C6420" s="10">
        <v>70</v>
      </c>
      <c r="D6420">
        <v>320</v>
      </c>
      <c r="E6420" s="10" t="s">
        <v>40</v>
      </c>
      <c r="F6420" s="10" t="s">
        <v>646</v>
      </c>
    </row>
    <row r="6421" spans="1:8" x14ac:dyDescent="0.35">
      <c r="A6421" s="2">
        <v>43206</v>
      </c>
      <c r="B6421" s="70" t="s">
        <v>38</v>
      </c>
      <c r="C6421" s="10">
        <v>70</v>
      </c>
      <c r="D6421">
        <v>271</v>
      </c>
      <c r="E6421" s="10" t="s">
        <v>32</v>
      </c>
      <c r="F6421" s="10" t="s">
        <v>476</v>
      </c>
    </row>
    <row r="6422" spans="1:8" x14ac:dyDescent="0.35">
      <c r="A6422" s="2">
        <v>43206</v>
      </c>
      <c r="B6422" s="70" t="s">
        <v>38</v>
      </c>
      <c r="C6422" s="10">
        <v>73</v>
      </c>
      <c r="D6422">
        <v>284</v>
      </c>
      <c r="E6422" s="10" t="s">
        <v>34</v>
      </c>
      <c r="F6422" s="10" t="s">
        <v>293</v>
      </c>
      <c r="G6422" t="s">
        <v>705</v>
      </c>
      <c r="H6422" t="s">
        <v>708</v>
      </c>
    </row>
    <row r="6423" spans="1:8" x14ac:dyDescent="0.35">
      <c r="A6423" s="2">
        <v>43206</v>
      </c>
      <c r="B6423" s="70" t="s">
        <v>38</v>
      </c>
      <c r="C6423" s="10">
        <v>68</v>
      </c>
      <c r="D6423">
        <v>270</v>
      </c>
      <c r="E6423" s="10" t="s">
        <v>34</v>
      </c>
      <c r="F6423" s="10" t="s">
        <v>476</v>
      </c>
    </row>
    <row r="6424" spans="1:8" x14ac:dyDescent="0.35">
      <c r="A6424" s="2">
        <v>43206</v>
      </c>
      <c r="B6424" s="70" t="s">
        <v>38</v>
      </c>
      <c r="C6424" s="10">
        <v>72</v>
      </c>
      <c r="D6424">
        <v>240</v>
      </c>
      <c r="E6424" s="10" t="s">
        <v>32</v>
      </c>
      <c r="F6424" s="10" t="s">
        <v>646</v>
      </c>
    </row>
    <row r="6425" spans="1:8" x14ac:dyDescent="0.35">
      <c r="A6425" s="2">
        <v>43206</v>
      </c>
      <c r="B6425" s="70" t="s">
        <v>38</v>
      </c>
      <c r="C6425" s="10">
        <v>68</v>
      </c>
      <c r="D6425">
        <v>270</v>
      </c>
      <c r="E6425" s="10" t="s">
        <v>34</v>
      </c>
      <c r="F6425" s="10" t="s">
        <v>646</v>
      </c>
    </row>
    <row r="6426" spans="1:8" x14ac:dyDescent="0.35">
      <c r="A6426" s="2">
        <v>43206</v>
      </c>
      <c r="B6426" s="70" t="s">
        <v>38</v>
      </c>
      <c r="C6426" s="10">
        <v>67</v>
      </c>
      <c r="D6426">
        <v>226</v>
      </c>
      <c r="E6426" s="10" t="s">
        <v>32</v>
      </c>
      <c r="F6426" s="10" t="s">
        <v>198</v>
      </c>
      <c r="G6426" t="s">
        <v>702</v>
      </c>
    </row>
    <row r="6427" spans="1:8" x14ac:dyDescent="0.35">
      <c r="A6427" s="2">
        <v>43206</v>
      </c>
      <c r="B6427" s="70" t="s">
        <v>38</v>
      </c>
      <c r="C6427" s="10">
        <v>68</v>
      </c>
      <c r="D6427">
        <v>299</v>
      </c>
      <c r="E6427" s="10" t="s">
        <v>36</v>
      </c>
      <c r="F6427" s="10" t="s">
        <v>646</v>
      </c>
    </row>
    <row r="6428" spans="1:8" x14ac:dyDescent="0.35">
      <c r="A6428" s="2">
        <v>43206</v>
      </c>
      <c r="B6428" s="70" t="s">
        <v>38</v>
      </c>
      <c r="C6428" s="10">
        <v>72</v>
      </c>
      <c r="D6428">
        <v>311</v>
      </c>
      <c r="E6428" s="10" t="s">
        <v>34</v>
      </c>
      <c r="F6428" s="10" t="s">
        <v>476</v>
      </c>
    </row>
    <row r="6429" spans="1:8" x14ac:dyDescent="0.35">
      <c r="A6429" s="2">
        <v>43206</v>
      </c>
      <c r="B6429" s="70" t="s">
        <v>38</v>
      </c>
      <c r="C6429" s="10">
        <v>74</v>
      </c>
      <c r="D6429">
        <v>310</v>
      </c>
      <c r="E6429" s="10" t="s">
        <v>32</v>
      </c>
      <c r="F6429" s="10" t="s">
        <v>646</v>
      </c>
    </row>
    <row r="6430" spans="1:8" x14ac:dyDescent="0.35">
      <c r="A6430" s="2">
        <v>43206</v>
      </c>
      <c r="B6430" s="70" t="s">
        <v>38</v>
      </c>
      <c r="C6430" s="10">
        <v>70</v>
      </c>
      <c r="D6430">
        <v>327</v>
      </c>
      <c r="E6430" s="10" t="s">
        <v>34</v>
      </c>
      <c r="F6430" s="10" t="s">
        <v>476</v>
      </c>
    </row>
    <row r="6431" spans="1:8" x14ac:dyDescent="0.35">
      <c r="A6431" s="2">
        <v>43206</v>
      </c>
      <c r="B6431" s="70" t="s">
        <v>38</v>
      </c>
      <c r="C6431" s="10">
        <v>65</v>
      </c>
      <c r="D6431">
        <v>245</v>
      </c>
      <c r="E6431" s="10" t="s">
        <v>34</v>
      </c>
      <c r="F6431" s="10" t="s">
        <v>476</v>
      </c>
    </row>
    <row r="6432" spans="1:8" x14ac:dyDescent="0.35">
      <c r="A6432" s="2">
        <v>43206</v>
      </c>
      <c r="B6432" s="70" t="s">
        <v>38</v>
      </c>
      <c r="C6432" s="10">
        <v>71</v>
      </c>
      <c r="D6432">
        <v>340</v>
      </c>
      <c r="E6432" s="10" t="s">
        <v>33</v>
      </c>
      <c r="F6432" s="10" t="s">
        <v>476</v>
      </c>
    </row>
    <row r="6433" spans="1:24" x14ac:dyDescent="0.35">
      <c r="A6433" s="2">
        <v>43206</v>
      </c>
      <c r="B6433" s="70" t="s">
        <v>38</v>
      </c>
      <c r="C6433" s="10">
        <v>69</v>
      </c>
      <c r="D6433">
        <v>281</v>
      </c>
      <c r="E6433" s="10" t="s">
        <v>33</v>
      </c>
      <c r="F6433" s="10" t="s">
        <v>476</v>
      </c>
    </row>
    <row r="6434" spans="1:24" x14ac:dyDescent="0.35">
      <c r="A6434" s="2">
        <v>43206</v>
      </c>
      <c r="B6434" s="70" t="s">
        <v>38</v>
      </c>
      <c r="C6434" s="10">
        <v>74</v>
      </c>
      <c r="D6434">
        <v>299</v>
      </c>
      <c r="E6434" s="10" t="s">
        <v>34</v>
      </c>
      <c r="F6434" s="10" t="s">
        <v>198</v>
      </c>
      <c r="G6434" t="s">
        <v>705</v>
      </c>
    </row>
    <row r="6435" spans="1:24" x14ac:dyDescent="0.35">
      <c r="A6435" s="2">
        <v>43206</v>
      </c>
      <c r="B6435" s="70" t="s">
        <v>38</v>
      </c>
      <c r="C6435" s="10">
        <v>68</v>
      </c>
      <c r="D6435">
        <v>302</v>
      </c>
      <c r="E6435" s="10" t="s">
        <v>34</v>
      </c>
      <c r="F6435" s="10" t="s">
        <v>646</v>
      </c>
    </row>
    <row r="6436" spans="1:24" x14ac:dyDescent="0.35">
      <c r="A6436" s="2">
        <v>43206</v>
      </c>
      <c r="B6436" s="70" t="s">
        <v>38</v>
      </c>
      <c r="C6436" s="10">
        <v>65</v>
      </c>
      <c r="D6436">
        <v>268</v>
      </c>
      <c r="E6436" s="10" t="s">
        <v>34</v>
      </c>
      <c r="F6436" s="10" t="s">
        <v>476</v>
      </c>
    </row>
    <row r="6437" spans="1:24" x14ac:dyDescent="0.35">
      <c r="A6437" s="2">
        <v>43206</v>
      </c>
      <c r="B6437" s="70" t="s">
        <v>38</v>
      </c>
      <c r="C6437" s="10">
        <v>69</v>
      </c>
      <c r="D6437">
        <v>264</v>
      </c>
      <c r="E6437" s="10" t="s">
        <v>34</v>
      </c>
      <c r="F6437" s="10" t="s">
        <v>476</v>
      </c>
    </row>
    <row r="6438" spans="1:24" x14ac:dyDescent="0.35">
      <c r="A6438" s="2">
        <v>43206</v>
      </c>
      <c r="B6438" s="70" t="s">
        <v>38</v>
      </c>
      <c r="C6438" s="10">
        <v>65</v>
      </c>
      <c r="D6438">
        <v>188</v>
      </c>
      <c r="E6438" s="10" t="s">
        <v>33</v>
      </c>
      <c r="F6438" s="10" t="s">
        <v>476</v>
      </c>
      <c r="N6438" t="s">
        <v>42</v>
      </c>
      <c r="O6438" t="s">
        <v>39</v>
      </c>
      <c r="P6438" t="s">
        <v>40</v>
      </c>
      <c r="Q6438" t="s">
        <v>36</v>
      </c>
      <c r="R6438" t="s">
        <v>33</v>
      </c>
      <c r="S6438" t="s">
        <v>34</v>
      </c>
      <c r="T6438" t="s">
        <v>32</v>
      </c>
      <c r="U6438" t="s">
        <v>37</v>
      </c>
      <c r="V6438" t="s">
        <v>159</v>
      </c>
    </row>
    <row r="6439" spans="1:24" x14ac:dyDescent="0.35">
      <c r="A6439" s="2">
        <v>43206</v>
      </c>
      <c r="B6439" s="70" t="s">
        <v>38</v>
      </c>
      <c r="C6439" s="10">
        <v>70</v>
      </c>
      <c r="D6439">
        <v>314</v>
      </c>
      <c r="E6439" s="10" t="s">
        <v>34</v>
      </c>
      <c r="F6439" s="10" t="s">
        <v>646</v>
      </c>
      <c r="N6439">
        <f>N6444+N6393</f>
        <v>0</v>
      </c>
      <c r="O6439">
        <f t="shared" ref="O6439:V6439" si="208">O6444+O6393</f>
        <v>0</v>
      </c>
      <c r="P6439">
        <f t="shared" si="208"/>
        <v>1</v>
      </c>
      <c r="Q6439">
        <f t="shared" si="208"/>
        <v>2</v>
      </c>
      <c r="R6439">
        <f t="shared" si="208"/>
        <v>20</v>
      </c>
      <c r="S6439">
        <f t="shared" si="208"/>
        <v>55</v>
      </c>
      <c r="T6439">
        <f t="shared" si="208"/>
        <v>21</v>
      </c>
      <c r="U6439">
        <f t="shared" si="208"/>
        <v>1</v>
      </c>
      <c r="V6439">
        <f t="shared" si="208"/>
        <v>0</v>
      </c>
      <c r="W6439">
        <f>AVERAGE(C6396:C6445,C6345:C6394)</f>
        <v>69.56</v>
      </c>
      <c r="X6439">
        <f>AVERAGE(D6396:D6445,D6345:D6394)</f>
        <v>278.11</v>
      </c>
    </row>
    <row r="6440" spans="1:24" x14ac:dyDescent="0.35">
      <c r="A6440" s="2">
        <v>43206</v>
      </c>
      <c r="B6440" s="70" t="s">
        <v>38</v>
      </c>
      <c r="C6440" s="10">
        <v>70</v>
      </c>
      <c r="D6440">
        <v>287</v>
      </c>
      <c r="E6440" s="10" t="s">
        <v>32</v>
      </c>
      <c r="F6440" s="10" t="s">
        <v>476</v>
      </c>
    </row>
    <row r="6441" spans="1:24" x14ac:dyDescent="0.35">
      <c r="A6441" s="2">
        <v>43206</v>
      </c>
      <c r="B6441" s="70" t="s">
        <v>38</v>
      </c>
      <c r="C6441" s="10">
        <v>67</v>
      </c>
      <c r="D6441">
        <v>255</v>
      </c>
      <c r="E6441" s="10" t="s">
        <v>34</v>
      </c>
      <c r="F6441" s="10" t="s">
        <v>476</v>
      </c>
    </row>
    <row r="6442" spans="1:24" x14ac:dyDescent="0.35">
      <c r="A6442" s="2">
        <v>43206</v>
      </c>
      <c r="B6442" s="70" t="s">
        <v>38</v>
      </c>
      <c r="C6442" s="10">
        <v>73</v>
      </c>
      <c r="D6442">
        <v>363</v>
      </c>
      <c r="E6442" s="10" t="s">
        <v>34</v>
      </c>
      <c r="F6442" s="10" t="s">
        <v>646</v>
      </c>
    </row>
    <row r="6443" spans="1:24" x14ac:dyDescent="0.35">
      <c r="A6443" s="2">
        <v>43206</v>
      </c>
      <c r="B6443" s="70" t="s">
        <v>38</v>
      </c>
      <c r="C6443" s="10">
        <v>62</v>
      </c>
      <c r="D6443">
        <v>248</v>
      </c>
      <c r="E6443" s="10" t="s">
        <v>34</v>
      </c>
      <c r="F6443" s="10" t="s">
        <v>476</v>
      </c>
      <c r="N6443" t="s">
        <v>42</v>
      </c>
      <c r="O6443" t="s">
        <v>39</v>
      </c>
      <c r="P6443" t="s">
        <v>40</v>
      </c>
      <c r="Q6443" t="s">
        <v>36</v>
      </c>
      <c r="R6443" t="s">
        <v>33</v>
      </c>
      <c r="S6443" t="s">
        <v>34</v>
      </c>
      <c r="T6443" t="s">
        <v>32</v>
      </c>
      <c r="U6443" t="s">
        <v>37</v>
      </c>
      <c r="V6443" t="s">
        <v>159</v>
      </c>
    </row>
    <row r="6444" spans="1:24" x14ac:dyDescent="0.35">
      <c r="A6444" s="2">
        <v>43206</v>
      </c>
      <c r="B6444" s="70" t="s">
        <v>38</v>
      </c>
      <c r="C6444" s="10">
        <v>69</v>
      </c>
      <c r="D6444">
        <v>320</v>
      </c>
      <c r="E6444" s="10" t="s">
        <v>34</v>
      </c>
      <c r="F6444" s="10" t="s">
        <v>476</v>
      </c>
      <c r="N6444" s="5">
        <f>COUNTIF(E6396:E6445,"VA")</f>
        <v>0</v>
      </c>
      <c r="O6444" s="5">
        <f>COUNTIF(E6396:E6445,"VB")</f>
        <v>0</v>
      </c>
      <c r="P6444" s="5">
        <f>COUNTIF(E6396:E6445,"VIA0")</f>
        <v>1</v>
      </c>
      <c r="Q6444" s="5">
        <f>COUNTIF(E6396:E6445,"VIA1")</f>
        <v>2</v>
      </c>
      <c r="R6444" s="5">
        <f>COUNTIF(E6396:E6445,"VIA2")</f>
        <v>9</v>
      </c>
      <c r="S6444" s="5">
        <f>COUNTIF(E6396:E6445,"VIA3")</f>
        <v>28</v>
      </c>
      <c r="T6444" s="5">
        <f>COUNTIF(E6396:E6445,"VIA4")</f>
        <v>10</v>
      </c>
      <c r="U6444" s="5">
        <f>COUNTIF(E6396:E6445,"VIB")</f>
        <v>0</v>
      </c>
      <c r="V6444" s="5">
        <f>COUNTIF(E6395:E6445,"VII")</f>
        <v>0</v>
      </c>
      <c r="W6444">
        <f>AVERAGE(C6396:C6445)</f>
        <v>69.52</v>
      </c>
      <c r="X6444">
        <f>AVERAGE(D6396:D6445)</f>
        <v>286.3</v>
      </c>
    </row>
    <row r="6445" spans="1:24" s="4" customFormat="1" x14ac:dyDescent="0.35">
      <c r="A6445" s="3">
        <v>43206</v>
      </c>
      <c r="B6445" s="44" t="s">
        <v>38</v>
      </c>
      <c r="C6445" s="11">
        <v>74</v>
      </c>
      <c r="D6445" s="4">
        <v>378</v>
      </c>
      <c r="E6445" s="11" t="s">
        <v>34</v>
      </c>
      <c r="F6445" s="11" t="s">
        <v>198</v>
      </c>
      <c r="G6445" s="4" t="s">
        <v>706</v>
      </c>
      <c r="N6445" s="6">
        <f>N6444/50*100</f>
        <v>0</v>
      </c>
      <c r="O6445" s="6">
        <f t="shared" ref="O6445" si="209">O6444/50*100</f>
        <v>0</v>
      </c>
      <c r="P6445" s="6">
        <f t="shared" ref="P6445" si="210">P6444/50*100</f>
        <v>2</v>
      </c>
      <c r="Q6445" s="6">
        <f t="shared" ref="Q6445" si="211">Q6444/50*100</f>
        <v>4</v>
      </c>
      <c r="R6445" s="6">
        <f t="shared" ref="R6445" si="212">R6444/50*100</f>
        <v>18</v>
      </c>
      <c r="S6445" s="6">
        <f t="shared" ref="S6445" si="213">S6444/50*100</f>
        <v>56.000000000000007</v>
      </c>
      <c r="T6445" s="6">
        <f t="shared" ref="T6445" si="214">T6444/50*100</f>
        <v>20</v>
      </c>
      <c r="U6445" s="6">
        <f t="shared" ref="U6445" si="215">U6444/50*100</f>
        <v>0</v>
      </c>
      <c r="V6445" s="6">
        <f t="shared" ref="V6445" si="216">V6444/50*100</f>
        <v>0</v>
      </c>
    </row>
    <row r="6446" spans="1:24" x14ac:dyDescent="0.35">
      <c r="A6446" s="2">
        <v>43206</v>
      </c>
      <c r="B6446" s="70" t="s">
        <v>102</v>
      </c>
      <c r="C6446" s="10">
        <v>68</v>
      </c>
      <c r="D6446" s="10">
        <v>267</v>
      </c>
      <c r="E6446" s="10" t="s">
        <v>32</v>
      </c>
      <c r="F6446" s="10" t="s">
        <v>646</v>
      </c>
      <c r="L6446">
        <f>COUNTIF(F6446:F6528,"F-")</f>
        <v>7</v>
      </c>
    </row>
    <row r="6447" spans="1:24" x14ac:dyDescent="0.35">
      <c r="A6447" s="2">
        <v>43206</v>
      </c>
      <c r="B6447" s="70" t="s">
        <v>102</v>
      </c>
      <c r="C6447" s="10">
        <v>71</v>
      </c>
      <c r="D6447" s="10">
        <v>303</v>
      </c>
      <c r="E6447" s="10" t="s">
        <v>34</v>
      </c>
      <c r="F6447" s="10" t="s">
        <v>646</v>
      </c>
    </row>
    <row r="6448" spans="1:24" x14ac:dyDescent="0.35">
      <c r="A6448" s="2">
        <v>43206</v>
      </c>
      <c r="B6448" s="70" t="s">
        <v>102</v>
      </c>
      <c r="C6448" s="10">
        <v>73</v>
      </c>
      <c r="D6448" s="10">
        <v>323</v>
      </c>
      <c r="E6448" s="10" t="s">
        <v>32</v>
      </c>
      <c r="F6448" s="10" t="s">
        <v>198</v>
      </c>
      <c r="G6448" t="s">
        <v>711</v>
      </c>
    </row>
    <row r="6449" spans="1:7" x14ac:dyDescent="0.35">
      <c r="A6449" s="2">
        <v>43206</v>
      </c>
      <c r="B6449" s="70" t="s">
        <v>102</v>
      </c>
      <c r="C6449" s="10">
        <v>75</v>
      </c>
      <c r="D6449" s="10">
        <v>350</v>
      </c>
      <c r="E6449" s="10" t="s">
        <v>33</v>
      </c>
      <c r="F6449" s="10" t="s">
        <v>646</v>
      </c>
    </row>
    <row r="6450" spans="1:7" x14ac:dyDescent="0.35">
      <c r="A6450" s="2">
        <v>43206</v>
      </c>
      <c r="B6450" s="70" t="s">
        <v>102</v>
      </c>
      <c r="C6450" s="10">
        <v>73</v>
      </c>
      <c r="D6450" s="10">
        <v>265</v>
      </c>
      <c r="E6450" s="10" t="s">
        <v>40</v>
      </c>
      <c r="F6450" s="10" t="s">
        <v>476</v>
      </c>
    </row>
    <row r="6451" spans="1:7" x14ac:dyDescent="0.35">
      <c r="A6451" s="2">
        <v>43206</v>
      </c>
      <c r="B6451" s="70" t="s">
        <v>102</v>
      </c>
      <c r="C6451" s="10">
        <v>64</v>
      </c>
      <c r="D6451" s="10">
        <v>230</v>
      </c>
      <c r="E6451" s="10" t="s">
        <v>34</v>
      </c>
      <c r="F6451" s="10" t="s">
        <v>476</v>
      </c>
    </row>
    <row r="6452" spans="1:7" s="4" customFormat="1" x14ac:dyDescent="0.35">
      <c r="A6452" s="3">
        <v>43206</v>
      </c>
      <c r="B6452" s="44" t="s">
        <v>102</v>
      </c>
      <c r="C6452" s="11">
        <v>67</v>
      </c>
      <c r="D6452" s="11">
        <v>277</v>
      </c>
      <c r="E6452" s="11" t="s">
        <v>33</v>
      </c>
      <c r="F6452" s="11" t="s">
        <v>646</v>
      </c>
      <c r="G6452" s="4" t="s">
        <v>712</v>
      </c>
    </row>
    <row r="6453" spans="1:7" x14ac:dyDescent="0.35">
      <c r="A6453" s="2">
        <v>43206</v>
      </c>
      <c r="B6453" s="70" t="s">
        <v>113</v>
      </c>
      <c r="C6453" s="10">
        <v>68</v>
      </c>
      <c r="D6453" s="10">
        <v>258</v>
      </c>
      <c r="E6453" s="10" t="s">
        <v>34</v>
      </c>
      <c r="F6453" s="10" t="s">
        <v>476</v>
      </c>
    </row>
    <row r="6454" spans="1:7" s="4" customFormat="1" x14ac:dyDescent="0.35">
      <c r="A6454" s="3">
        <v>43206</v>
      </c>
      <c r="B6454" s="44" t="s">
        <v>113</v>
      </c>
      <c r="C6454" s="11">
        <v>67</v>
      </c>
      <c r="D6454" s="11">
        <v>265</v>
      </c>
      <c r="E6454" s="11" t="s">
        <v>32</v>
      </c>
      <c r="F6454" s="11" t="s">
        <v>476</v>
      </c>
    </row>
    <row r="6455" spans="1:7" s="5" customFormat="1" x14ac:dyDescent="0.35">
      <c r="A6455" s="2">
        <v>43206</v>
      </c>
      <c r="B6455" s="70" t="s">
        <v>66</v>
      </c>
      <c r="C6455" s="10">
        <v>83</v>
      </c>
      <c r="D6455" s="10">
        <v>543</v>
      </c>
      <c r="E6455" s="10" t="s">
        <v>59</v>
      </c>
    </row>
    <row r="6456" spans="1:7" s="5" customFormat="1" x14ac:dyDescent="0.35">
      <c r="A6456" s="2">
        <v>43206</v>
      </c>
      <c r="B6456" s="70" t="s">
        <v>66</v>
      </c>
      <c r="C6456" s="10">
        <v>125</v>
      </c>
      <c r="D6456" s="10">
        <v>2813</v>
      </c>
      <c r="E6456" s="10" t="s">
        <v>59</v>
      </c>
    </row>
    <row r="6457" spans="1:7" s="5" customFormat="1" x14ac:dyDescent="0.35">
      <c r="A6457" s="2">
        <v>43206</v>
      </c>
      <c r="B6457" s="70" t="s">
        <v>66</v>
      </c>
      <c r="C6457" s="10">
        <v>97</v>
      </c>
      <c r="D6457" s="10">
        <v>1155</v>
      </c>
      <c r="E6457" s="10" t="s">
        <v>59</v>
      </c>
    </row>
    <row r="6458" spans="1:7" s="5" customFormat="1" x14ac:dyDescent="0.35">
      <c r="A6458" s="2">
        <v>43206</v>
      </c>
      <c r="B6458" s="70" t="s">
        <v>66</v>
      </c>
      <c r="C6458" s="10">
        <v>91</v>
      </c>
      <c r="D6458" s="10">
        <v>823</v>
      </c>
      <c r="E6458" s="10" t="s">
        <v>59</v>
      </c>
    </row>
    <row r="6459" spans="1:7" s="5" customFormat="1" x14ac:dyDescent="0.35">
      <c r="A6459" s="2">
        <v>43206</v>
      </c>
      <c r="B6459" s="70" t="s">
        <v>66</v>
      </c>
      <c r="C6459" s="10">
        <v>98</v>
      </c>
      <c r="D6459" s="10">
        <v>798</v>
      </c>
      <c r="E6459" s="10" t="s">
        <v>59</v>
      </c>
    </row>
    <row r="6460" spans="1:7" x14ac:dyDescent="0.35">
      <c r="A6460" s="2">
        <v>43206</v>
      </c>
      <c r="B6460" s="70" t="s">
        <v>66</v>
      </c>
      <c r="C6460" s="10">
        <v>63</v>
      </c>
      <c r="D6460" s="10">
        <v>207</v>
      </c>
      <c r="E6460" s="10" t="s">
        <v>34</v>
      </c>
      <c r="F6460" s="10" t="s">
        <v>646</v>
      </c>
    </row>
    <row r="6461" spans="1:7" x14ac:dyDescent="0.35">
      <c r="A6461" s="2">
        <v>43206</v>
      </c>
      <c r="B6461" s="70" t="s">
        <v>66</v>
      </c>
      <c r="C6461" s="10">
        <v>68</v>
      </c>
      <c r="D6461" s="10">
        <v>266</v>
      </c>
      <c r="E6461" s="10" t="s">
        <v>32</v>
      </c>
      <c r="F6461" s="10" t="s">
        <v>646</v>
      </c>
      <c r="G6461" t="s">
        <v>706</v>
      </c>
    </row>
    <row r="6462" spans="1:7" x14ac:dyDescent="0.35">
      <c r="A6462" s="2">
        <v>43206</v>
      </c>
      <c r="B6462" s="70" t="s">
        <v>66</v>
      </c>
      <c r="C6462" s="10">
        <v>73</v>
      </c>
      <c r="D6462" s="10">
        <v>336</v>
      </c>
      <c r="E6462" s="10" t="s">
        <v>33</v>
      </c>
      <c r="F6462" s="10" t="s">
        <v>476</v>
      </c>
    </row>
    <row r="6463" spans="1:7" x14ac:dyDescent="0.35">
      <c r="A6463" s="2">
        <v>43206</v>
      </c>
      <c r="B6463" s="70" t="s">
        <v>66</v>
      </c>
      <c r="C6463" s="10">
        <v>76</v>
      </c>
      <c r="D6463" s="10">
        <v>394</v>
      </c>
      <c r="E6463" s="10" t="s">
        <v>32</v>
      </c>
      <c r="F6463" s="10" t="s">
        <v>293</v>
      </c>
      <c r="G6463" t="s">
        <v>706</v>
      </c>
    </row>
    <row r="6464" spans="1:7" x14ac:dyDescent="0.35">
      <c r="A6464" s="2">
        <v>43206</v>
      </c>
      <c r="B6464" s="70" t="s">
        <v>66</v>
      </c>
      <c r="C6464" s="10">
        <v>65</v>
      </c>
      <c r="D6464" s="10">
        <v>258</v>
      </c>
      <c r="E6464" s="10" t="s">
        <v>34</v>
      </c>
      <c r="F6464" s="10" t="s">
        <v>293</v>
      </c>
    </row>
    <row r="6465" spans="1:8" x14ac:dyDescent="0.35">
      <c r="A6465" s="2">
        <v>43206</v>
      </c>
      <c r="B6465" s="70" t="s">
        <v>66</v>
      </c>
      <c r="C6465" s="10">
        <v>68</v>
      </c>
      <c r="D6465" s="10">
        <v>233</v>
      </c>
      <c r="E6465" s="10" t="s">
        <v>32</v>
      </c>
      <c r="F6465" s="10" t="s">
        <v>646</v>
      </c>
    </row>
    <row r="6466" spans="1:8" x14ac:dyDescent="0.35">
      <c r="A6466" s="2">
        <v>43206</v>
      </c>
      <c r="B6466" s="70" t="s">
        <v>66</v>
      </c>
      <c r="C6466" s="10">
        <v>68</v>
      </c>
      <c r="D6466" s="10">
        <v>268</v>
      </c>
      <c r="E6466" s="10" t="s">
        <v>32</v>
      </c>
      <c r="F6466" s="10" t="s">
        <v>476</v>
      </c>
      <c r="G6466" t="s">
        <v>713</v>
      </c>
    </row>
    <row r="6467" spans="1:8" x14ac:dyDescent="0.35">
      <c r="A6467" s="2">
        <v>43206</v>
      </c>
      <c r="B6467" s="70" t="s">
        <v>66</v>
      </c>
      <c r="C6467" s="10">
        <v>79</v>
      </c>
      <c r="D6467" s="10">
        <v>443</v>
      </c>
      <c r="E6467" s="10" t="s">
        <v>34</v>
      </c>
      <c r="F6467" s="10" t="s">
        <v>646</v>
      </c>
      <c r="G6467" t="s">
        <v>706</v>
      </c>
    </row>
    <row r="6468" spans="1:8" x14ac:dyDescent="0.35">
      <c r="A6468" s="2">
        <v>43206</v>
      </c>
      <c r="B6468" s="70" t="s">
        <v>66</v>
      </c>
      <c r="C6468" s="10">
        <v>68</v>
      </c>
      <c r="D6468" s="10">
        <v>269</v>
      </c>
      <c r="E6468" s="10" t="s">
        <v>32</v>
      </c>
      <c r="F6468" s="10" t="s">
        <v>646</v>
      </c>
    </row>
    <row r="6469" spans="1:8" x14ac:dyDescent="0.35">
      <c r="A6469" s="2">
        <v>43206</v>
      </c>
      <c r="B6469" s="70" t="s">
        <v>66</v>
      </c>
      <c r="C6469" s="10">
        <v>67</v>
      </c>
      <c r="D6469" s="10">
        <v>256</v>
      </c>
      <c r="E6469" s="10" t="s">
        <v>34</v>
      </c>
      <c r="F6469" s="10" t="s">
        <v>476</v>
      </c>
    </row>
    <row r="6470" spans="1:8" x14ac:dyDescent="0.35">
      <c r="A6470" s="2">
        <v>43206</v>
      </c>
      <c r="B6470" s="70" t="s">
        <v>66</v>
      </c>
      <c r="C6470" s="10">
        <v>64</v>
      </c>
      <c r="D6470" s="10">
        <v>175</v>
      </c>
      <c r="E6470" s="10" t="s">
        <v>34</v>
      </c>
      <c r="F6470" s="10" t="s">
        <v>646</v>
      </c>
      <c r="G6470" t="s">
        <v>706</v>
      </c>
    </row>
    <row r="6471" spans="1:8" x14ac:dyDescent="0.35">
      <c r="A6471" s="2">
        <v>43206</v>
      </c>
      <c r="B6471" s="70" t="s">
        <v>66</v>
      </c>
      <c r="C6471" s="10">
        <v>74</v>
      </c>
      <c r="D6471" s="10">
        <v>395</v>
      </c>
      <c r="E6471" s="10" t="s">
        <v>32</v>
      </c>
      <c r="F6471" s="10" t="s">
        <v>293</v>
      </c>
    </row>
    <row r="6472" spans="1:8" x14ac:dyDescent="0.35">
      <c r="A6472" s="2">
        <v>43206</v>
      </c>
      <c r="B6472" s="70" t="s">
        <v>66</v>
      </c>
      <c r="C6472" s="10">
        <v>66</v>
      </c>
      <c r="D6472" s="10">
        <v>235</v>
      </c>
      <c r="E6472" s="10" t="s">
        <v>33</v>
      </c>
      <c r="F6472" s="10" t="s">
        <v>646</v>
      </c>
      <c r="G6472" t="s">
        <v>714</v>
      </c>
      <c r="H6472" t="s">
        <v>498</v>
      </c>
    </row>
    <row r="6473" spans="1:8" x14ac:dyDescent="0.35">
      <c r="A6473" s="2">
        <v>43206</v>
      </c>
      <c r="B6473" s="70" t="s">
        <v>66</v>
      </c>
      <c r="C6473" s="10">
        <v>68</v>
      </c>
      <c r="D6473" s="10">
        <v>213</v>
      </c>
      <c r="E6473" s="10" t="s">
        <v>32</v>
      </c>
      <c r="F6473" s="10" t="s">
        <v>198</v>
      </c>
    </row>
    <row r="6474" spans="1:8" x14ac:dyDescent="0.35">
      <c r="A6474" s="2">
        <v>43206</v>
      </c>
      <c r="B6474" s="70" t="s">
        <v>66</v>
      </c>
      <c r="C6474" s="10">
        <v>62</v>
      </c>
      <c r="D6474" s="10">
        <v>170</v>
      </c>
      <c r="E6474" s="10" t="s">
        <v>34</v>
      </c>
      <c r="F6474" s="10" t="s">
        <v>646</v>
      </c>
    </row>
    <row r="6475" spans="1:8" x14ac:dyDescent="0.35">
      <c r="A6475" s="2">
        <v>43206</v>
      </c>
      <c r="B6475" s="70" t="s">
        <v>66</v>
      </c>
      <c r="C6475" s="10">
        <v>68</v>
      </c>
      <c r="D6475" s="10">
        <v>280</v>
      </c>
      <c r="E6475" s="10" t="s">
        <v>40</v>
      </c>
      <c r="F6475" s="10" t="s">
        <v>646</v>
      </c>
    </row>
    <row r="6476" spans="1:8" x14ac:dyDescent="0.35">
      <c r="A6476" s="2">
        <v>43206</v>
      </c>
      <c r="B6476" s="70" t="s">
        <v>66</v>
      </c>
      <c r="C6476" s="10">
        <v>74</v>
      </c>
      <c r="D6476" s="10">
        <v>363</v>
      </c>
      <c r="E6476" s="10" t="s">
        <v>34</v>
      </c>
      <c r="F6476" s="10" t="s">
        <v>646</v>
      </c>
    </row>
    <row r="6477" spans="1:8" x14ac:dyDescent="0.35">
      <c r="A6477" s="2">
        <v>43206</v>
      </c>
      <c r="B6477" s="70" t="s">
        <v>66</v>
      </c>
      <c r="C6477" s="10">
        <v>68</v>
      </c>
      <c r="D6477" s="10">
        <v>276</v>
      </c>
      <c r="E6477" s="10" t="s">
        <v>32</v>
      </c>
      <c r="F6477" s="10" t="s">
        <v>476</v>
      </c>
    </row>
    <row r="6478" spans="1:8" x14ac:dyDescent="0.35">
      <c r="A6478" s="2">
        <v>43206</v>
      </c>
      <c r="B6478" s="70" t="s">
        <v>66</v>
      </c>
      <c r="C6478" s="10">
        <v>62</v>
      </c>
      <c r="D6478" s="10">
        <v>187</v>
      </c>
      <c r="E6478" s="10" t="s">
        <v>37</v>
      </c>
      <c r="F6478" s="10" t="s">
        <v>646</v>
      </c>
    </row>
    <row r="6479" spans="1:8" x14ac:dyDescent="0.35">
      <c r="A6479" s="2">
        <v>43206</v>
      </c>
      <c r="B6479" s="70" t="s">
        <v>66</v>
      </c>
      <c r="C6479" s="10">
        <v>68</v>
      </c>
      <c r="D6479" s="10">
        <v>314</v>
      </c>
      <c r="E6479" s="10" t="s">
        <v>33</v>
      </c>
      <c r="F6479" s="10" t="s">
        <v>646</v>
      </c>
    </row>
    <row r="6480" spans="1:8" x14ac:dyDescent="0.35">
      <c r="A6480" s="2">
        <v>43206</v>
      </c>
      <c r="B6480" s="70" t="s">
        <v>66</v>
      </c>
      <c r="C6480" s="10">
        <v>69</v>
      </c>
      <c r="D6480" s="10">
        <v>258</v>
      </c>
      <c r="E6480" s="10" t="s">
        <v>33</v>
      </c>
      <c r="F6480" s="10" t="s">
        <v>646</v>
      </c>
    </row>
    <row r="6481" spans="1:7" s="4" customFormat="1" x14ac:dyDescent="0.35">
      <c r="A6481" s="3">
        <v>43206</v>
      </c>
      <c r="B6481" s="44" t="s">
        <v>66</v>
      </c>
      <c r="C6481" s="11">
        <v>72</v>
      </c>
      <c r="D6481" s="4">
        <v>292</v>
      </c>
      <c r="E6481" s="4" t="s">
        <v>34</v>
      </c>
      <c r="F6481" s="11" t="s">
        <v>476</v>
      </c>
    </row>
    <row r="6482" spans="1:7" s="22" customFormat="1" x14ac:dyDescent="0.35">
      <c r="A6482" s="19">
        <v>43206</v>
      </c>
      <c r="B6482" s="71" t="s">
        <v>103</v>
      </c>
      <c r="C6482" s="20">
        <v>72</v>
      </c>
      <c r="D6482" s="20">
        <v>350</v>
      </c>
      <c r="E6482" s="20" t="s">
        <v>32</v>
      </c>
      <c r="F6482" s="20" t="s">
        <v>646</v>
      </c>
    </row>
    <row r="6483" spans="1:7" x14ac:dyDescent="0.35">
      <c r="A6483" s="2">
        <v>43206</v>
      </c>
      <c r="B6483" s="70" t="s">
        <v>104</v>
      </c>
      <c r="C6483" s="10">
        <v>97</v>
      </c>
      <c r="D6483" s="10">
        <v>1357</v>
      </c>
      <c r="E6483" s="10" t="s">
        <v>59</v>
      </c>
    </row>
    <row r="6484" spans="1:7" x14ac:dyDescent="0.35">
      <c r="A6484" s="2">
        <v>43206</v>
      </c>
      <c r="B6484" s="70" t="s">
        <v>104</v>
      </c>
      <c r="C6484" s="10">
        <v>67</v>
      </c>
      <c r="D6484" s="10">
        <v>232</v>
      </c>
      <c r="E6484" s="10" t="s">
        <v>32</v>
      </c>
      <c r="F6484" t="s">
        <v>476</v>
      </c>
    </row>
    <row r="6485" spans="1:7" x14ac:dyDescent="0.35">
      <c r="A6485" s="2">
        <v>43206</v>
      </c>
      <c r="B6485" s="70" t="s">
        <v>104</v>
      </c>
      <c r="C6485" s="10">
        <v>70</v>
      </c>
      <c r="D6485" s="10">
        <v>313</v>
      </c>
      <c r="E6485" s="10" t="s">
        <v>32</v>
      </c>
      <c r="F6485" t="s">
        <v>198</v>
      </c>
      <c r="G6485" t="s">
        <v>475</v>
      </c>
    </row>
    <row r="6486" spans="1:7" x14ac:dyDescent="0.35">
      <c r="A6486" s="2">
        <v>43206</v>
      </c>
      <c r="B6486" s="70" t="s">
        <v>104</v>
      </c>
      <c r="C6486" s="10">
        <v>70</v>
      </c>
      <c r="D6486" s="10">
        <v>293</v>
      </c>
      <c r="E6486" s="10" t="s">
        <v>34</v>
      </c>
      <c r="F6486" t="s">
        <v>646</v>
      </c>
      <c r="G6486" t="s">
        <v>475</v>
      </c>
    </row>
    <row r="6487" spans="1:7" x14ac:dyDescent="0.35">
      <c r="A6487" s="2">
        <v>43206</v>
      </c>
      <c r="B6487" s="70" t="s">
        <v>104</v>
      </c>
      <c r="C6487" s="10">
        <v>68</v>
      </c>
      <c r="D6487" s="10">
        <v>310</v>
      </c>
      <c r="E6487" s="10" t="s">
        <v>33</v>
      </c>
      <c r="F6487" t="s">
        <v>476</v>
      </c>
    </row>
    <row r="6488" spans="1:7" x14ac:dyDescent="0.35">
      <c r="A6488" s="2">
        <v>43206</v>
      </c>
      <c r="B6488" s="70" t="s">
        <v>104</v>
      </c>
      <c r="C6488" s="10">
        <v>67</v>
      </c>
      <c r="D6488" s="10">
        <v>284</v>
      </c>
      <c r="E6488" s="10" t="s">
        <v>34</v>
      </c>
      <c r="F6488" t="s">
        <v>476</v>
      </c>
    </row>
    <row r="6489" spans="1:7" s="4" customFormat="1" x14ac:dyDescent="0.35">
      <c r="A6489" s="3">
        <v>43206</v>
      </c>
      <c r="B6489" s="44" t="s">
        <v>104</v>
      </c>
      <c r="C6489" s="11">
        <v>73</v>
      </c>
      <c r="D6489" s="11">
        <v>402</v>
      </c>
      <c r="E6489" s="11" t="s">
        <v>32</v>
      </c>
      <c r="F6489" s="4" t="s">
        <v>293</v>
      </c>
      <c r="G6489" s="4" t="s">
        <v>475</v>
      </c>
    </row>
    <row r="6490" spans="1:7" x14ac:dyDescent="0.35">
      <c r="A6490" s="2">
        <v>43206</v>
      </c>
      <c r="B6490" s="70" t="s">
        <v>63</v>
      </c>
      <c r="C6490" s="55">
        <v>82</v>
      </c>
      <c r="D6490" s="55">
        <v>512</v>
      </c>
      <c r="E6490" s="55" t="s">
        <v>159</v>
      </c>
    </row>
    <row r="6491" spans="1:7" x14ac:dyDescent="0.35">
      <c r="A6491" s="2">
        <v>43206</v>
      </c>
      <c r="B6491" s="70" t="s">
        <v>63</v>
      </c>
      <c r="C6491" s="10">
        <v>71</v>
      </c>
      <c r="D6491" s="10">
        <v>202</v>
      </c>
      <c r="E6491" s="10" t="s">
        <v>32</v>
      </c>
      <c r="F6491" s="10" t="s">
        <v>476</v>
      </c>
    </row>
    <row r="6492" spans="1:7" x14ac:dyDescent="0.35">
      <c r="A6492" s="2">
        <v>43206</v>
      </c>
      <c r="B6492" s="70" t="s">
        <v>63</v>
      </c>
      <c r="C6492" s="10">
        <v>71</v>
      </c>
      <c r="D6492" s="10">
        <v>336</v>
      </c>
      <c r="E6492" s="10" t="s">
        <v>34</v>
      </c>
      <c r="F6492" s="10" t="s">
        <v>646</v>
      </c>
    </row>
    <row r="6493" spans="1:7" x14ac:dyDescent="0.35">
      <c r="A6493" s="2">
        <v>43206</v>
      </c>
      <c r="B6493" s="70" t="s">
        <v>63</v>
      </c>
      <c r="C6493" s="10">
        <v>72</v>
      </c>
      <c r="D6493" s="10">
        <v>258</v>
      </c>
      <c r="E6493" s="10" t="s">
        <v>33</v>
      </c>
      <c r="F6493" s="10" t="s">
        <v>646</v>
      </c>
    </row>
    <row r="6494" spans="1:7" x14ac:dyDescent="0.35">
      <c r="A6494" s="2">
        <v>43206</v>
      </c>
      <c r="B6494" s="70" t="s">
        <v>63</v>
      </c>
      <c r="C6494" s="10">
        <v>65</v>
      </c>
      <c r="D6494" s="10">
        <v>242</v>
      </c>
      <c r="E6494" s="10" t="s">
        <v>32</v>
      </c>
      <c r="F6494" s="10" t="s">
        <v>476</v>
      </c>
    </row>
    <row r="6495" spans="1:7" x14ac:dyDescent="0.35">
      <c r="A6495" s="2">
        <v>43206</v>
      </c>
      <c r="B6495" s="70" t="s">
        <v>63</v>
      </c>
      <c r="C6495" s="10">
        <v>78</v>
      </c>
      <c r="D6495" s="10">
        <v>286</v>
      </c>
      <c r="E6495" s="10" t="s">
        <v>32</v>
      </c>
      <c r="F6495" s="10" t="s">
        <v>476</v>
      </c>
    </row>
    <row r="6496" spans="1:7" x14ac:dyDescent="0.35">
      <c r="A6496" s="2">
        <v>43206</v>
      </c>
      <c r="B6496" s="70" t="s">
        <v>63</v>
      </c>
      <c r="C6496" s="10">
        <v>69</v>
      </c>
      <c r="D6496" s="10">
        <v>304</v>
      </c>
      <c r="E6496" s="10" t="s">
        <v>34</v>
      </c>
      <c r="F6496" s="10" t="s">
        <v>476</v>
      </c>
    </row>
    <row r="6497" spans="1:7" x14ac:dyDescent="0.35">
      <c r="A6497" s="2">
        <v>43206</v>
      </c>
      <c r="B6497" s="70" t="s">
        <v>63</v>
      </c>
      <c r="C6497" s="10">
        <v>69</v>
      </c>
      <c r="D6497" s="10">
        <v>269</v>
      </c>
      <c r="E6497" s="10" t="s">
        <v>32</v>
      </c>
      <c r="F6497" s="10" t="s">
        <v>476</v>
      </c>
    </row>
    <row r="6498" spans="1:7" x14ac:dyDescent="0.35">
      <c r="A6498" s="2">
        <v>43206</v>
      </c>
      <c r="B6498" s="70" t="s">
        <v>63</v>
      </c>
      <c r="C6498" s="10">
        <v>63</v>
      </c>
      <c r="D6498" s="10">
        <v>217</v>
      </c>
      <c r="E6498" s="10" t="s">
        <v>34</v>
      </c>
      <c r="F6498" s="10" t="s">
        <v>646</v>
      </c>
    </row>
    <row r="6499" spans="1:7" x14ac:dyDescent="0.35">
      <c r="A6499" s="2">
        <v>43206</v>
      </c>
      <c r="B6499" s="70" t="s">
        <v>63</v>
      </c>
      <c r="C6499" s="10">
        <v>64</v>
      </c>
      <c r="D6499" s="10">
        <v>214</v>
      </c>
      <c r="E6499" s="10" t="s">
        <v>33</v>
      </c>
      <c r="F6499" s="10" t="s">
        <v>476</v>
      </c>
    </row>
    <row r="6500" spans="1:7" x14ac:dyDescent="0.35">
      <c r="A6500" s="2">
        <v>43206</v>
      </c>
      <c r="B6500" s="70" t="s">
        <v>63</v>
      </c>
      <c r="C6500" s="10">
        <v>68</v>
      </c>
      <c r="D6500" s="10">
        <v>274</v>
      </c>
      <c r="E6500" s="10" t="s">
        <v>33</v>
      </c>
      <c r="F6500" s="10" t="s">
        <v>646</v>
      </c>
    </row>
    <row r="6501" spans="1:7" x14ac:dyDescent="0.35">
      <c r="A6501" s="2">
        <v>43206</v>
      </c>
      <c r="B6501" s="70" t="s">
        <v>63</v>
      </c>
      <c r="C6501" s="10">
        <v>68</v>
      </c>
      <c r="D6501" s="10">
        <v>230</v>
      </c>
      <c r="E6501" s="10" t="s">
        <v>33</v>
      </c>
      <c r="F6501" s="10" t="s">
        <v>646</v>
      </c>
    </row>
    <row r="6502" spans="1:7" x14ac:dyDescent="0.35">
      <c r="A6502" s="2">
        <v>43206</v>
      </c>
      <c r="B6502" s="70" t="s">
        <v>63</v>
      </c>
      <c r="C6502" s="10">
        <v>69</v>
      </c>
      <c r="D6502" s="10">
        <v>185</v>
      </c>
      <c r="E6502" s="10" t="s">
        <v>34</v>
      </c>
      <c r="F6502" s="10" t="s">
        <v>198</v>
      </c>
      <c r="G6502" t="s">
        <v>475</v>
      </c>
    </row>
    <row r="6503" spans="1:7" x14ac:dyDescent="0.35">
      <c r="A6503" s="2">
        <v>43206</v>
      </c>
      <c r="B6503" s="70" t="s">
        <v>63</v>
      </c>
      <c r="C6503" s="10">
        <v>68</v>
      </c>
      <c r="D6503" s="10">
        <v>265</v>
      </c>
      <c r="E6503" s="10" t="s">
        <v>32</v>
      </c>
      <c r="F6503" s="10" t="s">
        <v>198</v>
      </c>
      <c r="G6503" t="s">
        <v>702</v>
      </c>
    </row>
    <row r="6504" spans="1:7" x14ac:dyDescent="0.35">
      <c r="A6504" s="2">
        <v>43206</v>
      </c>
      <c r="B6504" s="70" t="s">
        <v>63</v>
      </c>
      <c r="C6504" s="10">
        <v>73</v>
      </c>
      <c r="D6504" s="10">
        <v>309</v>
      </c>
      <c r="E6504" s="10" t="s">
        <v>33</v>
      </c>
      <c r="F6504" s="10" t="s">
        <v>646</v>
      </c>
    </row>
    <row r="6505" spans="1:7" x14ac:dyDescent="0.35">
      <c r="A6505" s="2">
        <v>43206</v>
      </c>
      <c r="B6505" s="70" t="s">
        <v>63</v>
      </c>
      <c r="C6505" s="10">
        <v>72</v>
      </c>
      <c r="D6505" s="10">
        <v>307</v>
      </c>
      <c r="E6505" s="10" t="s">
        <v>34</v>
      </c>
      <c r="F6505" s="10" t="s">
        <v>646</v>
      </c>
    </row>
    <row r="6506" spans="1:7" x14ac:dyDescent="0.35">
      <c r="A6506" s="2">
        <v>43206</v>
      </c>
      <c r="B6506" s="70" t="s">
        <v>63</v>
      </c>
      <c r="C6506" s="10">
        <v>68</v>
      </c>
      <c r="D6506" s="10">
        <v>258</v>
      </c>
      <c r="E6506" s="10" t="s">
        <v>33</v>
      </c>
      <c r="F6506" s="10" t="s">
        <v>476</v>
      </c>
    </row>
    <row r="6507" spans="1:7" x14ac:dyDescent="0.35">
      <c r="A6507" s="2">
        <v>43206</v>
      </c>
      <c r="B6507" s="70" t="s">
        <v>63</v>
      </c>
      <c r="C6507" s="10">
        <v>68</v>
      </c>
      <c r="D6507" s="10">
        <v>259</v>
      </c>
      <c r="E6507" s="10" t="s">
        <v>34</v>
      </c>
      <c r="F6507" s="10" t="s">
        <v>646</v>
      </c>
    </row>
    <row r="6508" spans="1:7" x14ac:dyDescent="0.35">
      <c r="A6508" s="2">
        <v>43206</v>
      </c>
      <c r="B6508" s="70" t="s">
        <v>63</v>
      </c>
      <c r="C6508" s="10">
        <v>68</v>
      </c>
      <c r="D6508" s="10">
        <v>323</v>
      </c>
      <c r="E6508" s="10" t="s">
        <v>34</v>
      </c>
      <c r="F6508" s="10" t="s">
        <v>646</v>
      </c>
      <c r="G6508" t="s">
        <v>715</v>
      </c>
    </row>
    <row r="6509" spans="1:7" x14ac:dyDescent="0.35">
      <c r="A6509" s="2">
        <v>43206</v>
      </c>
      <c r="B6509" s="70" t="s">
        <v>63</v>
      </c>
      <c r="C6509" s="10">
        <v>71</v>
      </c>
      <c r="D6509" s="10">
        <v>324</v>
      </c>
      <c r="E6509" s="10" t="s">
        <v>32</v>
      </c>
      <c r="F6509" s="10" t="s">
        <v>646</v>
      </c>
    </row>
    <row r="6510" spans="1:7" x14ac:dyDescent="0.35">
      <c r="A6510" s="2">
        <v>43206</v>
      </c>
      <c r="B6510" s="70" t="s">
        <v>63</v>
      </c>
      <c r="C6510" s="10">
        <v>72</v>
      </c>
      <c r="D6510" s="10">
        <v>309</v>
      </c>
      <c r="E6510" s="10" t="s">
        <v>40</v>
      </c>
      <c r="F6510" s="10" t="s">
        <v>646</v>
      </c>
    </row>
    <row r="6511" spans="1:7" x14ac:dyDescent="0.35">
      <c r="A6511" s="2">
        <v>43206</v>
      </c>
      <c r="B6511" s="70" t="s">
        <v>63</v>
      </c>
      <c r="C6511" s="10">
        <v>73</v>
      </c>
      <c r="D6511" s="10">
        <v>350</v>
      </c>
      <c r="E6511" s="10" t="s">
        <v>34</v>
      </c>
      <c r="F6511" s="10" t="s">
        <v>293</v>
      </c>
      <c r="G6511" t="s">
        <v>702</v>
      </c>
    </row>
    <row r="6512" spans="1:7" x14ac:dyDescent="0.35">
      <c r="A6512" s="2">
        <v>43206</v>
      </c>
      <c r="B6512" s="70" t="s">
        <v>63</v>
      </c>
      <c r="C6512" s="10">
        <v>69</v>
      </c>
      <c r="D6512" s="10">
        <v>299</v>
      </c>
      <c r="E6512" s="10" t="s">
        <v>34</v>
      </c>
      <c r="F6512" s="10" t="s">
        <v>646</v>
      </c>
    </row>
    <row r="6513" spans="1:24" x14ac:dyDescent="0.35">
      <c r="A6513" s="2">
        <v>43206</v>
      </c>
      <c r="B6513" s="70" t="s">
        <v>63</v>
      </c>
      <c r="C6513" s="10">
        <v>79</v>
      </c>
      <c r="D6513" s="10">
        <v>326</v>
      </c>
      <c r="E6513" s="10" t="s">
        <v>34</v>
      </c>
      <c r="F6513" s="10" t="s">
        <v>476</v>
      </c>
    </row>
    <row r="6514" spans="1:24" x14ac:dyDescent="0.35">
      <c r="A6514" s="2">
        <v>43206</v>
      </c>
      <c r="B6514" s="70" t="s">
        <v>63</v>
      </c>
      <c r="C6514" s="10">
        <v>77</v>
      </c>
      <c r="D6514" s="10">
        <v>375</v>
      </c>
      <c r="E6514" s="10" t="s">
        <v>33</v>
      </c>
      <c r="F6514" s="10" t="s">
        <v>476</v>
      </c>
    </row>
    <row r="6515" spans="1:24" x14ac:dyDescent="0.35">
      <c r="A6515" s="2">
        <v>43206</v>
      </c>
      <c r="B6515" s="70" t="s">
        <v>63</v>
      </c>
      <c r="C6515" s="10">
        <v>67</v>
      </c>
      <c r="D6515" s="10">
        <v>239</v>
      </c>
      <c r="E6515" s="10" t="s">
        <v>34</v>
      </c>
      <c r="F6515" s="10" t="s">
        <v>646</v>
      </c>
    </row>
    <row r="6516" spans="1:24" x14ac:dyDescent="0.35">
      <c r="A6516" s="2">
        <v>43206</v>
      </c>
      <c r="B6516" s="70" t="s">
        <v>63</v>
      </c>
      <c r="C6516" s="10">
        <v>68</v>
      </c>
      <c r="D6516" s="10">
        <v>230</v>
      </c>
      <c r="E6516" s="10" t="s">
        <v>33</v>
      </c>
      <c r="F6516" s="10" t="s">
        <v>646</v>
      </c>
    </row>
    <row r="6517" spans="1:24" x14ac:dyDescent="0.35">
      <c r="A6517" s="2">
        <v>43206</v>
      </c>
      <c r="B6517" s="70" t="s">
        <v>63</v>
      </c>
      <c r="C6517" s="10">
        <v>68</v>
      </c>
      <c r="D6517" s="10">
        <v>294</v>
      </c>
      <c r="E6517" s="10" t="s">
        <v>34</v>
      </c>
      <c r="F6517" s="10" t="s">
        <v>198</v>
      </c>
      <c r="G6517" t="s">
        <v>475</v>
      </c>
    </row>
    <row r="6518" spans="1:24" x14ac:dyDescent="0.35">
      <c r="A6518" s="2">
        <v>43206</v>
      </c>
      <c r="B6518" s="70" t="s">
        <v>63</v>
      </c>
      <c r="C6518" s="10">
        <v>69</v>
      </c>
      <c r="D6518" s="10">
        <v>259</v>
      </c>
      <c r="E6518" s="10" t="s">
        <v>32</v>
      </c>
      <c r="F6518" s="10" t="s">
        <v>198</v>
      </c>
      <c r="G6518" t="s">
        <v>475</v>
      </c>
      <c r="H6518" t="s">
        <v>682</v>
      </c>
    </row>
    <row r="6519" spans="1:24" x14ac:dyDescent="0.35">
      <c r="A6519" s="2">
        <v>43206</v>
      </c>
      <c r="B6519" s="70" t="s">
        <v>63</v>
      </c>
      <c r="C6519" s="10">
        <v>69</v>
      </c>
      <c r="D6519" s="10">
        <v>317</v>
      </c>
      <c r="E6519" s="10" t="s">
        <v>36</v>
      </c>
      <c r="F6519" s="10" t="s">
        <v>476</v>
      </c>
    </row>
    <row r="6520" spans="1:24" x14ac:dyDescent="0.35">
      <c r="A6520" s="2">
        <v>43206</v>
      </c>
      <c r="B6520" s="70" t="s">
        <v>63</v>
      </c>
      <c r="C6520" s="10">
        <v>69</v>
      </c>
      <c r="D6520" s="10">
        <v>320</v>
      </c>
      <c r="E6520" s="10" t="s">
        <v>34</v>
      </c>
      <c r="F6520" s="10" t="s">
        <v>646</v>
      </c>
    </row>
    <row r="6521" spans="1:24" x14ac:dyDescent="0.35">
      <c r="A6521" s="2">
        <v>43206</v>
      </c>
      <c r="B6521" s="70" t="s">
        <v>63</v>
      </c>
      <c r="C6521" s="10">
        <v>66</v>
      </c>
      <c r="D6521" s="10">
        <v>248</v>
      </c>
      <c r="E6521" s="10" t="s">
        <v>34</v>
      </c>
      <c r="F6521" s="10" t="s">
        <v>476</v>
      </c>
    </row>
    <row r="6522" spans="1:24" x14ac:dyDescent="0.35">
      <c r="A6522" s="2">
        <v>43206</v>
      </c>
      <c r="B6522" s="70" t="s">
        <v>63</v>
      </c>
      <c r="C6522" s="10">
        <v>71</v>
      </c>
      <c r="D6522" s="10">
        <v>329</v>
      </c>
      <c r="E6522" s="10" t="s">
        <v>34</v>
      </c>
      <c r="F6522" s="10" t="s">
        <v>646</v>
      </c>
    </row>
    <row r="6523" spans="1:24" x14ac:dyDescent="0.35">
      <c r="A6523" s="2">
        <v>43206</v>
      </c>
      <c r="B6523" s="70" t="s">
        <v>63</v>
      </c>
      <c r="C6523" s="10">
        <v>64</v>
      </c>
      <c r="D6523" s="10">
        <v>225</v>
      </c>
      <c r="E6523" s="10" t="s">
        <v>34</v>
      </c>
      <c r="F6523" s="10" t="s">
        <v>293</v>
      </c>
    </row>
    <row r="6524" spans="1:24" x14ac:dyDescent="0.35">
      <c r="A6524" s="2">
        <v>43206</v>
      </c>
      <c r="B6524" s="70" t="s">
        <v>63</v>
      </c>
      <c r="C6524" s="10">
        <v>73</v>
      </c>
      <c r="D6524" s="10">
        <v>350</v>
      </c>
      <c r="E6524" s="10" t="s">
        <v>33</v>
      </c>
      <c r="F6524" s="10" t="s">
        <v>476</v>
      </c>
    </row>
    <row r="6525" spans="1:24" x14ac:dyDescent="0.35">
      <c r="A6525" s="2">
        <v>43206</v>
      </c>
      <c r="B6525" s="70" t="s">
        <v>63</v>
      </c>
      <c r="C6525" s="10">
        <v>63</v>
      </c>
      <c r="D6525" s="10">
        <v>210</v>
      </c>
      <c r="E6525" s="10" t="s">
        <v>33</v>
      </c>
      <c r="F6525" s="10" t="s">
        <v>293</v>
      </c>
      <c r="G6525" t="s">
        <v>475</v>
      </c>
      <c r="N6525" t="s">
        <v>42</v>
      </c>
      <c r="O6525" t="s">
        <v>39</v>
      </c>
      <c r="P6525" t="s">
        <v>40</v>
      </c>
      <c r="Q6525" t="s">
        <v>36</v>
      </c>
      <c r="R6525" t="s">
        <v>33</v>
      </c>
      <c r="S6525" t="s">
        <v>34</v>
      </c>
      <c r="T6525" t="s">
        <v>32</v>
      </c>
      <c r="U6525" t="s">
        <v>37</v>
      </c>
      <c r="V6525" t="s">
        <v>159</v>
      </c>
    </row>
    <row r="6526" spans="1:24" x14ac:dyDescent="0.35">
      <c r="A6526" s="2">
        <v>43206</v>
      </c>
      <c r="B6526" s="70" t="s">
        <v>63</v>
      </c>
      <c r="C6526" s="10">
        <v>65</v>
      </c>
      <c r="D6526" s="10">
        <v>279</v>
      </c>
      <c r="E6526" s="10" t="s">
        <v>33</v>
      </c>
      <c r="F6526" s="10" t="s">
        <v>476</v>
      </c>
      <c r="N6526" s="5">
        <f>COUNTIF(E6446:E6528,"VA")</f>
        <v>0</v>
      </c>
      <c r="O6526" s="5">
        <f>COUNTIF(E6446:E6528,"VB")</f>
        <v>0</v>
      </c>
      <c r="P6526" s="5">
        <f>COUNTIF(E6446:E6528,"VIA0")</f>
        <v>3</v>
      </c>
      <c r="Q6526" s="5">
        <f>COUNTIF(E6446:E6528,"VIA1")</f>
        <v>1</v>
      </c>
      <c r="R6526" s="5">
        <f>COUNTIF(E6446:E6528,"VIA2")</f>
        <v>19</v>
      </c>
      <c r="S6526" s="5">
        <f>COUNTIF(E6446:E6528,"VIA3")</f>
        <v>30</v>
      </c>
      <c r="T6526" s="5">
        <f>COUNTIF(E6446:E6528,"VIA4")</f>
        <v>22</v>
      </c>
      <c r="U6526" s="5">
        <f>COUNTIF(E6490:E6528,"VIB")</f>
        <v>0</v>
      </c>
      <c r="V6526" s="5">
        <f>COUNTIF(E6446:E6528,"VII")</f>
        <v>1</v>
      </c>
      <c r="W6526">
        <f>AVERAGE(C6484:C6528,C6460:C6482,C6446:C6454)</f>
        <v>69.389610389610397</v>
      </c>
      <c r="X6526">
        <f>AVERAGE(D6484:D6528,D6460:D6482,D6446:D6454)</f>
        <v>285.54545454545456</v>
      </c>
    </row>
    <row r="6527" spans="1:24" x14ac:dyDescent="0.35">
      <c r="A6527" s="2">
        <v>43206</v>
      </c>
      <c r="B6527" s="70" t="s">
        <v>63</v>
      </c>
      <c r="C6527" s="10">
        <v>68</v>
      </c>
      <c r="D6527" s="10">
        <v>266</v>
      </c>
      <c r="E6527" s="10" t="s">
        <v>33</v>
      </c>
      <c r="F6527" s="10" t="s">
        <v>476</v>
      </c>
      <c r="N6527" s="6">
        <f>N6526/77*100</f>
        <v>0</v>
      </c>
      <c r="O6527" s="6">
        <f t="shared" ref="O6527:V6527" si="217">O6526/77*100</f>
        <v>0</v>
      </c>
      <c r="P6527" s="6">
        <f t="shared" si="217"/>
        <v>3.8961038961038961</v>
      </c>
      <c r="Q6527" s="6">
        <f t="shared" si="217"/>
        <v>1.2987012987012987</v>
      </c>
      <c r="R6527" s="6">
        <f t="shared" si="217"/>
        <v>24.675324675324674</v>
      </c>
      <c r="S6527" s="6">
        <f t="shared" si="217"/>
        <v>38.961038961038966</v>
      </c>
      <c r="T6527" s="6">
        <f t="shared" si="217"/>
        <v>28.571428571428569</v>
      </c>
      <c r="U6527" s="6">
        <f t="shared" si="217"/>
        <v>0</v>
      </c>
      <c r="V6527" s="6">
        <f t="shared" si="217"/>
        <v>1.2987012987012987</v>
      </c>
      <c r="W6527" s="4"/>
      <c r="X6527" s="4"/>
    </row>
    <row r="6528" spans="1:24" s="4" customFormat="1" x14ac:dyDescent="0.35">
      <c r="A6528" s="3">
        <v>43206</v>
      </c>
      <c r="B6528" s="44" t="s">
        <v>63</v>
      </c>
      <c r="C6528" s="11">
        <v>73</v>
      </c>
      <c r="D6528" s="11">
        <v>378</v>
      </c>
      <c r="E6528" s="11" t="s">
        <v>34</v>
      </c>
      <c r="F6528" s="11" t="s">
        <v>646</v>
      </c>
    </row>
    <row r="6529" spans="1:14" x14ac:dyDescent="0.35">
      <c r="A6529" s="2">
        <v>43206</v>
      </c>
      <c r="B6529" s="70" t="s">
        <v>143</v>
      </c>
      <c r="C6529" s="10">
        <v>150</v>
      </c>
      <c r="D6529" s="10">
        <v>4569</v>
      </c>
      <c r="E6529" s="10" t="s">
        <v>59</v>
      </c>
    </row>
    <row r="6530" spans="1:14" s="4" customFormat="1" x14ac:dyDescent="0.35">
      <c r="A6530" s="3">
        <v>43206</v>
      </c>
      <c r="B6530" s="44" t="s">
        <v>143</v>
      </c>
      <c r="C6530" s="11">
        <v>68</v>
      </c>
      <c r="D6530" s="11">
        <v>298</v>
      </c>
      <c r="E6530" s="11" t="s">
        <v>33</v>
      </c>
      <c r="F6530" s="4" t="s">
        <v>476</v>
      </c>
    </row>
    <row r="6531" spans="1:14" s="22" customFormat="1" x14ac:dyDescent="0.35">
      <c r="A6531" s="19">
        <v>43206</v>
      </c>
      <c r="B6531" s="72" t="s">
        <v>114</v>
      </c>
      <c r="C6531" s="20">
        <v>71</v>
      </c>
      <c r="D6531" s="20">
        <v>327</v>
      </c>
      <c r="E6531" s="20" t="s">
        <v>32</v>
      </c>
      <c r="F6531" s="20" t="s">
        <v>198</v>
      </c>
    </row>
    <row r="6532" spans="1:14" x14ac:dyDescent="0.35">
      <c r="A6532" s="2">
        <v>43207</v>
      </c>
      <c r="B6532" s="70" t="s">
        <v>667</v>
      </c>
      <c r="C6532" s="10">
        <v>120</v>
      </c>
      <c r="D6532" s="10">
        <v>2068</v>
      </c>
      <c r="E6532" s="10" t="s">
        <v>59</v>
      </c>
      <c r="N6532">
        <f>COUNTIF(F6532:F6583,"F++")</f>
        <v>0</v>
      </c>
    </row>
    <row r="6533" spans="1:14" x14ac:dyDescent="0.35">
      <c r="A6533" s="2">
        <v>43207</v>
      </c>
      <c r="B6533" s="70" t="s">
        <v>667</v>
      </c>
      <c r="C6533" s="10">
        <v>64</v>
      </c>
      <c r="D6533" s="10">
        <v>216</v>
      </c>
      <c r="E6533" s="10" t="s">
        <v>33</v>
      </c>
      <c r="F6533" t="s">
        <v>646</v>
      </c>
      <c r="G6533" t="s">
        <v>651</v>
      </c>
    </row>
    <row r="6534" spans="1:14" x14ac:dyDescent="0.35">
      <c r="A6534" s="2">
        <v>43207</v>
      </c>
      <c r="B6534" s="70" t="s">
        <v>667</v>
      </c>
      <c r="C6534" s="10">
        <v>71</v>
      </c>
      <c r="D6534" s="10">
        <v>282</v>
      </c>
      <c r="E6534" s="10" t="s">
        <v>32</v>
      </c>
      <c r="F6534" t="s">
        <v>646</v>
      </c>
      <c r="G6534" t="s">
        <v>651</v>
      </c>
    </row>
    <row r="6535" spans="1:14" x14ac:dyDescent="0.35">
      <c r="A6535" s="2">
        <v>43207</v>
      </c>
      <c r="B6535" s="70" t="s">
        <v>667</v>
      </c>
      <c r="C6535" s="10">
        <v>65</v>
      </c>
      <c r="D6535" s="10">
        <v>202</v>
      </c>
      <c r="E6535" s="10" t="s">
        <v>32</v>
      </c>
      <c r="F6535" t="s">
        <v>476</v>
      </c>
      <c r="G6535" t="s">
        <v>651</v>
      </c>
    </row>
    <row r="6536" spans="1:14" x14ac:dyDescent="0.35">
      <c r="A6536" s="2">
        <v>43207</v>
      </c>
      <c r="B6536" s="70" t="s">
        <v>667</v>
      </c>
      <c r="C6536" s="10">
        <v>65</v>
      </c>
      <c r="D6536" s="10">
        <v>187</v>
      </c>
      <c r="E6536" s="10" t="s">
        <v>33</v>
      </c>
      <c r="F6536" t="s">
        <v>476</v>
      </c>
      <c r="G6536" t="s">
        <v>651</v>
      </c>
    </row>
    <row r="6537" spans="1:14" x14ac:dyDescent="0.35">
      <c r="A6537" s="2">
        <v>43207</v>
      </c>
      <c r="B6537" s="70" t="s">
        <v>667</v>
      </c>
      <c r="C6537" s="10">
        <v>71</v>
      </c>
      <c r="D6537" s="10">
        <v>316</v>
      </c>
      <c r="E6537" s="10" t="s">
        <v>33</v>
      </c>
      <c r="F6537" t="s">
        <v>646</v>
      </c>
      <c r="H6537" t="s">
        <v>682</v>
      </c>
    </row>
    <row r="6538" spans="1:14" x14ac:dyDescent="0.35">
      <c r="A6538" s="2">
        <v>43207</v>
      </c>
      <c r="B6538" s="70" t="s">
        <v>667</v>
      </c>
      <c r="C6538" s="10">
        <v>75</v>
      </c>
      <c r="D6538" s="10">
        <v>340</v>
      </c>
      <c r="E6538" s="10" t="s">
        <v>34</v>
      </c>
      <c r="F6538" t="s">
        <v>646</v>
      </c>
      <c r="G6538" t="s">
        <v>651</v>
      </c>
    </row>
    <row r="6539" spans="1:14" x14ac:dyDescent="0.35">
      <c r="A6539" s="2">
        <v>43207</v>
      </c>
      <c r="B6539" s="70" t="s">
        <v>667</v>
      </c>
      <c r="C6539" s="10">
        <v>69</v>
      </c>
      <c r="D6539" s="10">
        <v>270</v>
      </c>
      <c r="E6539" s="10" t="s">
        <v>40</v>
      </c>
      <c r="F6539" t="s">
        <v>646</v>
      </c>
    </row>
    <row r="6540" spans="1:14" x14ac:dyDescent="0.35">
      <c r="A6540" s="2">
        <v>43207</v>
      </c>
      <c r="B6540" s="70" t="s">
        <v>667</v>
      </c>
      <c r="C6540" s="10">
        <v>65</v>
      </c>
      <c r="D6540" s="10">
        <v>239</v>
      </c>
      <c r="E6540" s="10" t="s">
        <v>33</v>
      </c>
      <c r="F6540" t="s">
        <v>476</v>
      </c>
    </row>
    <row r="6541" spans="1:14" x14ac:dyDescent="0.35">
      <c r="A6541" s="2">
        <v>43207</v>
      </c>
      <c r="B6541" s="70" t="s">
        <v>667</v>
      </c>
      <c r="C6541" s="10">
        <v>67</v>
      </c>
      <c r="D6541" s="10">
        <v>269</v>
      </c>
      <c r="E6541" s="10" t="s">
        <v>36</v>
      </c>
      <c r="F6541" t="s">
        <v>646</v>
      </c>
      <c r="G6541" t="s">
        <v>651</v>
      </c>
    </row>
    <row r="6542" spans="1:14" x14ac:dyDescent="0.35">
      <c r="A6542" s="2">
        <v>43207</v>
      </c>
      <c r="B6542" s="70" t="s">
        <v>667</v>
      </c>
      <c r="C6542" s="10">
        <v>64</v>
      </c>
      <c r="D6542" s="10">
        <v>214</v>
      </c>
      <c r="E6542" s="10" t="s">
        <v>34</v>
      </c>
      <c r="F6542" t="s">
        <v>646</v>
      </c>
      <c r="G6542" t="s">
        <v>651</v>
      </c>
    </row>
    <row r="6543" spans="1:14" x14ac:dyDescent="0.35">
      <c r="A6543" s="2">
        <v>43207</v>
      </c>
      <c r="B6543" s="70" t="s">
        <v>667</v>
      </c>
      <c r="C6543" s="10">
        <v>71</v>
      </c>
      <c r="D6543" s="10">
        <v>276</v>
      </c>
      <c r="E6543" s="10" t="s">
        <v>33</v>
      </c>
      <c r="F6543" t="s">
        <v>646</v>
      </c>
      <c r="G6543" t="s">
        <v>651</v>
      </c>
    </row>
    <row r="6544" spans="1:14" x14ac:dyDescent="0.35">
      <c r="A6544" s="2">
        <v>43207</v>
      </c>
      <c r="B6544" s="70" t="s">
        <v>667</v>
      </c>
      <c r="C6544" s="10">
        <v>66</v>
      </c>
      <c r="D6544" s="10">
        <v>270</v>
      </c>
      <c r="E6544" s="10" t="s">
        <v>32</v>
      </c>
      <c r="F6544" t="s">
        <v>293</v>
      </c>
      <c r="G6544" t="s">
        <v>651</v>
      </c>
      <c r="H6544" t="s">
        <v>475</v>
      </c>
    </row>
    <row r="6545" spans="1:10" x14ac:dyDescent="0.35">
      <c r="A6545" s="2">
        <v>43207</v>
      </c>
      <c r="B6545" s="70" t="s">
        <v>667</v>
      </c>
      <c r="C6545" s="10">
        <v>69</v>
      </c>
      <c r="D6545" s="10">
        <v>295</v>
      </c>
      <c r="E6545" s="10" t="s">
        <v>32</v>
      </c>
      <c r="F6545" t="s">
        <v>646</v>
      </c>
      <c r="G6545" t="s">
        <v>651</v>
      </c>
    </row>
    <row r="6546" spans="1:10" x14ac:dyDescent="0.35">
      <c r="A6546" s="2">
        <v>43207</v>
      </c>
      <c r="B6546" s="70" t="s">
        <v>667</v>
      </c>
      <c r="C6546" s="10">
        <v>70</v>
      </c>
      <c r="D6546" s="10">
        <v>242</v>
      </c>
      <c r="E6546" s="10" t="s">
        <v>34</v>
      </c>
      <c r="F6546" t="s">
        <v>476</v>
      </c>
      <c r="G6546" t="s">
        <v>651</v>
      </c>
    </row>
    <row r="6547" spans="1:10" x14ac:dyDescent="0.35">
      <c r="A6547" s="2">
        <v>43207</v>
      </c>
      <c r="B6547" s="70" t="s">
        <v>667</v>
      </c>
      <c r="C6547" s="10">
        <v>68</v>
      </c>
      <c r="D6547" s="10">
        <v>345</v>
      </c>
      <c r="E6547" s="10" t="s">
        <v>36</v>
      </c>
      <c r="F6547" t="s">
        <v>476</v>
      </c>
      <c r="G6547" t="s">
        <v>651</v>
      </c>
    </row>
    <row r="6548" spans="1:10" x14ac:dyDescent="0.35">
      <c r="A6548" s="2">
        <v>43207</v>
      </c>
      <c r="B6548" s="70" t="s">
        <v>667</v>
      </c>
      <c r="C6548" s="10">
        <v>65</v>
      </c>
      <c r="D6548" s="10">
        <v>240</v>
      </c>
      <c r="E6548" s="10" t="s">
        <v>36</v>
      </c>
      <c r="F6548" t="s">
        <v>646</v>
      </c>
      <c r="G6548" t="s">
        <v>651</v>
      </c>
    </row>
    <row r="6549" spans="1:10" x14ac:dyDescent="0.35">
      <c r="A6549" s="2">
        <v>43207</v>
      </c>
      <c r="B6549" s="70" t="s">
        <v>667</v>
      </c>
      <c r="C6549" s="10">
        <v>72</v>
      </c>
      <c r="D6549" s="10">
        <v>298</v>
      </c>
      <c r="E6549" s="10" t="s">
        <v>34</v>
      </c>
      <c r="F6549" t="s">
        <v>646</v>
      </c>
      <c r="G6549" t="s">
        <v>651</v>
      </c>
      <c r="H6549" t="s">
        <v>475</v>
      </c>
    </row>
    <row r="6550" spans="1:10" x14ac:dyDescent="0.35">
      <c r="A6550" s="2">
        <v>43207</v>
      </c>
      <c r="B6550" s="70" t="s">
        <v>667</v>
      </c>
      <c r="C6550" s="10">
        <v>70</v>
      </c>
      <c r="D6550" s="10">
        <v>298</v>
      </c>
      <c r="E6550" s="10" t="s">
        <v>34</v>
      </c>
      <c r="F6550" t="s">
        <v>646</v>
      </c>
      <c r="G6550" t="s">
        <v>651</v>
      </c>
    </row>
    <row r="6551" spans="1:10" x14ac:dyDescent="0.35">
      <c r="A6551" s="2">
        <v>43207</v>
      </c>
      <c r="B6551" s="70" t="s">
        <v>667</v>
      </c>
      <c r="C6551" s="10">
        <v>78</v>
      </c>
      <c r="D6551" s="10">
        <v>313</v>
      </c>
      <c r="E6551" s="10" t="s">
        <v>34</v>
      </c>
      <c r="F6551" t="s">
        <v>646</v>
      </c>
      <c r="G6551" t="s">
        <v>651</v>
      </c>
      <c r="H6551" t="s">
        <v>716</v>
      </c>
      <c r="J6551" t="s">
        <v>498</v>
      </c>
    </row>
    <row r="6552" spans="1:10" x14ac:dyDescent="0.35">
      <c r="A6552" s="2">
        <v>43207</v>
      </c>
      <c r="B6552" s="70" t="s">
        <v>667</v>
      </c>
      <c r="C6552" s="10">
        <v>67</v>
      </c>
      <c r="D6552" s="10">
        <v>239</v>
      </c>
      <c r="E6552" s="10" t="s">
        <v>34</v>
      </c>
      <c r="F6552" t="s">
        <v>646</v>
      </c>
      <c r="G6552" t="s">
        <v>651</v>
      </c>
    </row>
    <row r="6553" spans="1:10" x14ac:dyDescent="0.35">
      <c r="A6553" s="2">
        <v>43207</v>
      </c>
      <c r="B6553" s="70" t="s">
        <v>667</v>
      </c>
      <c r="C6553" s="10">
        <v>66</v>
      </c>
      <c r="D6553" s="10">
        <v>264</v>
      </c>
      <c r="E6553" s="10" t="s">
        <v>33</v>
      </c>
      <c r="F6553" t="s">
        <v>646</v>
      </c>
      <c r="G6553" t="s">
        <v>651</v>
      </c>
    </row>
    <row r="6554" spans="1:10" x14ac:dyDescent="0.35">
      <c r="A6554" s="2">
        <v>43207</v>
      </c>
      <c r="B6554" s="70" t="s">
        <v>667</v>
      </c>
      <c r="C6554" s="10">
        <v>71</v>
      </c>
      <c r="D6554" s="10">
        <v>293</v>
      </c>
      <c r="E6554" s="10" t="s">
        <v>32</v>
      </c>
      <c r="F6554" t="s">
        <v>476</v>
      </c>
      <c r="G6554" t="s">
        <v>651</v>
      </c>
    </row>
    <row r="6555" spans="1:10" x14ac:dyDescent="0.35">
      <c r="A6555" s="2">
        <v>43207</v>
      </c>
      <c r="B6555" s="70" t="s">
        <v>667</v>
      </c>
      <c r="C6555" s="10">
        <v>70</v>
      </c>
      <c r="D6555" s="10">
        <v>260</v>
      </c>
      <c r="E6555" s="10" t="s">
        <v>33</v>
      </c>
      <c r="F6555" t="s">
        <v>646</v>
      </c>
      <c r="G6555" t="s">
        <v>651</v>
      </c>
    </row>
    <row r="6556" spans="1:10" x14ac:dyDescent="0.35">
      <c r="A6556" s="2">
        <v>43207</v>
      </c>
      <c r="B6556" s="70" t="s">
        <v>667</v>
      </c>
      <c r="C6556" s="10">
        <v>68</v>
      </c>
      <c r="D6556" s="10">
        <v>262</v>
      </c>
      <c r="E6556" s="10" t="s">
        <v>33</v>
      </c>
      <c r="F6556" t="s">
        <v>646</v>
      </c>
      <c r="G6556" t="s">
        <v>651</v>
      </c>
    </row>
    <row r="6557" spans="1:10" x14ac:dyDescent="0.35">
      <c r="A6557" s="2">
        <v>43207</v>
      </c>
      <c r="B6557" s="70" t="s">
        <v>667</v>
      </c>
      <c r="C6557" s="10">
        <v>71</v>
      </c>
      <c r="D6557" s="10">
        <v>317</v>
      </c>
      <c r="E6557" s="10" t="s">
        <v>34</v>
      </c>
      <c r="F6557" t="s">
        <v>646</v>
      </c>
      <c r="G6557" t="s">
        <v>651</v>
      </c>
    </row>
    <row r="6558" spans="1:10" x14ac:dyDescent="0.35">
      <c r="A6558" s="2">
        <v>43207</v>
      </c>
      <c r="B6558" s="70" t="s">
        <v>667</v>
      </c>
      <c r="C6558" s="10">
        <v>66</v>
      </c>
      <c r="D6558" s="10">
        <v>246</v>
      </c>
      <c r="E6558" s="10" t="s">
        <v>34</v>
      </c>
      <c r="F6558" t="s">
        <v>646</v>
      </c>
    </row>
    <row r="6559" spans="1:10" x14ac:dyDescent="0.35">
      <c r="A6559" s="2">
        <v>43207</v>
      </c>
      <c r="B6559" s="70" t="s">
        <v>667</v>
      </c>
      <c r="C6559" s="10">
        <v>70</v>
      </c>
      <c r="D6559" s="10">
        <v>299</v>
      </c>
      <c r="E6559" s="10" t="s">
        <v>32</v>
      </c>
      <c r="F6559" t="s">
        <v>646</v>
      </c>
      <c r="G6559" t="s">
        <v>651</v>
      </c>
    </row>
    <row r="6560" spans="1:10" x14ac:dyDescent="0.35">
      <c r="A6560" s="2">
        <v>43207</v>
      </c>
      <c r="B6560" s="70" t="s">
        <v>667</v>
      </c>
      <c r="C6560" s="10">
        <v>70</v>
      </c>
      <c r="D6560" s="10">
        <v>241</v>
      </c>
      <c r="E6560" s="10" t="s">
        <v>32</v>
      </c>
      <c r="F6560" t="s">
        <v>646</v>
      </c>
      <c r="G6560" t="s">
        <v>651</v>
      </c>
    </row>
    <row r="6561" spans="1:9" x14ac:dyDescent="0.35">
      <c r="A6561" s="2">
        <v>43207</v>
      </c>
      <c r="B6561" s="70" t="s">
        <v>667</v>
      </c>
      <c r="C6561" s="10">
        <v>70</v>
      </c>
      <c r="D6561" s="10">
        <v>274</v>
      </c>
      <c r="E6561" s="10" t="s">
        <v>34</v>
      </c>
      <c r="F6561" t="s">
        <v>646</v>
      </c>
      <c r="G6561" t="s">
        <v>651</v>
      </c>
    </row>
    <row r="6562" spans="1:9" x14ac:dyDescent="0.35">
      <c r="A6562" s="2">
        <v>43207</v>
      </c>
      <c r="B6562" s="70" t="s">
        <v>667</v>
      </c>
      <c r="C6562" s="10">
        <v>70</v>
      </c>
      <c r="D6562" s="10">
        <v>279</v>
      </c>
      <c r="E6562" s="10" t="s">
        <v>34</v>
      </c>
      <c r="F6562" t="s">
        <v>476</v>
      </c>
      <c r="G6562" t="s">
        <v>651</v>
      </c>
    </row>
    <row r="6563" spans="1:9" x14ac:dyDescent="0.35">
      <c r="A6563" s="2">
        <v>43207</v>
      </c>
      <c r="B6563" s="70" t="s">
        <v>667</v>
      </c>
      <c r="C6563" s="10">
        <v>69</v>
      </c>
      <c r="D6563" s="10">
        <v>219</v>
      </c>
      <c r="E6563" s="10" t="s">
        <v>34</v>
      </c>
      <c r="F6563" t="s">
        <v>646</v>
      </c>
      <c r="G6563" t="s">
        <v>651</v>
      </c>
    </row>
    <row r="6564" spans="1:9" x14ac:dyDescent="0.35">
      <c r="A6564" s="2">
        <v>43207</v>
      </c>
      <c r="B6564" s="70" t="s">
        <v>667</v>
      </c>
      <c r="C6564" s="10">
        <v>59</v>
      </c>
      <c r="D6564" s="10">
        <v>157</v>
      </c>
      <c r="E6564" s="10" t="s">
        <v>32</v>
      </c>
      <c r="F6564" t="s">
        <v>198</v>
      </c>
      <c r="G6564" t="s">
        <v>651</v>
      </c>
      <c r="I6564" t="s">
        <v>475</v>
      </c>
    </row>
    <row r="6565" spans="1:9" x14ac:dyDescent="0.35">
      <c r="A6565" s="2">
        <v>43207</v>
      </c>
      <c r="B6565" s="70" t="s">
        <v>667</v>
      </c>
      <c r="C6565" s="10">
        <v>62</v>
      </c>
      <c r="D6565" s="10">
        <v>222</v>
      </c>
      <c r="E6565" s="10" t="s">
        <v>40</v>
      </c>
      <c r="F6565" t="s">
        <v>476</v>
      </c>
    </row>
    <row r="6566" spans="1:9" x14ac:dyDescent="0.35">
      <c r="A6566" s="2">
        <v>43207</v>
      </c>
      <c r="B6566" s="70" t="s">
        <v>667</v>
      </c>
      <c r="C6566" s="10">
        <v>64</v>
      </c>
      <c r="D6566" s="10">
        <v>207</v>
      </c>
      <c r="E6566" s="10" t="s">
        <v>34</v>
      </c>
      <c r="F6566" t="s">
        <v>293</v>
      </c>
      <c r="G6566" t="s">
        <v>651</v>
      </c>
      <c r="I6566" t="s">
        <v>717</v>
      </c>
    </row>
    <row r="6567" spans="1:9" x14ac:dyDescent="0.35">
      <c r="A6567" s="2">
        <v>43207</v>
      </c>
      <c r="B6567" s="70" t="s">
        <v>667</v>
      </c>
      <c r="C6567" s="10">
        <v>60</v>
      </c>
      <c r="D6567" s="10">
        <v>147</v>
      </c>
      <c r="E6567" s="10" t="s">
        <v>34</v>
      </c>
      <c r="F6567" t="s">
        <v>646</v>
      </c>
      <c r="G6567" t="s">
        <v>651</v>
      </c>
    </row>
    <row r="6568" spans="1:9" x14ac:dyDescent="0.35">
      <c r="A6568" s="2">
        <v>43207</v>
      </c>
      <c r="B6568" s="70" t="s">
        <v>667</v>
      </c>
      <c r="C6568" s="10">
        <v>73</v>
      </c>
      <c r="D6568" s="10">
        <v>320</v>
      </c>
      <c r="E6568" s="10" t="s">
        <v>34</v>
      </c>
      <c r="F6568" t="s">
        <v>646</v>
      </c>
      <c r="G6568" t="s">
        <v>651</v>
      </c>
    </row>
    <row r="6569" spans="1:9" x14ac:dyDescent="0.35">
      <c r="A6569" s="2">
        <v>43207</v>
      </c>
      <c r="B6569" s="70" t="s">
        <v>667</v>
      </c>
      <c r="C6569" s="10">
        <v>67</v>
      </c>
      <c r="D6569" s="10">
        <v>255</v>
      </c>
      <c r="E6569" s="10" t="s">
        <v>34</v>
      </c>
      <c r="F6569" t="s">
        <v>476</v>
      </c>
      <c r="G6569" t="s">
        <v>651</v>
      </c>
    </row>
    <row r="6570" spans="1:9" x14ac:dyDescent="0.35">
      <c r="A6570" s="2">
        <v>43207</v>
      </c>
      <c r="B6570" s="70" t="s">
        <v>667</v>
      </c>
      <c r="C6570" s="10">
        <v>73</v>
      </c>
      <c r="D6570" s="10">
        <v>343</v>
      </c>
      <c r="E6570" s="10" t="s">
        <v>39</v>
      </c>
      <c r="F6570" t="s">
        <v>646</v>
      </c>
      <c r="G6570" t="s">
        <v>651</v>
      </c>
    </row>
    <row r="6571" spans="1:9" x14ac:dyDescent="0.35">
      <c r="A6571" s="2">
        <v>43207</v>
      </c>
      <c r="B6571" s="70" t="s">
        <v>667</v>
      </c>
      <c r="C6571" s="10">
        <v>74</v>
      </c>
      <c r="D6571" s="10">
        <v>339</v>
      </c>
      <c r="E6571" s="10" t="s">
        <v>33</v>
      </c>
      <c r="F6571" t="s">
        <v>476</v>
      </c>
    </row>
    <row r="6572" spans="1:9" x14ac:dyDescent="0.35">
      <c r="A6572" s="2">
        <v>43207</v>
      </c>
      <c r="B6572" s="70" t="s">
        <v>667</v>
      </c>
      <c r="C6572" s="10">
        <v>75</v>
      </c>
      <c r="D6572" s="10">
        <v>415</v>
      </c>
      <c r="E6572" s="10" t="s">
        <v>33</v>
      </c>
      <c r="F6572" t="s">
        <v>646</v>
      </c>
    </row>
    <row r="6573" spans="1:9" x14ac:dyDescent="0.35">
      <c r="A6573" s="2">
        <v>43207</v>
      </c>
      <c r="B6573" s="70" t="s">
        <v>667</v>
      </c>
      <c r="C6573" s="10">
        <v>75</v>
      </c>
      <c r="D6573" s="10">
        <v>362</v>
      </c>
      <c r="E6573" s="10" t="s">
        <v>39</v>
      </c>
      <c r="F6573" t="s">
        <v>476</v>
      </c>
    </row>
    <row r="6574" spans="1:9" x14ac:dyDescent="0.35">
      <c r="A6574" s="2">
        <v>43207</v>
      </c>
      <c r="B6574" s="70" t="s">
        <v>667</v>
      </c>
      <c r="C6574" s="10">
        <v>68</v>
      </c>
      <c r="D6574" s="10">
        <v>284</v>
      </c>
      <c r="E6574" s="10" t="s">
        <v>36</v>
      </c>
      <c r="F6574" t="s">
        <v>476</v>
      </c>
      <c r="G6574" t="s">
        <v>651</v>
      </c>
    </row>
    <row r="6575" spans="1:9" x14ac:dyDescent="0.35">
      <c r="A6575" s="2">
        <v>43207</v>
      </c>
      <c r="B6575" s="70" t="s">
        <v>667</v>
      </c>
      <c r="C6575" s="10">
        <v>75</v>
      </c>
      <c r="D6575" s="10">
        <v>374</v>
      </c>
      <c r="E6575" s="10" t="s">
        <v>33</v>
      </c>
      <c r="F6575" t="s">
        <v>476</v>
      </c>
    </row>
    <row r="6576" spans="1:9" x14ac:dyDescent="0.35">
      <c r="A6576" s="2">
        <v>43207</v>
      </c>
      <c r="B6576" s="70" t="s">
        <v>667</v>
      </c>
      <c r="C6576" s="10">
        <v>66</v>
      </c>
      <c r="D6576" s="10">
        <v>167</v>
      </c>
      <c r="E6576" s="10" t="s">
        <v>32</v>
      </c>
      <c r="F6576" t="s">
        <v>646</v>
      </c>
      <c r="G6576" t="s">
        <v>651</v>
      </c>
    </row>
    <row r="6577" spans="1:24" x14ac:dyDescent="0.35">
      <c r="A6577" s="2">
        <v>43207</v>
      </c>
      <c r="B6577" s="70" t="s">
        <v>667</v>
      </c>
      <c r="C6577" s="10">
        <v>70</v>
      </c>
      <c r="D6577" s="10">
        <v>255</v>
      </c>
      <c r="E6577" s="10" t="s">
        <v>36</v>
      </c>
      <c r="F6577" t="s">
        <v>646</v>
      </c>
    </row>
    <row r="6578" spans="1:24" x14ac:dyDescent="0.35">
      <c r="A6578" s="2">
        <v>43207</v>
      </c>
      <c r="B6578" s="70" t="s">
        <v>667</v>
      </c>
      <c r="C6578" s="10">
        <v>66</v>
      </c>
      <c r="D6578" s="10">
        <v>259</v>
      </c>
      <c r="E6578" s="10" t="s">
        <v>32</v>
      </c>
      <c r="F6578" t="s">
        <v>293</v>
      </c>
      <c r="G6578" t="s">
        <v>651</v>
      </c>
      <c r="I6578" t="s">
        <v>475</v>
      </c>
    </row>
    <row r="6579" spans="1:24" x14ac:dyDescent="0.35">
      <c r="A6579" s="2">
        <v>43207</v>
      </c>
      <c r="B6579" s="70" t="s">
        <v>667</v>
      </c>
      <c r="C6579" s="10">
        <v>72</v>
      </c>
      <c r="D6579" s="10">
        <v>277</v>
      </c>
      <c r="E6579" s="10" t="s">
        <v>34</v>
      </c>
      <c r="F6579" t="s">
        <v>646</v>
      </c>
      <c r="G6579" t="s">
        <v>651</v>
      </c>
    </row>
    <row r="6580" spans="1:24" x14ac:dyDescent="0.35">
      <c r="A6580" s="2">
        <v>43207</v>
      </c>
      <c r="B6580" s="70" t="s">
        <v>667</v>
      </c>
      <c r="C6580" s="10">
        <v>68</v>
      </c>
      <c r="D6580" s="10">
        <v>217</v>
      </c>
      <c r="E6580" s="10" t="s">
        <v>32</v>
      </c>
      <c r="F6580" t="s">
        <v>293</v>
      </c>
      <c r="G6580" t="s">
        <v>651</v>
      </c>
      <c r="I6580" t="s">
        <v>717</v>
      </c>
    </row>
    <row r="6581" spans="1:24" x14ac:dyDescent="0.35">
      <c r="A6581" s="2">
        <v>43207</v>
      </c>
      <c r="B6581" s="70" t="s">
        <v>667</v>
      </c>
      <c r="C6581" s="10">
        <v>72</v>
      </c>
      <c r="D6581" s="10">
        <v>371</v>
      </c>
      <c r="E6581" s="10" t="s">
        <v>33</v>
      </c>
      <c r="F6581" t="s">
        <v>476</v>
      </c>
      <c r="G6581" t="s">
        <v>651</v>
      </c>
      <c r="N6581" t="s">
        <v>42</v>
      </c>
      <c r="O6581" t="s">
        <v>39</v>
      </c>
      <c r="P6581" t="s">
        <v>40</v>
      </c>
      <c r="Q6581" t="s">
        <v>36</v>
      </c>
      <c r="R6581" t="s">
        <v>33</v>
      </c>
      <c r="S6581" t="s">
        <v>34</v>
      </c>
      <c r="T6581" t="s">
        <v>32</v>
      </c>
      <c r="U6581" t="s">
        <v>37</v>
      </c>
      <c r="V6581" t="s">
        <v>159</v>
      </c>
    </row>
    <row r="6582" spans="1:24" x14ac:dyDescent="0.35">
      <c r="A6582" s="2">
        <v>43207</v>
      </c>
      <c r="B6582" s="70" t="s">
        <v>667</v>
      </c>
      <c r="C6582" s="10">
        <v>65</v>
      </c>
      <c r="D6582" s="10">
        <v>272</v>
      </c>
      <c r="E6582" s="10" t="s">
        <v>40</v>
      </c>
      <c r="F6582" t="s">
        <v>646</v>
      </c>
      <c r="G6582" t="s">
        <v>651</v>
      </c>
      <c r="I6582" t="s">
        <v>475</v>
      </c>
      <c r="N6582" s="5">
        <f>COUNTIF(E6533:E6583,"VA")</f>
        <v>0</v>
      </c>
      <c r="O6582" s="5">
        <f>COUNTIF(E6533:E6583,"VB")</f>
        <v>2</v>
      </c>
      <c r="P6582" s="5">
        <f>COUNTIF(E6533:E6583,"VIA0")</f>
        <v>3</v>
      </c>
      <c r="Q6582" s="5">
        <f>COUNTIF(E6533:E6583,"VIA1")</f>
        <v>5</v>
      </c>
      <c r="R6582" s="5">
        <f>COUNTIF(E6533:E6583,"VIA2")</f>
        <v>12</v>
      </c>
      <c r="S6582" s="5">
        <f>COUNTIF(E6534:E6583,"VIA3")</f>
        <v>18</v>
      </c>
      <c r="T6582" s="5">
        <f>COUNTIF(E6534:E6583,"VIA4")</f>
        <v>11</v>
      </c>
      <c r="U6582" s="5">
        <f>COUNTIF(E6534:E6583,"VIB")</f>
        <v>0</v>
      </c>
      <c r="V6582" s="5">
        <f>COUNTIF(E6533:E6583,"VII")</f>
        <v>0</v>
      </c>
      <c r="W6582">
        <f>AVERAGE(C6533:C6583)</f>
        <v>68.745098039215691</v>
      </c>
      <c r="X6582">
        <f>AVERAGE(D6533:D6583)</f>
        <v>271.31372549019608</v>
      </c>
    </row>
    <row r="6583" spans="1:24" s="4" customFormat="1" x14ac:dyDescent="0.35">
      <c r="A6583" s="3">
        <v>43207</v>
      </c>
      <c r="B6583" s="44" t="s">
        <v>667</v>
      </c>
      <c r="C6583" s="11">
        <v>69</v>
      </c>
      <c r="D6583" s="11">
        <v>289</v>
      </c>
      <c r="E6583" s="11" t="s">
        <v>34</v>
      </c>
      <c r="F6583" s="4" t="s">
        <v>646</v>
      </c>
      <c r="G6583" s="4" t="s">
        <v>651</v>
      </c>
      <c r="N6583" s="6">
        <f>N6582/51*100</f>
        <v>0</v>
      </c>
      <c r="O6583" s="6">
        <f t="shared" ref="O6583:V6583" si="218">O6582/51*100</f>
        <v>3.9215686274509802</v>
      </c>
      <c r="P6583" s="6">
        <f t="shared" si="218"/>
        <v>5.8823529411764701</v>
      </c>
      <c r="Q6583" s="6">
        <f t="shared" si="218"/>
        <v>9.8039215686274517</v>
      </c>
      <c r="R6583" s="6">
        <f t="shared" si="218"/>
        <v>23.52941176470588</v>
      </c>
      <c r="S6583" s="6">
        <f t="shared" si="218"/>
        <v>35.294117647058826</v>
      </c>
      <c r="T6583" s="6">
        <f t="shared" si="218"/>
        <v>21.568627450980394</v>
      </c>
      <c r="U6583" s="6">
        <f t="shared" si="218"/>
        <v>0</v>
      </c>
      <c r="V6583" s="6">
        <f t="shared" si="218"/>
        <v>0</v>
      </c>
    </row>
    <row r="6584" spans="1:24" s="22" customFormat="1" x14ac:dyDescent="0.35">
      <c r="A6584" s="19">
        <v>43210</v>
      </c>
      <c r="B6584" s="71" t="s">
        <v>38</v>
      </c>
      <c r="C6584" s="20">
        <v>101</v>
      </c>
      <c r="D6584" s="20">
        <v>1126</v>
      </c>
      <c r="E6584" s="20" t="s">
        <v>59</v>
      </c>
    </row>
    <row r="6585" spans="1:24" x14ac:dyDescent="0.35">
      <c r="A6585" s="2">
        <v>43213</v>
      </c>
      <c r="B6585" s="40" t="s">
        <v>29</v>
      </c>
      <c r="C6585" s="10">
        <v>156</v>
      </c>
      <c r="D6585" s="10">
        <v>4116</v>
      </c>
      <c r="E6585" s="10" t="s">
        <v>59</v>
      </c>
    </row>
    <row r="6586" spans="1:24" x14ac:dyDescent="0.35">
      <c r="A6586" s="2">
        <v>43213</v>
      </c>
      <c r="B6586" s="40" t="s">
        <v>29</v>
      </c>
      <c r="C6586" s="10">
        <v>132</v>
      </c>
      <c r="D6586" s="10">
        <v>1494</v>
      </c>
      <c r="E6586" s="10" t="s">
        <v>59</v>
      </c>
    </row>
    <row r="6587" spans="1:24" x14ac:dyDescent="0.35">
      <c r="A6587" s="2">
        <v>43213</v>
      </c>
      <c r="B6587" s="40" t="s">
        <v>29</v>
      </c>
      <c r="C6587" s="10">
        <v>115</v>
      </c>
      <c r="D6587" s="10">
        <v>1840</v>
      </c>
      <c r="E6587" s="10" t="s">
        <v>59</v>
      </c>
    </row>
    <row r="6588" spans="1:24" x14ac:dyDescent="0.35">
      <c r="A6588" s="2">
        <v>43213</v>
      </c>
      <c r="B6588" s="40" t="s">
        <v>29</v>
      </c>
      <c r="C6588" s="10">
        <v>97</v>
      </c>
      <c r="D6588" s="10">
        <v>924</v>
      </c>
      <c r="E6588" s="10" t="s">
        <v>59</v>
      </c>
    </row>
    <row r="6589" spans="1:24" x14ac:dyDescent="0.35">
      <c r="A6589" s="2">
        <v>43213</v>
      </c>
      <c r="B6589" s="40" t="s">
        <v>29</v>
      </c>
      <c r="C6589" s="10">
        <v>69</v>
      </c>
      <c r="D6589" s="10">
        <v>254</v>
      </c>
      <c r="E6589" s="10" t="s">
        <v>32</v>
      </c>
      <c r="F6589" t="s">
        <v>646</v>
      </c>
      <c r="M6589">
        <f>COUNTIF(F6589:F6695,"F0")</f>
        <v>19</v>
      </c>
    </row>
    <row r="6590" spans="1:24" x14ac:dyDescent="0.35">
      <c r="A6590" s="2">
        <v>43213</v>
      </c>
      <c r="B6590" s="40" t="s">
        <v>29</v>
      </c>
      <c r="C6590" s="10">
        <v>67</v>
      </c>
      <c r="D6590" s="10">
        <v>215</v>
      </c>
      <c r="E6590" s="10" t="s">
        <v>34</v>
      </c>
      <c r="F6590" t="s">
        <v>476</v>
      </c>
    </row>
    <row r="6591" spans="1:24" x14ac:dyDescent="0.35">
      <c r="A6591" s="2">
        <v>43213</v>
      </c>
      <c r="B6591" s="40" t="s">
        <v>29</v>
      </c>
      <c r="C6591" s="10">
        <v>68</v>
      </c>
      <c r="D6591" s="10">
        <v>185</v>
      </c>
      <c r="E6591" s="10" t="s">
        <v>32</v>
      </c>
      <c r="F6591" t="s">
        <v>646</v>
      </c>
    </row>
    <row r="6592" spans="1:24" x14ac:dyDescent="0.35">
      <c r="A6592" s="2">
        <v>43213</v>
      </c>
      <c r="B6592" s="40" t="s">
        <v>29</v>
      </c>
      <c r="C6592" s="10">
        <v>77</v>
      </c>
      <c r="D6592" s="10">
        <v>412</v>
      </c>
      <c r="E6592" s="10" t="s">
        <v>32</v>
      </c>
      <c r="F6592" t="s">
        <v>646</v>
      </c>
    </row>
    <row r="6593" spans="1:7" x14ac:dyDescent="0.35">
      <c r="A6593" s="2">
        <v>43213</v>
      </c>
      <c r="B6593" s="40" t="s">
        <v>29</v>
      </c>
      <c r="C6593" s="10">
        <v>74</v>
      </c>
      <c r="D6593" s="10">
        <v>271</v>
      </c>
      <c r="E6593" s="10" t="s">
        <v>32</v>
      </c>
      <c r="F6593" t="s">
        <v>646</v>
      </c>
    </row>
    <row r="6594" spans="1:7" x14ac:dyDescent="0.35">
      <c r="A6594" s="2">
        <v>43213</v>
      </c>
      <c r="B6594" s="40" t="s">
        <v>29</v>
      </c>
      <c r="C6594" s="10">
        <v>77</v>
      </c>
      <c r="D6594" s="10">
        <v>293</v>
      </c>
      <c r="E6594" s="10" t="s">
        <v>32</v>
      </c>
      <c r="F6594" t="s">
        <v>476</v>
      </c>
    </row>
    <row r="6595" spans="1:7" x14ac:dyDescent="0.35">
      <c r="A6595" s="2">
        <v>43213</v>
      </c>
      <c r="B6595" s="40" t="s">
        <v>29</v>
      </c>
      <c r="C6595" s="10">
        <v>78</v>
      </c>
      <c r="D6595" s="10">
        <v>314</v>
      </c>
      <c r="E6595" s="10" t="s">
        <v>34</v>
      </c>
      <c r="F6595" t="s">
        <v>646</v>
      </c>
    </row>
    <row r="6596" spans="1:7" x14ac:dyDescent="0.35">
      <c r="A6596" s="2">
        <v>43213</v>
      </c>
      <c r="B6596" s="40" t="s">
        <v>29</v>
      </c>
      <c r="C6596" s="10">
        <v>74</v>
      </c>
      <c r="D6596" s="10">
        <v>363</v>
      </c>
      <c r="E6596" s="10" t="s">
        <v>32</v>
      </c>
      <c r="F6596" t="s">
        <v>476</v>
      </c>
    </row>
    <row r="6597" spans="1:7" x14ac:dyDescent="0.35">
      <c r="A6597" s="2">
        <v>43213</v>
      </c>
      <c r="B6597" s="40" t="s">
        <v>29</v>
      </c>
      <c r="C6597" s="10">
        <v>74</v>
      </c>
      <c r="D6597" s="10">
        <v>311</v>
      </c>
      <c r="E6597" s="10" t="s">
        <v>34</v>
      </c>
      <c r="F6597" t="s">
        <v>646</v>
      </c>
    </row>
    <row r="6598" spans="1:7" x14ac:dyDescent="0.35">
      <c r="A6598" s="2">
        <v>43213</v>
      </c>
      <c r="B6598" s="40" t="s">
        <v>29</v>
      </c>
      <c r="C6598" s="10">
        <v>68</v>
      </c>
      <c r="D6598" s="10">
        <v>244</v>
      </c>
      <c r="E6598" s="10" t="s">
        <v>32</v>
      </c>
      <c r="F6598" t="s">
        <v>646</v>
      </c>
    </row>
    <row r="6599" spans="1:7" x14ac:dyDescent="0.35">
      <c r="A6599" s="2">
        <v>43213</v>
      </c>
      <c r="B6599" s="40" t="s">
        <v>29</v>
      </c>
      <c r="C6599" s="10">
        <v>74</v>
      </c>
      <c r="D6599" s="10">
        <v>318</v>
      </c>
      <c r="E6599" s="10" t="s">
        <v>34</v>
      </c>
      <c r="F6599" t="s">
        <v>646</v>
      </c>
    </row>
    <row r="6600" spans="1:7" x14ac:dyDescent="0.35">
      <c r="A6600" s="2">
        <v>43213</v>
      </c>
      <c r="B6600" s="40" t="s">
        <v>29</v>
      </c>
      <c r="C6600" s="10">
        <v>77</v>
      </c>
      <c r="D6600" s="10">
        <v>349</v>
      </c>
      <c r="E6600" s="10" t="s">
        <v>34</v>
      </c>
      <c r="G6600" t="s">
        <v>777</v>
      </c>
    </row>
    <row r="6601" spans="1:7" x14ac:dyDescent="0.35">
      <c r="A6601" s="2">
        <v>43213</v>
      </c>
      <c r="B6601" s="40" t="s">
        <v>29</v>
      </c>
      <c r="C6601" s="10">
        <v>72</v>
      </c>
      <c r="D6601" s="10">
        <v>254</v>
      </c>
      <c r="E6601" s="10" t="s">
        <v>34</v>
      </c>
      <c r="F6601" t="s">
        <v>476</v>
      </c>
    </row>
    <row r="6602" spans="1:7" x14ac:dyDescent="0.35">
      <c r="A6602" s="2">
        <v>43213</v>
      </c>
      <c r="B6602" s="40" t="s">
        <v>29</v>
      </c>
      <c r="C6602" s="10">
        <v>62</v>
      </c>
      <c r="D6602" s="10">
        <v>206</v>
      </c>
      <c r="E6602" s="10" t="s">
        <v>34</v>
      </c>
      <c r="F6602" t="s">
        <v>646</v>
      </c>
    </row>
    <row r="6603" spans="1:7" x14ac:dyDescent="0.35">
      <c r="A6603" s="2">
        <v>43213</v>
      </c>
      <c r="B6603" s="40" t="s">
        <v>29</v>
      </c>
      <c r="C6603" s="10">
        <v>65</v>
      </c>
      <c r="D6603" s="10">
        <v>289</v>
      </c>
      <c r="E6603" s="10" t="s">
        <v>34</v>
      </c>
      <c r="F6603" t="s">
        <v>646</v>
      </c>
    </row>
    <row r="6604" spans="1:7" x14ac:dyDescent="0.35">
      <c r="A6604" s="2">
        <v>43213</v>
      </c>
      <c r="B6604" s="40" t="s">
        <v>29</v>
      </c>
      <c r="C6604" s="10">
        <v>69</v>
      </c>
      <c r="D6604" s="10">
        <v>283</v>
      </c>
      <c r="E6604" s="10" t="s">
        <v>34</v>
      </c>
      <c r="F6604" t="s">
        <v>476</v>
      </c>
    </row>
    <row r="6605" spans="1:7" x14ac:dyDescent="0.35">
      <c r="A6605" s="2">
        <v>43213</v>
      </c>
      <c r="B6605" s="40" t="s">
        <v>29</v>
      </c>
      <c r="C6605" s="10">
        <v>70</v>
      </c>
      <c r="D6605" s="10">
        <v>236</v>
      </c>
      <c r="E6605" s="10" t="s">
        <v>32</v>
      </c>
      <c r="F6605" t="s">
        <v>476</v>
      </c>
    </row>
    <row r="6606" spans="1:7" x14ac:dyDescent="0.35">
      <c r="A6606" s="2">
        <v>43213</v>
      </c>
      <c r="B6606" s="40" t="s">
        <v>29</v>
      </c>
      <c r="C6606" s="10">
        <v>72</v>
      </c>
      <c r="D6606" s="10">
        <v>297</v>
      </c>
      <c r="E6606" s="10" t="s">
        <v>34</v>
      </c>
      <c r="F6606" t="s">
        <v>476</v>
      </c>
    </row>
    <row r="6607" spans="1:7" x14ac:dyDescent="0.35">
      <c r="A6607" s="2">
        <v>43213</v>
      </c>
      <c r="B6607" s="40" t="s">
        <v>29</v>
      </c>
      <c r="C6607" s="10">
        <v>79</v>
      </c>
      <c r="D6607" s="10">
        <v>334</v>
      </c>
      <c r="E6607" s="10" t="s">
        <v>34</v>
      </c>
      <c r="F6607" t="s">
        <v>646</v>
      </c>
    </row>
    <row r="6608" spans="1:7" x14ac:dyDescent="0.35">
      <c r="A6608" s="2">
        <v>43213</v>
      </c>
      <c r="B6608" s="40" t="s">
        <v>29</v>
      </c>
      <c r="C6608" s="10">
        <v>66</v>
      </c>
      <c r="D6608" s="10">
        <v>186</v>
      </c>
      <c r="E6608" s="10" t="s">
        <v>32</v>
      </c>
      <c r="F6608" t="s">
        <v>646</v>
      </c>
    </row>
    <row r="6609" spans="1:6" x14ac:dyDescent="0.35">
      <c r="A6609" s="2">
        <v>43213</v>
      </c>
      <c r="B6609" s="40" t="s">
        <v>29</v>
      </c>
      <c r="C6609" s="10">
        <v>64</v>
      </c>
      <c r="D6609" s="10">
        <v>154</v>
      </c>
      <c r="E6609" s="10" t="s">
        <v>32</v>
      </c>
      <c r="F6609" t="s">
        <v>476</v>
      </c>
    </row>
    <row r="6610" spans="1:6" x14ac:dyDescent="0.35">
      <c r="A6610" s="2">
        <v>43213</v>
      </c>
      <c r="B6610" s="40" t="s">
        <v>29</v>
      </c>
      <c r="C6610" s="10">
        <v>66</v>
      </c>
      <c r="D6610" s="10">
        <v>198</v>
      </c>
      <c r="E6610" s="10" t="s">
        <v>32</v>
      </c>
      <c r="F6610" t="s">
        <v>646</v>
      </c>
    </row>
    <row r="6611" spans="1:6" x14ac:dyDescent="0.35">
      <c r="A6611" s="2">
        <v>43213</v>
      </c>
      <c r="B6611" s="40" t="s">
        <v>29</v>
      </c>
      <c r="C6611" s="10">
        <v>69</v>
      </c>
      <c r="D6611" s="10">
        <v>305</v>
      </c>
      <c r="E6611" s="10" t="s">
        <v>34</v>
      </c>
      <c r="F6611" t="s">
        <v>646</v>
      </c>
    </row>
    <row r="6612" spans="1:6" x14ac:dyDescent="0.35">
      <c r="A6612" s="2">
        <v>43213</v>
      </c>
      <c r="B6612" s="40" t="s">
        <v>29</v>
      </c>
      <c r="C6612" s="10">
        <v>65</v>
      </c>
      <c r="D6612" s="10">
        <v>231</v>
      </c>
      <c r="E6612" s="10" t="s">
        <v>32</v>
      </c>
      <c r="F6612" t="s">
        <v>476</v>
      </c>
    </row>
    <row r="6613" spans="1:6" x14ac:dyDescent="0.35">
      <c r="A6613" s="2">
        <v>43213</v>
      </c>
      <c r="B6613" s="40" t="s">
        <v>29</v>
      </c>
      <c r="C6613" s="10">
        <v>67</v>
      </c>
      <c r="D6613" s="10">
        <v>228</v>
      </c>
      <c r="E6613" s="10" t="s">
        <v>34</v>
      </c>
      <c r="F6613" t="s">
        <v>646</v>
      </c>
    </row>
    <row r="6614" spans="1:6" x14ac:dyDescent="0.35">
      <c r="A6614" s="2">
        <v>43213</v>
      </c>
      <c r="B6614" s="40" t="s">
        <v>29</v>
      </c>
      <c r="C6614" s="10">
        <v>67</v>
      </c>
      <c r="D6614" s="10">
        <v>204</v>
      </c>
      <c r="E6614" s="10" t="s">
        <v>39</v>
      </c>
      <c r="F6614" t="s">
        <v>646</v>
      </c>
    </row>
    <row r="6615" spans="1:6" x14ac:dyDescent="0.35">
      <c r="A6615" s="2">
        <v>43213</v>
      </c>
      <c r="B6615" s="40" t="s">
        <v>29</v>
      </c>
      <c r="C6615" s="10">
        <v>74</v>
      </c>
      <c r="D6615" s="10">
        <v>339</v>
      </c>
      <c r="E6615" s="10" t="s">
        <v>34</v>
      </c>
      <c r="F6615" t="s">
        <v>476</v>
      </c>
    </row>
    <row r="6616" spans="1:6" x14ac:dyDescent="0.35">
      <c r="A6616" s="2">
        <v>43213</v>
      </c>
      <c r="B6616" s="40" t="s">
        <v>29</v>
      </c>
      <c r="C6616" s="10">
        <v>76</v>
      </c>
      <c r="D6616" s="10">
        <v>323</v>
      </c>
      <c r="E6616" s="10" t="s">
        <v>32</v>
      </c>
      <c r="F6616" t="s">
        <v>646</v>
      </c>
    </row>
    <row r="6617" spans="1:6" x14ac:dyDescent="0.35">
      <c r="A6617" s="2">
        <v>43213</v>
      </c>
      <c r="B6617" s="40" t="s">
        <v>29</v>
      </c>
      <c r="C6617" s="10">
        <v>77</v>
      </c>
      <c r="D6617" s="10">
        <v>368</v>
      </c>
      <c r="E6617" s="10" t="s">
        <v>34</v>
      </c>
      <c r="F6617" t="s">
        <v>646</v>
      </c>
    </row>
    <row r="6618" spans="1:6" x14ac:dyDescent="0.35">
      <c r="A6618" s="2">
        <v>43213</v>
      </c>
      <c r="B6618" s="40" t="s">
        <v>29</v>
      </c>
      <c r="C6618" s="10">
        <v>73</v>
      </c>
      <c r="D6618" s="10">
        <v>343</v>
      </c>
      <c r="E6618" s="10" t="s">
        <v>32</v>
      </c>
      <c r="F6618" t="s">
        <v>646</v>
      </c>
    </row>
    <row r="6619" spans="1:6" x14ac:dyDescent="0.35">
      <c r="A6619" s="2">
        <v>43213</v>
      </c>
      <c r="B6619" s="40" t="s">
        <v>29</v>
      </c>
      <c r="C6619" s="10">
        <v>74</v>
      </c>
      <c r="D6619" s="10">
        <v>356</v>
      </c>
      <c r="E6619" s="10" t="s">
        <v>33</v>
      </c>
      <c r="F6619" t="s">
        <v>646</v>
      </c>
    </row>
    <row r="6620" spans="1:6" x14ac:dyDescent="0.35">
      <c r="A6620" s="2">
        <v>43213</v>
      </c>
      <c r="B6620" s="40" t="s">
        <v>29</v>
      </c>
      <c r="C6620" s="10">
        <v>65</v>
      </c>
      <c r="D6620" s="10">
        <v>199</v>
      </c>
      <c r="E6620" s="10" t="s">
        <v>32</v>
      </c>
      <c r="F6620" t="s">
        <v>476</v>
      </c>
    </row>
    <row r="6621" spans="1:6" x14ac:dyDescent="0.35">
      <c r="A6621" s="2">
        <v>43213</v>
      </c>
      <c r="B6621" s="40" t="s">
        <v>29</v>
      </c>
      <c r="C6621" s="10">
        <v>64</v>
      </c>
      <c r="D6621" s="10">
        <v>149</v>
      </c>
      <c r="E6621" s="10" t="s">
        <v>32</v>
      </c>
      <c r="F6621" t="s">
        <v>646</v>
      </c>
    </row>
    <row r="6622" spans="1:6" x14ac:dyDescent="0.35">
      <c r="A6622" s="2">
        <v>43213</v>
      </c>
      <c r="B6622" s="40" t="s">
        <v>29</v>
      </c>
      <c r="C6622" s="10">
        <v>67</v>
      </c>
      <c r="D6622" s="10">
        <v>178</v>
      </c>
      <c r="E6622" s="10" t="s">
        <v>32</v>
      </c>
      <c r="F6622" t="s">
        <v>646</v>
      </c>
    </row>
    <row r="6623" spans="1:6" x14ac:dyDescent="0.35">
      <c r="A6623" s="2">
        <v>43213</v>
      </c>
      <c r="B6623" s="40" t="s">
        <v>29</v>
      </c>
      <c r="C6623" s="10">
        <v>67</v>
      </c>
      <c r="D6623" s="10">
        <v>209</v>
      </c>
      <c r="E6623" s="10" t="s">
        <v>32</v>
      </c>
      <c r="F6623" t="s">
        <v>646</v>
      </c>
    </row>
    <row r="6624" spans="1:6" x14ac:dyDescent="0.35">
      <c r="A6624" s="2">
        <v>43213</v>
      </c>
      <c r="B6624" s="40" t="s">
        <v>29</v>
      </c>
      <c r="C6624" s="10">
        <v>71</v>
      </c>
      <c r="D6624" s="10">
        <v>261</v>
      </c>
      <c r="E6624" s="10" t="s">
        <v>34</v>
      </c>
      <c r="F6624" t="s">
        <v>646</v>
      </c>
    </row>
    <row r="6625" spans="1:24" x14ac:dyDescent="0.35">
      <c r="A6625" s="2">
        <v>43213</v>
      </c>
      <c r="B6625" s="40" t="s">
        <v>29</v>
      </c>
      <c r="C6625" s="10">
        <v>70</v>
      </c>
      <c r="D6625" s="10">
        <v>247</v>
      </c>
      <c r="E6625" s="10" t="s">
        <v>32</v>
      </c>
      <c r="F6625" t="s">
        <v>646</v>
      </c>
    </row>
    <row r="6626" spans="1:24" x14ac:dyDescent="0.35">
      <c r="A6626" s="2">
        <v>43213</v>
      </c>
      <c r="B6626" s="40" t="s">
        <v>29</v>
      </c>
      <c r="C6626" s="10">
        <v>73</v>
      </c>
      <c r="D6626" s="10">
        <v>251</v>
      </c>
      <c r="E6626" s="10" t="s">
        <v>32</v>
      </c>
      <c r="F6626" t="s">
        <v>646</v>
      </c>
      <c r="G6626" t="s">
        <v>475</v>
      </c>
    </row>
    <row r="6627" spans="1:24" x14ac:dyDescent="0.35">
      <c r="A6627" s="2">
        <v>43213</v>
      </c>
      <c r="B6627" s="40" t="s">
        <v>29</v>
      </c>
      <c r="C6627" s="10">
        <v>72</v>
      </c>
      <c r="D6627" s="10">
        <v>240</v>
      </c>
      <c r="E6627" s="10" t="s">
        <v>32</v>
      </c>
      <c r="F6627" t="s">
        <v>646</v>
      </c>
    </row>
    <row r="6628" spans="1:24" x14ac:dyDescent="0.35">
      <c r="A6628" s="2">
        <v>43213</v>
      </c>
      <c r="B6628" s="40" t="s">
        <v>29</v>
      </c>
      <c r="C6628" s="10">
        <v>71</v>
      </c>
      <c r="D6628" s="10">
        <v>262</v>
      </c>
      <c r="E6628" s="10" t="s">
        <v>32</v>
      </c>
      <c r="F6628" t="s">
        <v>476</v>
      </c>
    </row>
    <row r="6629" spans="1:24" x14ac:dyDescent="0.35">
      <c r="A6629" s="2">
        <v>43213</v>
      </c>
      <c r="B6629" s="40" t="s">
        <v>29</v>
      </c>
      <c r="C6629" s="10">
        <v>66</v>
      </c>
      <c r="D6629" s="10">
        <v>184</v>
      </c>
      <c r="E6629" s="10" t="s">
        <v>32</v>
      </c>
      <c r="F6629" t="s">
        <v>646</v>
      </c>
    </row>
    <row r="6630" spans="1:24" x14ac:dyDescent="0.35">
      <c r="A6630" s="2">
        <v>43213</v>
      </c>
      <c r="B6630" s="40" t="s">
        <v>29</v>
      </c>
      <c r="C6630" s="10">
        <v>61</v>
      </c>
      <c r="D6630" s="10">
        <v>191</v>
      </c>
      <c r="E6630" s="10" t="s">
        <v>32</v>
      </c>
      <c r="F6630" t="s">
        <v>476</v>
      </c>
    </row>
    <row r="6631" spans="1:24" x14ac:dyDescent="0.35">
      <c r="A6631" s="2">
        <v>43213</v>
      </c>
      <c r="B6631" s="40" t="s">
        <v>29</v>
      </c>
      <c r="C6631" s="10">
        <v>68</v>
      </c>
      <c r="D6631" s="10">
        <v>220</v>
      </c>
      <c r="E6631" s="10" t="s">
        <v>32</v>
      </c>
      <c r="F6631" t="s">
        <v>476</v>
      </c>
    </row>
    <row r="6632" spans="1:24" x14ac:dyDescent="0.35">
      <c r="A6632" s="2">
        <v>43213</v>
      </c>
      <c r="B6632" s="40" t="s">
        <v>29</v>
      </c>
      <c r="C6632" s="10">
        <v>70</v>
      </c>
      <c r="D6632" s="10">
        <v>304</v>
      </c>
      <c r="E6632" s="10" t="s">
        <v>32</v>
      </c>
      <c r="F6632" t="s">
        <v>476</v>
      </c>
    </row>
    <row r="6633" spans="1:24" x14ac:dyDescent="0.35">
      <c r="A6633" s="2">
        <v>43213</v>
      </c>
      <c r="B6633" s="40" t="s">
        <v>29</v>
      </c>
      <c r="C6633" s="10">
        <v>67</v>
      </c>
      <c r="D6633" s="10">
        <v>267</v>
      </c>
      <c r="E6633" s="10" t="s">
        <v>32</v>
      </c>
      <c r="F6633" t="s">
        <v>646</v>
      </c>
      <c r="G6633" t="s">
        <v>717</v>
      </c>
    </row>
    <row r="6634" spans="1:24" x14ac:dyDescent="0.35">
      <c r="A6634" s="2">
        <v>43213</v>
      </c>
      <c r="B6634" s="40" t="s">
        <v>29</v>
      </c>
      <c r="C6634" s="10">
        <v>74</v>
      </c>
      <c r="D6634" s="10">
        <v>354</v>
      </c>
      <c r="E6634" s="10" t="s">
        <v>34</v>
      </c>
      <c r="F6634" t="s">
        <v>646</v>
      </c>
    </row>
    <row r="6635" spans="1:24" x14ac:dyDescent="0.35">
      <c r="A6635" s="2">
        <v>43213</v>
      </c>
      <c r="B6635" s="40" t="s">
        <v>29</v>
      </c>
      <c r="C6635" s="10">
        <v>77</v>
      </c>
      <c r="D6635" s="10">
        <v>379</v>
      </c>
      <c r="E6635" s="10" t="s">
        <v>32</v>
      </c>
      <c r="F6635" t="s">
        <v>293</v>
      </c>
    </row>
    <row r="6636" spans="1:24" x14ac:dyDescent="0.35">
      <c r="A6636" s="2">
        <v>43213</v>
      </c>
      <c r="B6636" s="40" t="s">
        <v>29</v>
      </c>
      <c r="C6636" s="10">
        <v>72</v>
      </c>
      <c r="D6636" s="10">
        <v>293</v>
      </c>
      <c r="E6636" s="10" t="s">
        <v>33</v>
      </c>
      <c r="F6636" t="s">
        <v>646</v>
      </c>
      <c r="N6636" t="s">
        <v>42</v>
      </c>
      <c r="O6636" t="s">
        <v>39</v>
      </c>
      <c r="P6636" t="s">
        <v>40</v>
      </c>
      <c r="Q6636" t="s">
        <v>36</v>
      </c>
      <c r="R6636" t="s">
        <v>33</v>
      </c>
      <c r="S6636" t="s">
        <v>34</v>
      </c>
      <c r="T6636" t="s">
        <v>32</v>
      </c>
      <c r="U6636" t="s">
        <v>37</v>
      </c>
      <c r="V6636" t="s">
        <v>159</v>
      </c>
    </row>
    <row r="6637" spans="1:24" x14ac:dyDescent="0.35">
      <c r="A6637" s="2">
        <v>43213</v>
      </c>
      <c r="B6637" s="40" t="s">
        <v>29</v>
      </c>
      <c r="C6637" s="10">
        <v>68</v>
      </c>
      <c r="D6637" s="10">
        <v>247</v>
      </c>
      <c r="E6637" s="10" t="s">
        <v>32</v>
      </c>
      <c r="F6637" t="s">
        <v>476</v>
      </c>
      <c r="N6637" s="5">
        <f>COUNTIF(E6588:E6638,"VA")</f>
        <v>0</v>
      </c>
      <c r="O6637" s="5">
        <f>COUNTIF(E6589:E6638,"VB")</f>
        <v>1</v>
      </c>
      <c r="P6637" s="5">
        <f>COUNTIF(E6589:E6638,"VIA0")</f>
        <v>0</v>
      </c>
      <c r="Q6637" s="5">
        <f>COUNTIF(E6589:E6638,"VIA1")</f>
        <v>0</v>
      </c>
      <c r="R6637" s="5">
        <f>COUNTIF(E6588:E6638,"VIA2")</f>
        <v>2</v>
      </c>
      <c r="S6637" s="5">
        <f>COUNTIF(E6589:E6638,"VIA3")</f>
        <v>18</v>
      </c>
      <c r="T6637" s="5">
        <f>COUNTIF(E6589:E6638,"VIA4")</f>
        <v>29</v>
      </c>
      <c r="U6637" s="5">
        <f>COUNTIF(E6589:E6638,"VIB")</f>
        <v>0</v>
      </c>
      <c r="V6637" s="5">
        <f>COUNTIF(E6588:E6638,"VII")</f>
        <v>0</v>
      </c>
      <c r="W6637">
        <f>AVERAGE(C6589:C6638)</f>
        <v>70.34</v>
      </c>
      <c r="X6637">
        <f>AVERAGE(D6589:D6638)</f>
        <v>267.42</v>
      </c>
    </row>
    <row r="6638" spans="1:24" s="4" customFormat="1" x14ac:dyDescent="0.35">
      <c r="A6638" s="3">
        <v>43213</v>
      </c>
      <c r="B6638" s="44" t="s">
        <v>29</v>
      </c>
      <c r="C6638" s="11">
        <v>70</v>
      </c>
      <c r="D6638" s="11">
        <v>273</v>
      </c>
      <c r="E6638" s="11" t="s">
        <v>34</v>
      </c>
      <c r="F6638" s="4" t="s">
        <v>293</v>
      </c>
      <c r="N6638" s="6">
        <f>N6637/50*100</f>
        <v>0</v>
      </c>
      <c r="O6638" s="6">
        <f t="shared" ref="O6638" si="219">O6637/50*100</f>
        <v>2</v>
      </c>
      <c r="P6638" s="6">
        <f t="shared" ref="P6638" si="220">P6637/50*100</f>
        <v>0</v>
      </c>
      <c r="Q6638" s="6">
        <f t="shared" ref="Q6638" si="221">Q6637/50*100</f>
        <v>0</v>
      </c>
      <c r="R6638" s="6">
        <f t="shared" ref="R6638" si="222">R6637/50*100</f>
        <v>4</v>
      </c>
      <c r="S6638" s="6">
        <f t="shared" ref="S6638" si="223">S6637/50*100</f>
        <v>36</v>
      </c>
      <c r="T6638" s="6">
        <f t="shared" ref="T6638" si="224">T6637/50*100</f>
        <v>57.999999999999993</v>
      </c>
      <c r="U6638" s="6">
        <f t="shared" ref="U6638" si="225">U6637/50*100</f>
        <v>0</v>
      </c>
      <c r="V6638" s="6">
        <f t="shared" ref="V6638" si="226">V6637/50*100</f>
        <v>0</v>
      </c>
    </row>
    <row r="6639" spans="1:24" x14ac:dyDescent="0.35">
      <c r="A6639" s="2">
        <v>43213</v>
      </c>
      <c r="B6639" s="40" t="s">
        <v>38</v>
      </c>
      <c r="C6639" s="10">
        <v>110</v>
      </c>
      <c r="D6639" s="10">
        <v>786</v>
      </c>
      <c r="E6639" s="10" t="s">
        <v>59</v>
      </c>
    </row>
    <row r="6640" spans="1:24" x14ac:dyDescent="0.35">
      <c r="A6640" s="2">
        <v>43213</v>
      </c>
      <c r="B6640" s="40" t="s">
        <v>38</v>
      </c>
      <c r="C6640" s="10">
        <v>178</v>
      </c>
      <c r="D6640" s="10">
        <v>7098</v>
      </c>
      <c r="E6640" s="10" t="s">
        <v>59</v>
      </c>
    </row>
    <row r="6641" spans="1:13" x14ac:dyDescent="0.35">
      <c r="A6641" s="2">
        <v>43213</v>
      </c>
      <c r="B6641" s="40" t="s">
        <v>38</v>
      </c>
      <c r="C6641" s="10">
        <v>122</v>
      </c>
      <c r="D6641" s="10">
        <v>1679</v>
      </c>
      <c r="E6641" s="10" t="s">
        <v>59</v>
      </c>
    </row>
    <row r="6642" spans="1:13" x14ac:dyDescent="0.35">
      <c r="A6642" s="2">
        <v>43213</v>
      </c>
      <c r="B6642" s="40" t="s">
        <v>38</v>
      </c>
      <c r="C6642" s="10">
        <v>114</v>
      </c>
      <c r="D6642" s="10">
        <v>1041</v>
      </c>
      <c r="E6642" s="10" t="s">
        <v>59</v>
      </c>
    </row>
    <row r="6643" spans="1:13" x14ac:dyDescent="0.35">
      <c r="A6643" s="2">
        <v>43213</v>
      </c>
      <c r="B6643" s="40" t="s">
        <v>38</v>
      </c>
      <c r="C6643" s="10">
        <v>131</v>
      </c>
      <c r="D6643" s="10">
        <v>2424</v>
      </c>
      <c r="E6643" s="10" t="s">
        <v>59</v>
      </c>
      <c r="L6643">
        <f>AVERAGE(C6639:C6645)</f>
        <v>123.42857142857143</v>
      </c>
      <c r="M6643">
        <f>AVERAGE(D6639:D6645)</f>
        <v>2230.2857142857142</v>
      </c>
    </row>
    <row r="6644" spans="1:13" x14ac:dyDescent="0.35">
      <c r="A6644" s="2">
        <v>43213</v>
      </c>
      <c r="B6644" s="40" t="s">
        <v>38</v>
      </c>
      <c r="C6644" s="10">
        <v>100</v>
      </c>
      <c r="D6644" s="10">
        <v>995</v>
      </c>
      <c r="E6644" s="10" t="s">
        <v>59</v>
      </c>
    </row>
    <row r="6645" spans="1:13" x14ac:dyDescent="0.35">
      <c r="A6645" s="2">
        <v>43213</v>
      </c>
      <c r="B6645" s="40" t="s">
        <v>38</v>
      </c>
      <c r="C6645" s="10">
        <v>109</v>
      </c>
      <c r="D6645" s="10">
        <v>1589</v>
      </c>
      <c r="E6645" s="10" t="s">
        <v>59</v>
      </c>
    </row>
    <row r="6646" spans="1:13" x14ac:dyDescent="0.35">
      <c r="A6646" s="2">
        <v>43213</v>
      </c>
      <c r="B6646" s="40" t="s">
        <v>38</v>
      </c>
      <c r="C6646" s="10">
        <v>72</v>
      </c>
      <c r="D6646" s="10">
        <v>223</v>
      </c>
      <c r="E6646" s="10" t="s">
        <v>32</v>
      </c>
      <c r="F6646" t="s">
        <v>198</v>
      </c>
    </row>
    <row r="6647" spans="1:13" x14ac:dyDescent="0.35">
      <c r="A6647" s="2">
        <v>43213</v>
      </c>
      <c r="B6647" s="40" t="s">
        <v>38</v>
      </c>
      <c r="C6647" s="10">
        <v>68</v>
      </c>
      <c r="D6647" s="10">
        <v>227</v>
      </c>
      <c r="E6647" s="10" t="s">
        <v>34</v>
      </c>
      <c r="F6647" t="s">
        <v>646</v>
      </c>
    </row>
    <row r="6648" spans="1:13" x14ac:dyDescent="0.35">
      <c r="A6648" s="2">
        <v>43213</v>
      </c>
      <c r="B6648" s="40" t="s">
        <v>38</v>
      </c>
      <c r="C6648" s="10">
        <v>73</v>
      </c>
      <c r="D6648" s="10">
        <v>213</v>
      </c>
      <c r="E6648" s="10" t="s">
        <v>34</v>
      </c>
      <c r="F6648" t="s">
        <v>293</v>
      </c>
      <c r="G6648" t="s">
        <v>475</v>
      </c>
    </row>
    <row r="6649" spans="1:13" x14ac:dyDescent="0.35">
      <c r="A6649" s="2">
        <v>43213</v>
      </c>
      <c r="B6649" s="40" t="s">
        <v>38</v>
      </c>
      <c r="C6649" s="10">
        <v>61</v>
      </c>
      <c r="D6649" s="10">
        <v>273</v>
      </c>
      <c r="E6649" s="10" t="s">
        <v>32</v>
      </c>
      <c r="F6649" t="s">
        <v>293</v>
      </c>
      <c r="G6649" t="s">
        <v>475</v>
      </c>
      <c r="H6649" t="s">
        <v>778</v>
      </c>
    </row>
    <row r="6650" spans="1:13" x14ac:dyDescent="0.35">
      <c r="A6650" s="2">
        <v>43213</v>
      </c>
      <c r="B6650" s="40" t="s">
        <v>38</v>
      </c>
      <c r="C6650" s="10">
        <v>68</v>
      </c>
      <c r="D6650" s="10">
        <v>199</v>
      </c>
      <c r="E6650" s="10" t="s">
        <v>34</v>
      </c>
      <c r="F6650" t="s">
        <v>646</v>
      </c>
    </row>
    <row r="6651" spans="1:13" x14ac:dyDescent="0.35">
      <c r="A6651" s="2">
        <v>43213</v>
      </c>
      <c r="B6651" s="40" t="s">
        <v>38</v>
      </c>
      <c r="C6651" s="10">
        <v>72</v>
      </c>
      <c r="D6651" s="10">
        <v>255</v>
      </c>
      <c r="E6651" s="10" t="s">
        <v>32</v>
      </c>
      <c r="F6651" t="s">
        <v>646</v>
      </c>
    </row>
    <row r="6652" spans="1:13" x14ac:dyDescent="0.35">
      <c r="A6652" s="2">
        <v>43213</v>
      </c>
      <c r="B6652" s="40" t="s">
        <v>38</v>
      </c>
      <c r="C6652" s="10">
        <v>68</v>
      </c>
      <c r="D6652" s="10">
        <v>287</v>
      </c>
      <c r="E6652" s="10" t="s">
        <v>33</v>
      </c>
      <c r="F6652" t="s">
        <v>646</v>
      </c>
    </row>
    <row r="6653" spans="1:13" x14ac:dyDescent="0.35">
      <c r="A6653" s="2">
        <v>43213</v>
      </c>
      <c r="B6653" s="40" t="s">
        <v>38</v>
      </c>
      <c r="C6653" s="10">
        <v>71</v>
      </c>
      <c r="D6653" s="10">
        <v>293</v>
      </c>
      <c r="E6653" s="10" t="s">
        <v>34</v>
      </c>
      <c r="F6653" t="s">
        <v>293</v>
      </c>
    </row>
    <row r="6654" spans="1:13" x14ac:dyDescent="0.35">
      <c r="A6654" s="2">
        <v>43213</v>
      </c>
      <c r="B6654" s="40" t="s">
        <v>38</v>
      </c>
      <c r="C6654" s="10">
        <v>64</v>
      </c>
      <c r="D6654" s="10">
        <v>205</v>
      </c>
      <c r="E6654" s="10" t="s">
        <v>32</v>
      </c>
      <c r="F6654" t="s">
        <v>198</v>
      </c>
      <c r="G6654" t="s">
        <v>779</v>
      </c>
    </row>
    <row r="6655" spans="1:13" x14ac:dyDescent="0.35">
      <c r="A6655" s="2">
        <v>43213</v>
      </c>
      <c r="B6655" s="40" t="s">
        <v>38</v>
      </c>
      <c r="C6655" s="10">
        <v>61</v>
      </c>
      <c r="D6655" s="10">
        <v>129</v>
      </c>
      <c r="E6655" s="10" t="s">
        <v>32</v>
      </c>
      <c r="F6655" t="s">
        <v>293</v>
      </c>
    </row>
    <row r="6656" spans="1:13" x14ac:dyDescent="0.35">
      <c r="A6656" s="2">
        <v>43213</v>
      </c>
      <c r="B6656" s="40" t="s">
        <v>38</v>
      </c>
      <c r="C6656" s="10">
        <v>70</v>
      </c>
      <c r="D6656" s="10">
        <v>257</v>
      </c>
      <c r="E6656" s="10" t="s">
        <v>32</v>
      </c>
      <c r="F6656" t="s">
        <v>646</v>
      </c>
    </row>
    <row r="6657" spans="1:7" x14ac:dyDescent="0.35">
      <c r="A6657" s="2">
        <v>43213</v>
      </c>
      <c r="B6657" s="40" t="s">
        <v>38</v>
      </c>
      <c r="C6657" s="10">
        <v>72</v>
      </c>
      <c r="D6657" s="10">
        <v>271</v>
      </c>
      <c r="E6657" s="10" t="s">
        <v>32</v>
      </c>
      <c r="F6657" t="s">
        <v>646</v>
      </c>
    </row>
    <row r="6658" spans="1:7" x14ac:dyDescent="0.35">
      <c r="A6658" s="2">
        <v>43213</v>
      </c>
      <c r="B6658" s="40" t="s">
        <v>38</v>
      </c>
      <c r="C6658" s="10">
        <v>65</v>
      </c>
      <c r="D6658" s="10">
        <v>222</v>
      </c>
      <c r="E6658" s="10" t="s">
        <v>34</v>
      </c>
      <c r="F6658" t="s">
        <v>646</v>
      </c>
    </row>
    <row r="6659" spans="1:7" x14ac:dyDescent="0.35">
      <c r="A6659" s="2">
        <v>43213</v>
      </c>
      <c r="B6659" s="40" t="s">
        <v>38</v>
      </c>
      <c r="C6659" s="10">
        <v>69</v>
      </c>
      <c r="D6659" s="10">
        <v>267</v>
      </c>
      <c r="E6659" s="10" t="s">
        <v>32</v>
      </c>
      <c r="F6659" t="s">
        <v>293</v>
      </c>
    </row>
    <row r="6660" spans="1:7" x14ac:dyDescent="0.35">
      <c r="A6660" s="2">
        <v>43213</v>
      </c>
      <c r="B6660" s="40" t="s">
        <v>38</v>
      </c>
      <c r="C6660" s="10">
        <v>71</v>
      </c>
      <c r="D6660" s="10">
        <v>253</v>
      </c>
      <c r="E6660" s="10" t="s">
        <v>32</v>
      </c>
      <c r="F6660" t="s">
        <v>646</v>
      </c>
    </row>
    <row r="6661" spans="1:7" x14ac:dyDescent="0.35">
      <c r="A6661" s="2">
        <v>43213</v>
      </c>
      <c r="B6661" s="40" t="s">
        <v>38</v>
      </c>
      <c r="C6661" s="10">
        <v>70</v>
      </c>
      <c r="D6661" s="10">
        <v>285</v>
      </c>
      <c r="E6661" s="10" t="s">
        <v>34</v>
      </c>
      <c r="F6661" t="s">
        <v>476</v>
      </c>
    </row>
    <row r="6662" spans="1:7" x14ac:dyDescent="0.35">
      <c r="A6662" s="2">
        <v>43213</v>
      </c>
      <c r="B6662" s="40" t="s">
        <v>38</v>
      </c>
      <c r="C6662" s="10">
        <v>73</v>
      </c>
      <c r="D6662" s="10">
        <v>311</v>
      </c>
      <c r="E6662" s="10" t="s">
        <v>32</v>
      </c>
      <c r="F6662" t="s">
        <v>646</v>
      </c>
    </row>
    <row r="6663" spans="1:7" x14ac:dyDescent="0.35">
      <c r="A6663" s="2">
        <v>43213</v>
      </c>
      <c r="B6663" s="40" t="s">
        <v>38</v>
      </c>
      <c r="C6663" s="10">
        <v>69</v>
      </c>
      <c r="D6663" s="10">
        <v>296</v>
      </c>
      <c r="E6663" s="10" t="s">
        <v>34</v>
      </c>
      <c r="F6663" t="s">
        <v>646</v>
      </c>
      <c r="G6663" t="s">
        <v>475</v>
      </c>
    </row>
    <row r="6664" spans="1:7" x14ac:dyDescent="0.35">
      <c r="A6664" s="2">
        <v>43213</v>
      </c>
      <c r="B6664" s="40" t="s">
        <v>38</v>
      </c>
      <c r="C6664" s="10">
        <v>66</v>
      </c>
      <c r="D6664" s="10">
        <v>222</v>
      </c>
      <c r="E6664" s="10" t="s">
        <v>32</v>
      </c>
      <c r="F6664" t="s">
        <v>293</v>
      </c>
    </row>
    <row r="6665" spans="1:7" x14ac:dyDescent="0.35">
      <c r="A6665" s="2">
        <v>43213</v>
      </c>
      <c r="B6665" s="40" t="s">
        <v>38</v>
      </c>
      <c r="C6665" s="10">
        <v>72</v>
      </c>
      <c r="D6665" s="10">
        <v>282</v>
      </c>
      <c r="E6665" s="10" t="s">
        <v>34</v>
      </c>
      <c r="F6665" t="s">
        <v>646</v>
      </c>
    </row>
    <row r="6666" spans="1:7" x14ac:dyDescent="0.35">
      <c r="A6666" s="2">
        <v>43213</v>
      </c>
      <c r="B6666" s="40" t="s">
        <v>38</v>
      </c>
      <c r="C6666" s="10">
        <v>69</v>
      </c>
      <c r="D6666" s="10">
        <v>320</v>
      </c>
      <c r="E6666" s="10" t="s">
        <v>32</v>
      </c>
      <c r="F6666" t="s">
        <v>293</v>
      </c>
    </row>
    <row r="6667" spans="1:7" x14ac:dyDescent="0.35">
      <c r="A6667" s="2">
        <v>43213</v>
      </c>
      <c r="B6667" s="40" t="s">
        <v>38</v>
      </c>
      <c r="C6667" s="10">
        <v>65</v>
      </c>
      <c r="D6667" s="10">
        <v>211</v>
      </c>
      <c r="E6667" s="10" t="s">
        <v>34</v>
      </c>
      <c r="F6667" t="s">
        <v>293</v>
      </c>
    </row>
    <row r="6668" spans="1:7" x14ac:dyDescent="0.35">
      <c r="A6668" s="2">
        <v>43213</v>
      </c>
      <c r="B6668" s="40" t="s">
        <v>38</v>
      </c>
      <c r="C6668" s="10">
        <v>66</v>
      </c>
      <c r="D6668" s="10">
        <v>187</v>
      </c>
      <c r="E6668" s="10" t="s">
        <v>32</v>
      </c>
      <c r="F6668" t="s">
        <v>646</v>
      </c>
    </row>
    <row r="6669" spans="1:7" x14ac:dyDescent="0.35">
      <c r="A6669" s="2">
        <v>43213</v>
      </c>
      <c r="B6669" s="40" t="s">
        <v>38</v>
      </c>
      <c r="C6669" s="10">
        <v>72</v>
      </c>
      <c r="D6669" s="10">
        <v>258</v>
      </c>
      <c r="E6669" s="10" t="s">
        <v>33</v>
      </c>
      <c r="F6669" t="s">
        <v>293</v>
      </c>
    </row>
    <row r="6670" spans="1:7" x14ac:dyDescent="0.35">
      <c r="A6670" s="2">
        <v>43213</v>
      </c>
      <c r="B6670" s="40" t="s">
        <v>38</v>
      </c>
      <c r="C6670" s="10">
        <v>75</v>
      </c>
      <c r="D6670" s="10">
        <v>332</v>
      </c>
      <c r="E6670" s="10" t="s">
        <v>34</v>
      </c>
      <c r="F6670" t="s">
        <v>646</v>
      </c>
    </row>
    <row r="6671" spans="1:7" x14ac:dyDescent="0.35">
      <c r="A6671" s="2">
        <v>43213</v>
      </c>
      <c r="B6671" s="40" t="s">
        <v>38</v>
      </c>
      <c r="C6671" s="10">
        <v>70</v>
      </c>
      <c r="D6671" s="10">
        <v>222</v>
      </c>
      <c r="E6671" s="10" t="s">
        <v>32</v>
      </c>
      <c r="F6671" t="s">
        <v>198</v>
      </c>
      <c r="G6671" t="s">
        <v>475</v>
      </c>
    </row>
    <row r="6672" spans="1:7" x14ac:dyDescent="0.35">
      <c r="A6672" s="2">
        <v>43213</v>
      </c>
      <c r="B6672" s="40" t="s">
        <v>38</v>
      </c>
      <c r="C6672" s="10">
        <v>70</v>
      </c>
      <c r="D6672" s="10">
        <v>255</v>
      </c>
      <c r="E6672" s="10" t="s">
        <v>32</v>
      </c>
      <c r="F6672" t="s">
        <v>198</v>
      </c>
      <c r="G6672" t="s">
        <v>475</v>
      </c>
    </row>
    <row r="6673" spans="1:22" x14ac:dyDescent="0.35">
      <c r="A6673" s="2">
        <v>43213</v>
      </c>
      <c r="B6673" s="40" t="s">
        <v>38</v>
      </c>
      <c r="C6673" s="10">
        <v>71</v>
      </c>
      <c r="D6673" s="10">
        <v>261</v>
      </c>
      <c r="E6673" s="10" t="s">
        <v>32</v>
      </c>
      <c r="F6673" t="s">
        <v>293</v>
      </c>
    </row>
    <row r="6674" spans="1:22" x14ac:dyDescent="0.35">
      <c r="A6674" s="2">
        <v>43213</v>
      </c>
      <c r="B6674" s="40" t="s">
        <v>38</v>
      </c>
      <c r="C6674" s="10">
        <v>64</v>
      </c>
      <c r="D6674" s="10">
        <v>183</v>
      </c>
      <c r="E6674" s="10" t="s">
        <v>32</v>
      </c>
      <c r="F6674" t="s">
        <v>360</v>
      </c>
    </row>
    <row r="6675" spans="1:22" x14ac:dyDescent="0.35">
      <c r="A6675" s="2">
        <v>43213</v>
      </c>
      <c r="B6675" s="40" t="s">
        <v>38</v>
      </c>
      <c r="C6675" s="10">
        <v>64</v>
      </c>
      <c r="D6675" s="10">
        <v>163</v>
      </c>
      <c r="E6675" s="10" t="s">
        <v>32</v>
      </c>
      <c r="F6675" t="s">
        <v>293</v>
      </c>
    </row>
    <row r="6676" spans="1:22" x14ac:dyDescent="0.35">
      <c r="A6676" s="2">
        <v>43213</v>
      </c>
      <c r="B6676" s="40" t="s">
        <v>38</v>
      </c>
      <c r="C6676" s="10">
        <v>65</v>
      </c>
      <c r="D6676" s="10">
        <v>196</v>
      </c>
      <c r="E6676" s="10" t="s">
        <v>32</v>
      </c>
      <c r="F6676" t="s">
        <v>646</v>
      </c>
    </row>
    <row r="6677" spans="1:22" x14ac:dyDescent="0.35">
      <c r="A6677" s="2">
        <v>43213</v>
      </c>
      <c r="B6677" s="40" t="s">
        <v>38</v>
      </c>
      <c r="C6677" s="10">
        <v>67</v>
      </c>
      <c r="D6677" s="10">
        <v>236</v>
      </c>
      <c r="E6677" s="10" t="s">
        <v>32</v>
      </c>
      <c r="F6677" t="s">
        <v>293</v>
      </c>
    </row>
    <row r="6678" spans="1:22" x14ac:dyDescent="0.35">
      <c r="A6678" s="2">
        <v>43213</v>
      </c>
      <c r="B6678" s="40" t="s">
        <v>38</v>
      </c>
      <c r="C6678" s="10">
        <v>65</v>
      </c>
      <c r="D6678" s="10">
        <v>231</v>
      </c>
      <c r="E6678" s="10" t="s">
        <v>32</v>
      </c>
      <c r="F6678" t="s">
        <v>293</v>
      </c>
    </row>
    <row r="6679" spans="1:22" x14ac:dyDescent="0.35">
      <c r="A6679" s="2">
        <v>43213</v>
      </c>
      <c r="B6679" s="40" t="s">
        <v>38</v>
      </c>
      <c r="C6679" s="10">
        <v>62</v>
      </c>
      <c r="D6679" s="10">
        <v>146</v>
      </c>
      <c r="E6679" s="10" t="s">
        <v>32</v>
      </c>
      <c r="F6679" t="s">
        <v>360</v>
      </c>
      <c r="G6679" t="s">
        <v>780</v>
      </c>
    </row>
    <row r="6680" spans="1:22" x14ac:dyDescent="0.35">
      <c r="A6680" s="2">
        <v>43213</v>
      </c>
      <c r="B6680" s="40" t="s">
        <v>38</v>
      </c>
      <c r="C6680" s="10">
        <v>69</v>
      </c>
      <c r="D6680" s="10">
        <v>283</v>
      </c>
      <c r="E6680" s="10" t="s">
        <v>32</v>
      </c>
      <c r="F6680" t="s">
        <v>293</v>
      </c>
    </row>
    <row r="6681" spans="1:22" x14ac:dyDescent="0.35">
      <c r="A6681" s="2">
        <v>43213</v>
      </c>
      <c r="B6681" s="40" t="s">
        <v>38</v>
      </c>
      <c r="C6681" s="10">
        <v>68</v>
      </c>
      <c r="D6681" s="10">
        <v>249</v>
      </c>
      <c r="E6681" s="10" t="s">
        <v>32</v>
      </c>
      <c r="F6681" t="s">
        <v>293</v>
      </c>
    </row>
    <row r="6682" spans="1:22" x14ac:dyDescent="0.35">
      <c r="A6682" s="2">
        <v>43213</v>
      </c>
      <c r="B6682" s="40" t="s">
        <v>38</v>
      </c>
      <c r="C6682" s="10">
        <v>70</v>
      </c>
      <c r="D6682" s="10">
        <v>211</v>
      </c>
      <c r="E6682" s="10" t="s">
        <v>33</v>
      </c>
      <c r="F6682" t="s">
        <v>293</v>
      </c>
    </row>
    <row r="6683" spans="1:22" x14ac:dyDescent="0.35">
      <c r="A6683" s="2">
        <v>43213</v>
      </c>
      <c r="B6683" s="40" t="s">
        <v>38</v>
      </c>
      <c r="C6683" s="10">
        <v>62</v>
      </c>
      <c r="D6683" s="10">
        <v>131</v>
      </c>
      <c r="E6683" s="10" t="s">
        <v>32</v>
      </c>
      <c r="F6683" t="s">
        <v>198</v>
      </c>
    </row>
    <row r="6684" spans="1:22" x14ac:dyDescent="0.35">
      <c r="A6684" s="2">
        <v>43213</v>
      </c>
      <c r="B6684" s="40" t="s">
        <v>38</v>
      </c>
      <c r="C6684" s="10">
        <v>71</v>
      </c>
      <c r="D6684" s="10">
        <v>322</v>
      </c>
      <c r="E6684" s="10" t="s">
        <v>32</v>
      </c>
      <c r="F6684" t="s">
        <v>293</v>
      </c>
      <c r="G6684" t="s">
        <v>475</v>
      </c>
    </row>
    <row r="6685" spans="1:22" x14ac:dyDescent="0.35">
      <c r="A6685" s="2">
        <v>43213</v>
      </c>
      <c r="B6685" s="40" t="s">
        <v>38</v>
      </c>
      <c r="C6685" s="10">
        <v>65</v>
      </c>
      <c r="D6685" s="10">
        <v>202</v>
      </c>
      <c r="E6685" s="10" t="s">
        <v>32</v>
      </c>
      <c r="F6685" t="s">
        <v>198</v>
      </c>
    </row>
    <row r="6686" spans="1:22" x14ac:dyDescent="0.35">
      <c r="A6686" s="2">
        <v>43213</v>
      </c>
      <c r="B6686" s="40" t="s">
        <v>38</v>
      </c>
      <c r="C6686" s="10">
        <v>73</v>
      </c>
      <c r="D6686" s="10">
        <v>291</v>
      </c>
      <c r="E6686" s="10" t="s">
        <v>32</v>
      </c>
      <c r="F6686" t="s">
        <v>646</v>
      </c>
    </row>
    <row r="6687" spans="1:22" x14ac:dyDescent="0.35">
      <c r="A6687" s="2">
        <v>43213</v>
      </c>
      <c r="B6687" s="40" t="s">
        <v>38</v>
      </c>
      <c r="C6687" s="10">
        <v>68</v>
      </c>
      <c r="D6687" s="10">
        <v>252</v>
      </c>
      <c r="E6687" s="10" t="s">
        <v>32</v>
      </c>
      <c r="F6687" t="s">
        <v>293</v>
      </c>
    </row>
    <row r="6688" spans="1:22" x14ac:dyDescent="0.35">
      <c r="A6688" s="2">
        <v>43213</v>
      </c>
      <c r="B6688" s="40" t="s">
        <v>38</v>
      </c>
      <c r="C6688" s="10">
        <v>64</v>
      </c>
      <c r="D6688" s="10">
        <v>233</v>
      </c>
      <c r="E6688" s="10" t="s">
        <v>32</v>
      </c>
      <c r="F6688" t="s">
        <v>293</v>
      </c>
      <c r="N6688" t="s">
        <v>42</v>
      </c>
      <c r="O6688" t="s">
        <v>39</v>
      </c>
      <c r="P6688" t="s">
        <v>40</v>
      </c>
      <c r="Q6688" t="s">
        <v>36</v>
      </c>
      <c r="R6688" t="s">
        <v>33</v>
      </c>
      <c r="S6688" t="s">
        <v>34</v>
      </c>
      <c r="T6688" t="s">
        <v>32</v>
      </c>
      <c r="U6688" t="s">
        <v>37</v>
      </c>
      <c r="V6688" t="s">
        <v>159</v>
      </c>
    </row>
    <row r="6689" spans="1:24" x14ac:dyDescent="0.35">
      <c r="A6689" s="2">
        <v>43213</v>
      </c>
      <c r="B6689" s="40" t="s">
        <v>38</v>
      </c>
      <c r="C6689" s="10">
        <v>67</v>
      </c>
      <c r="D6689" s="10">
        <v>297</v>
      </c>
      <c r="E6689" s="10" t="s">
        <v>34</v>
      </c>
      <c r="F6689" t="s">
        <v>293</v>
      </c>
      <c r="N6689">
        <f>N6694+N6637</f>
        <v>0</v>
      </c>
      <c r="O6689">
        <f t="shared" ref="O6689:V6689" si="227">O6694+O6637</f>
        <v>1</v>
      </c>
      <c r="P6689">
        <f t="shared" si="227"/>
        <v>0</v>
      </c>
      <c r="Q6689">
        <f t="shared" si="227"/>
        <v>0</v>
      </c>
      <c r="R6689">
        <f t="shared" si="227"/>
        <v>6</v>
      </c>
      <c r="S6689">
        <f t="shared" si="227"/>
        <v>30</v>
      </c>
      <c r="T6689">
        <f t="shared" si="227"/>
        <v>63</v>
      </c>
      <c r="U6689">
        <f t="shared" si="227"/>
        <v>0</v>
      </c>
      <c r="V6689">
        <f t="shared" si="227"/>
        <v>0</v>
      </c>
      <c r="W6689">
        <f>AVERAGE(C6646:C6695,C6589:C6638)</f>
        <v>69.31</v>
      </c>
      <c r="X6689">
        <f>AVERAGE(D6646:D6695,D6589:D6638)</f>
        <v>257.14999999999998</v>
      </c>
    </row>
    <row r="6690" spans="1:24" x14ac:dyDescent="0.35">
      <c r="A6690" s="2">
        <v>43213</v>
      </c>
      <c r="B6690" s="40" t="s">
        <v>38</v>
      </c>
      <c r="C6690" s="10">
        <v>70</v>
      </c>
      <c r="D6690" s="10">
        <v>276</v>
      </c>
      <c r="E6690" s="10" t="s">
        <v>32</v>
      </c>
      <c r="F6690" t="s">
        <v>476</v>
      </c>
    </row>
    <row r="6691" spans="1:24" x14ac:dyDescent="0.35">
      <c r="A6691" s="2">
        <v>43213</v>
      </c>
      <c r="B6691" s="40" t="s">
        <v>38</v>
      </c>
      <c r="C6691" s="10">
        <v>71</v>
      </c>
      <c r="D6691" s="10">
        <v>347</v>
      </c>
      <c r="E6691" s="10" t="s">
        <v>32</v>
      </c>
      <c r="F6691" t="s">
        <v>293</v>
      </c>
      <c r="G6691" t="s">
        <v>475</v>
      </c>
    </row>
    <row r="6692" spans="1:24" x14ac:dyDescent="0.35">
      <c r="A6692" s="2">
        <v>43213</v>
      </c>
      <c r="B6692" s="40" t="s">
        <v>38</v>
      </c>
      <c r="C6692" s="10">
        <v>68</v>
      </c>
      <c r="D6692" s="10">
        <v>216</v>
      </c>
      <c r="E6692" s="10" t="s">
        <v>32</v>
      </c>
      <c r="F6692" t="s">
        <v>646</v>
      </c>
    </row>
    <row r="6693" spans="1:24" x14ac:dyDescent="0.35">
      <c r="A6693" s="2">
        <v>43213</v>
      </c>
      <c r="B6693" s="40" t="s">
        <v>38</v>
      </c>
      <c r="C6693" s="10">
        <v>61</v>
      </c>
      <c r="D6693" s="10">
        <v>190</v>
      </c>
      <c r="E6693" s="10" t="s">
        <v>34</v>
      </c>
      <c r="F6693" t="s">
        <v>476</v>
      </c>
      <c r="N6693" t="s">
        <v>42</v>
      </c>
      <c r="O6693" t="s">
        <v>39</v>
      </c>
      <c r="P6693" t="s">
        <v>40</v>
      </c>
      <c r="Q6693" t="s">
        <v>36</v>
      </c>
      <c r="R6693" t="s">
        <v>33</v>
      </c>
      <c r="S6693" t="s">
        <v>34</v>
      </c>
      <c r="T6693" t="s">
        <v>32</v>
      </c>
      <c r="U6693" t="s">
        <v>37</v>
      </c>
      <c r="V6693" t="s">
        <v>159</v>
      </c>
    </row>
    <row r="6694" spans="1:24" x14ac:dyDescent="0.35">
      <c r="A6694" s="2">
        <v>43213</v>
      </c>
      <c r="B6694" s="40" t="s">
        <v>38</v>
      </c>
      <c r="C6694" s="10">
        <v>73</v>
      </c>
      <c r="D6694" s="10">
        <v>308</v>
      </c>
      <c r="E6694" s="10" t="s">
        <v>32</v>
      </c>
      <c r="F6694" t="s">
        <v>293</v>
      </c>
      <c r="G6694" t="s">
        <v>475</v>
      </c>
      <c r="N6694" s="5">
        <f>COUNTIF(E6645:E6695,"VA")</f>
        <v>0</v>
      </c>
      <c r="O6694" s="5">
        <f>COUNTIF(E6646:E6695,"VB")</f>
        <v>0</v>
      </c>
      <c r="P6694" s="5">
        <f>COUNTIF(E6646:E6695,"VIA0")</f>
        <v>0</v>
      </c>
      <c r="Q6694" s="5">
        <f>COUNTIF(E6646:E6695,"VIA1")</f>
        <v>0</v>
      </c>
      <c r="R6694" s="5">
        <f>COUNTIF(E6645:E6695,"VIA2")</f>
        <v>4</v>
      </c>
      <c r="S6694" s="5">
        <f>COUNTIF(E6646:E6695,"VIA3")</f>
        <v>12</v>
      </c>
      <c r="T6694" s="5">
        <f>COUNTIF(E6646:E6695,"VIA4")</f>
        <v>34</v>
      </c>
      <c r="U6694" s="5">
        <f>COUNTIF(E6646:E6695,"VIB")</f>
        <v>0</v>
      </c>
      <c r="V6694" s="5">
        <f>COUNTIF(E6645:E6695,"VII")</f>
        <v>0</v>
      </c>
      <c r="W6694">
        <f>AVERAGE(C6646:C6695)</f>
        <v>68.28</v>
      </c>
      <c r="X6694">
        <f>AVERAGE(D6646:D6695)</f>
        <v>246.88</v>
      </c>
    </row>
    <row r="6695" spans="1:24" s="4" customFormat="1" x14ac:dyDescent="0.35">
      <c r="A6695" s="3">
        <v>43213</v>
      </c>
      <c r="B6695" s="44" t="s">
        <v>38</v>
      </c>
      <c r="C6695" s="11">
        <v>74</v>
      </c>
      <c r="D6695" s="11">
        <v>365</v>
      </c>
      <c r="E6695" s="11" t="s">
        <v>33</v>
      </c>
      <c r="F6695" s="4" t="s">
        <v>293</v>
      </c>
      <c r="N6695" s="6">
        <f>N6694/50*100</f>
        <v>0</v>
      </c>
      <c r="O6695" s="6">
        <f t="shared" ref="O6695" si="228">O6694/50*100</f>
        <v>0</v>
      </c>
      <c r="P6695" s="6">
        <f t="shared" ref="P6695" si="229">P6694/50*100</f>
        <v>0</v>
      </c>
      <c r="Q6695" s="6">
        <f t="shared" ref="Q6695" si="230">Q6694/50*100</f>
        <v>0</v>
      </c>
      <c r="R6695" s="6">
        <f t="shared" ref="R6695" si="231">R6694/50*100</f>
        <v>8</v>
      </c>
      <c r="S6695" s="6">
        <f t="shared" ref="S6695" si="232">S6694/50*100</f>
        <v>24</v>
      </c>
      <c r="T6695" s="6">
        <f t="shared" ref="T6695" si="233">T6694/50*100</f>
        <v>68</v>
      </c>
      <c r="U6695" s="6">
        <f t="shared" ref="U6695" si="234">U6694/50*100</f>
        <v>0</v>
      </c>
      <c r="V6695" s="6">
        <f t="shared" ref="V6695" si="235">V6694/50*100</f>
        <v>0</v>
      </c>
    </row>
    <row r="6696" spans="1:24" x14ac:dyDescent="0.35">
      <c r="A6696" s="2">
        <v>43213</v>
      </c>
      <c r="B6696" s="40" t="s">
        <v>113</v>
      </c>
      <c r="C6696" s="10">
        <v>67</v>
      </c>
      <c r="D6696" s="10">
        <v>168</v>
      </c>
      <c r="E6696" s="10" t="s">
        <v>32</v>
      </c>
      <c r="F6696" s="10" t="s">
        <v>360</v>
      </c>
      <c r="G6696" t="s">
        <v>475</v>
      </c>
      <c r="L6696">
        <f>COUNTIF(F6696:F6867,"F++")</f>
        <v>1</v>
      </c>
    </row>
    <row r="6697" spans="1:24" x14ac:dyDescent="0.35">
      <c r="A6697" s="2">
        <v>43213</v>
      </c>
      <c r="B6697" s="40" t="s">
        <v>113</v>
      </c>
      <c r="C6697" s="10">
        <v>68</v>
      </c>
      <c r="D6697" s="10">
        <v>299</v>
      </c>
      <c r="E6697" s="10" t="s">
        <v>34</v>
      </c>
      <c r="F6697" s="10" t="s">
        <v>293</v>
      </c>
    </row>
    <row r="6698" spans="1:24" x14ac:dyDescent="0.35">
      <c r="A6698" s="2">
        <v>43213</v>
      </c>
      <c r="B6698" s="40" t="s">
        <v>113</v>
      </c>
      <c r="C6698" s="10">
        <v>76</v>
      </c>
      <c r="D6698" s="10">
        <v>368</v>
      </c>
      <c r="E6698" s="10" t="s">
        <v>34</v>
      </c>
      <c r="F6698" s="10" t="s">
        <v>293</v>
      </c>
    </row>
    <row r="6699" spans="1:24" x14ac:dyDescent="0.35">
      <c r="A6699" s="2">
        <v>43213</v>
      </c>
      <c r="B6699" s="40" t="s">
        <v>113</v>
      </c>
      <c r="C6699" s="10">
        <v>73</v>
      </c>
      <c r="D6699" s="10">
        <v>352</v>
      </c>
      <c r="E6699" s="10" t="s">
        <v>40</v>
      </c>
      <c r="F6699" s="10" t="s">
        <v>476</v>
      </c>
    </row>
    <row r="6700" spans="1:24" x14ac:dyDescent="0.35">
      <c r="A6700" s="2">
        <v>43213</v>
      </c>
      <c r="B6700" s="40" t="s">
        <v>113</v>
      </c>
      <c r="C6700" s="10">
        <v>71</v>
      </c>
      <c r="D6700" s="10">
        <v>283</v>
      </c>
      <c r="E6700" s="10" t="s">
        <v>34</v>
      </c>
      <c r="F6700" s="10" t="s">
        <v>646</v>
      </c>
    </row>
    <row r="6701" spans="1:24" x14ac:dyDescent="0.35">
      <c r="A6701" s="2">
        <v>43213</v>
      </c>
      <c r="B6701" s="40" t="s">
        <v>113</v>
      </c>
      <c r="C6701" s="10">
        <v>72</v>
      </c>
      <c r="D6701" s="10">
        <v>317</v>
      </c>
      <c r="E6701" s="10" t="s">
        <v>34</v>
      </c>
      <c r="F6701" s="10" t="s">
        <v>646</v>
      </c>
    </row>
    <row r="6702" spans="1:24" x14ac:dyDescent="0.35">
      <c r="A6702" s="2">
        <v>43213</v>
      </c>
      <c r="B6702" s="40" t="s">
        <v>113</v>
      </c>
      <c r="C6702" s="10">
        <v>72</v>
      </c>
      <c r="D6702" s="10">
        <v>267</v>
      </c>
      <c r="E6702" s="10" t="s">
        <v>32</v>
      </c>
      <c r="F6702" s="10" t="s">
        <v>293</v>
      </c>
    </row>
    <row r="6703" spans="1:24" x14ac:dyDescent="0.35">
      <c r="A6703" s="2">
        <v>43213</v>
      </c>
      <c r="B6703" s="40" t="s">
        <v>113</v>
      </c>
      <c r="C6703" s="10">
        <v>74</v>
      </c>
      <c r="D6703" s="10">
        <v>306</v>
      </c>
      <c r="E6703" s="10" t="s">
        <v>34</v>
      </c>
      <c r="F6703" s="10" t="s">
        <v>646</v>
      </c>
    </row>
    <row r="6704" spans="1:24" x14ac:dyDescent="0.35">
      <c r="A6704" s="2">
        <v>43213</v>
      </c>
      <c r="B6704" s="40" t="s">
        <v>113</v>
      </c>
      <c r="C6704" s="10">
        <v>69</v>
      </c>
      <c r="D6704" s="10">
        <v>295</v>
      </c>
      <c r="E6704" s="10" t="s">
        <v>32</v>
      </c>
      <c r="F6704" s="10" t="s">
        <v>293</v>
      </c>
    </row>
    <row r="6705" spans="1:7" x14ac:dyDescent="0.35">
      <c r="A6705" s="2">
        <v>43213</v>
      </c>
      <c r="B6705" s="40" t="s">
        <v>113</v>
      </c>
      <c r="C6705" s="10">
        <v>65</v>
      </c>
      <c r="D6705" s="10">
        <v>209</v>
      </c>
      <c r="E6705" s="10" t="s">
        <v>32</v>
      </c>
      <c r="F6705" s="10" t="s">
        <v>293</v>
      </c>
    </row>
    <row r="6706" spans="1:7" x14ac:dyDescent="0.35">
      <c r="A6706" s="2">
        <v>43213</v>
      </c>
      <c r="B6706" s="40" t="s">
        <v>113</v>
      </c>
      <c r="C6706" s="10">
        <v>77</v>
      </c>
      <c r="D6706" s="10">
        <v>320</v>
      </c>
      <c r="E6706" s="10" t="s">
        <v>33</v>
      </c>
      <c r="F6706" s="10" t="s">
        <v>198</v>
      </c>
    </row>
    <row r="6707" spans="1:7" x14ac:dyDescent="0.35">
      <c r="A6707" s="2">
        <v>43213</v>
      </c>
      <c r="B6707" s="40" t="s">
        <v>113</v>
      </c>
      <c r="C6707" s="10">
        <v>69</v>
      </c>
      <c r="D6707" s="10">
        <v>175</v>
      </c>
      <c r="E6707" s="10" t="s">
        <v>34</v>
      </c>
      <c r="F6707" s="10" t="s">
        <v>293</v>
      </c>
    </row>
    <row r="6708" spans="1:7" x14ac:dyDescent="0.35">
      <c r="A6708" s="2">
        <v>43213</v>
      </c>
      <c r="B6708" s="40" t="s">
        <v>113</v>
      </c>
      <c r="C6708" s="10">
        <v>78</v>
      </c>
      <c r="D6708" s="10">
        <v>344</v>
      </c>
      <c r="E6708" s="10" t="s">
        <v>34</v>
      </c>
      <c r="F6708" s="10" t="s">
        <v>646</v>
      </c>
    </row>
    <row r="6709" spans="1:7" s="4" customFormat="1" x14ac:dyDescent="0.35">
      <c r="A6709" s="3">
        <v>43213</v>
      </c>
      <c r="B6709" s="44" t="s">
        <v>113</v>
      </c>
      <c r="C6709" s="11">
        <v>71</v>
      </c>
      <c r="D6709" s="11">
        <v>241</v>
      </c>
      <c r="E6709" s="11" t="s">
        <v>32</v>
      </c>
      <c r="F6709" s="11" t="s">
        <v>293</v>
      </c>
    </row>
    <row r="6710" spans="1:7" x14ac:dyDescent="0.35">
      <c r="A6710" s="2">
        <v>43213</v>
      </c>
      <c r="B6710" s="40" t="s">
        <v>102</v>
      </c>
      <c r="C6710" s="10">
        <v>70</v>
      </c>
      <c r="D6710" s="10">
        <v>251</v>
      </c>
      <c r="E6710" s="10" t="s">
        <v>40</v>
      </c>
      <c r="F6710" s="10" t="s">
        <v>293</v>
      </c>
    </row>
    <row r="6711" spans="1:7" x14ac:dyDescent="0.35">
      <c r="A6711" s="2">
        <v>43213</v>
      </c>
      <c r="B6711" s="40" t="s">
        <v>102</v>
      </c>
      <c r="C6711" s="10">
        <v>74</v>
      </c>
      <c r="D6711" s="10">
        <v>352</v>
      </c>
      <c r="E6711" s="10" t="s">
        <v>34</v>
      </c>
      <c r="F6711" s="10" t="s">
        <v>646</v>
      </c>
    </row>
    <row r="6712" spans="1:7" x14ac:dyDescent="0.35">
      <c r="A6712" s="2">
        <v>43213</v>
      </c>
      <c r="B6712" s="40" t="s">
        <v>102</v>
      </c>
      <c r="C6712" s="10">
        <v>77</v>
      </c>
      <c r="D6712" s="10">
        <v>352</v>
      </c>
      <c r="E6712" s="10" t="s">
        <v>32</v>
      </c>
      <c r="F6712" s="10" t="s">
        <v>360</v>
      </c>
    </row>
    <row r="6713" spans="1:7" x14ac:dyDescent="0.35">
      <c r="A6713" s="2">
        <v>43213</v>
      </c>
      <c r="B6713" s="40" t="s">
        <v>102</v>
      </c>
      <c r="C6713" s="10">
        <v>75</v>
      </c>
      <c r="D6713" s="10">
        <v>377</v>
      </c>
      <c r="E6713" s="10" t="s">
        <v>32</v>
      </c>
      <c r="F6713" s="10" t="s">
        <v>293</v>
      </c>
    </row>
    <row r="6714" spans="1:7" x14ac:dyDescent="0.35">
      <c r="A6714" s="2">
        <v>43213</v>
      </c>
      <c r="B6714" s="40" t="s">
        <v>102</v>
      </c>
      <c r="C6714" s="10">
        <v>74</v>
      </c>
      <c r="D6714" s="10">
        <v>308</v>
      </c>
      <c r="E6714" s="10" t="s">
        <v>33</v>
      </c>
      <c r="F6714" s="10" t="s">
        <v>198</v>
      </c>
    </row>
    <row r="6715" spans="1:7" x14ac:dyDescent="0.35">
      <c r="A6715" s="2">
        <v>43213</v>
      </c>
      <c r="B6715" s="40" t="s">
        <v>102</v>
      </c>
      <c r="C6715" s="10">
        <v>66</v>
      </c>
      <c r="D6715" s="10">
        <v>239</v>
      </c>
      <c r="E6715" s="10" t="s">
        <v>32</v>
      </c>
      <c r="F6715" s="10" t="s">
        <v>293</v>
      </c>
    </row>
    <row r="6716" spans="1:7" x14ac:dyDescent="0.35">
      <c r="A6716" s="2">
        <v>43213</v>
      </c>
      <c r="B6716" s="40" t="s">
        <v>102</v>
      </c>
      <c r="C6716" s="10">
        <v>67</v>
      </c>
      <c r="D6716" s="10">
        <v>248</v>
      </c>
      <c r="E6716" s="10" t="s">
        <v>34</v>
      </c>
      <c r="F6716" s="10" t="s">
        <v>646</v>
      </c>
    </row>
    <row r="6717" spans="1:7" x14ac:dyDescent="0.35">
      <c r="A6717" s="2">
        <v>43213</v>
      </c>
      <c r="B6717" s="40" t="s">
        <v>102</v>
      </c>
      <c r="C6717" s="10">
        <v>69</v>
      </c>
      <c r="D6717" s="10">
        <v>216</v>
      </c>
      <c r="E6717" s="10" t="s">
        <v>32</v>
      </c>
      <c r="F6717" s="10" t="s">
        <v>198</v>
      </c>
    </row>
    <row r="6718" spans="1:7" x14ac:dyDescent="0.35">
      <c r="A6718" s="2">
        <v>43213</v>
      </c>
      <c r="B6718" s="40" t="s">
        <v>102</v>
      </c>
      <c r="C6718" s="10">
        <v>66</v>
      </c>
      <c r="D6718" s="10">
        <v>225</v>
      </c>
      <c r="E6718" s="10" t="s">
        <v>32</v>
      </c>
      <c r="F6718" s="10" t="s">
        <v>198</v>
      </c>
      <c r="G6718" t="s">
        <v>475</v>
      </c>
    </row>
    <row r="6719" spans="1:7" x14ac:dyDescent="0.35">
      <c r="A6719" s="2">
        <v>43213</v>
      </c>
      <c r="B6719" s="40" t="s">
        <v>102</v>
      </c>
      <c r="C6719" s="10">
        <v>66</v>
      </c>
      <c r="D6719" s="10">
        <v>203</v>
      </c>
      <c r="E6719" s="10" t="s">
        <v>32</v>
      </c>
      <c r="F6719" s="10" t="s">
        <v>293</v>
      </c>
    </row>
    <row r="6720" spans="1:7" x14ac:dyDescent="0.35">
      <c r="A6720" s="2">
        <v>43213</v>
      </c>
      <c r="B6720" s="40" t="s">
        <v>102</v>
      </c>
      <c r="C6720" s="10">
        <v>67</v>
      </c>
      <c r="D6720" s="10">
        <v>204</v>
      </c>
      <c r="E6720" s="10" t="s">
        <v>32</v>
      </c>
      <c r="F6720" s="10" t="s">
        <v>198</v>
      </c>
      <c r="G6720" t="s">
        <v>702</v>
      </c>
    </row>
    <row r="6721" spans="1:7" s="4" customFormat="1" x14ac:dyDescent="0.35">
      <c r="A6721" s="3">
        <v>43213</v>
      </c>
      <c r="B6721" s="44" t="s">
        <v>102</v>
      </c>
      <c r="C6721" s="11">
        <v>61</v>
      </c>
      <c r="D6721" s="11">
        <v>193</v>
      </c>
      <c r="E6721" s="11" t="s">
        <v>32</v>
      </c>
      <c r="F6721" s="11" t="s">
        <v>293</v>
      </c>
    </row>
    <row r="6722" spans="1:7" x14ac:dyDescent="0.35">
      <c r="A6722" s="2">
        <v>43213</v>
      </c>
      <c r="B6722" s="40" t="s">
        <v>103</v>
      </c>
      <c r="C6722" s="10">
        <v>72</v>
      </c>
      <c r="D6722" s="10">
        <v>313</v>
      </c>
      <c r="E6722" s="10" t="s">
        <v>32</v>
      </c>
      <c r="F6722" s="10" t="s">
        <v>198</v>
      </c>
    </row>
    <row r="6723" spans="1:7" x14ac:dyDescent="0.35">
      <c r="A6723" s="2">
        <v>43213</v>
      </c>
      <c r="B6723" s="40" t="s">
        <v>103</v>
      </c>
      <c r="C6723" s="10">
        <v>70</v>
      </c>
      <c r="D6723" s="10">
        <v>304</v>
      </c>
      <c r="E6723" s="10" t="s">
        <v>32</v>
      </c>
      <c r="F6723" s="10" t="s">
        <v>360</v>
      </c>
      <c r="G6723" t="s">
        <v>475</v>
      </c>
    </row>
    <row r="6724" spans="1:7" x14ac:dyDescent="0.35">
      <c r="A6724" s="2">
        <v>43213</v>
      </c>
      <c r="B6724" s="40" t="s">
        <v>103</v>
      </c>
      <c r="C6724" s="10">
        <v>71</v>
      </c>
      <c r="D6724" s="10">
        <v>304</v>
      </c>
      <c r="E6724" s="10" t="s">
        <v>33</v>
      </c>
      <c r="F6724" s="10" t="s">
        <v>646</v>
      </c>
    </row>
    <row r="6725" spans="1:7" x14ac:dyDescent="0.35">
      <c r="A6725" s="2">
        <v>43213</v>
      </c>
      <c r="B6725" s="40" t="s">
        <v>103</v>
      </c>
      <c r="C6725" s="10">
        <v>59</v>
      </c>
      <c r="D6725" s="10">
        <v>157</v>
      </c>
      <c r="E6725" s="10" t="s">
        <v>32</v>
      </c>
      <c r="F6725" s="10" t="s">
        <v>198</v>
      </c>
    </row>
    <row r="6726" spans="1:7" x14ac:dyDescent="0.35">
      <c r="A6726" s="2">
        <v>43213</v>
      </c>
      <c r="B6726" s="40" t="s">
        <v>103</v>
      </c>
      <c r="C6726" s="10">
        <v>77</v>
      </c>
      <c r="D6726" s="10">
        <v>367</v>
      </c>
      <c r="E6726" s="10" t="s">
        <v>32</v>
      </c>
      <c r="F6726" s="10" t="s">
        <v>293</v>
      </c>
    </row>
    <row r="6727" spans="1:7" s="4" customFormat="1" x14ac:dyDescent="0.35">
      <c r="A6727" s="3">
        <v>43213</v>
      </c>
      <c r="B6727" s="44" t="s">
        <v>103</v>
      </c>
      <c r="C6727" s="11">
        <v>62</v>
      </c>
      <c r="D6727" s="11">
        <v>215</v>
      </c>
      <c r="E6727" s="4" t="s">
        <v>32</v>
      </c>
      <c r="F6727" s="4" t="s">
        <v>646</v>
      </c>
    </row>
    <row r="6728" spans="1:7" x14ac:dyDescent="0.35">
      <c r="A6728" s="2">
        <v>43213</v>
      </c>
      <c r="B6728" s="40" t="s">
        <v>104</v>
      </c>
      <c r="C6728" s="10">
        <v>97</v>
      </c>
      <c r="D6728" s="10">
        <v>1295</v>
      </c>
      <c r="E6728" s="10" t="s">
        <v>59</v>
      </c>
    </row>
    <row r="6729" spans="1:7" x14ac:dyDescent="0.35">
      <c r="A6729" s="2">
        <v>43213</v>
      </c>
      <c r="B6729" s="40" t="s">
        <v>104</v>
      </c>
      <c r="C6729" s="10">
        <v>95</v>
      </c>
      <c r="D6729" s="10">
        <v>1024</v>
      </c>
      <c r="E6729" s="10" t="s">
        <v>59</v>
      </c>
    </row>
    <row r="6730" spans="1:7" x14ac:dyDescent="0.35">
      <c r="A6730" s="2">
        <v>43213</v>
      </c>
      <c r="B6730" s="40" t="s">
        <v>104</v>
      </c>
      <c r="C6730" s="10">
        <v>70</v>
      </c>
      <c r="D6730" s="10">
        <v>285</v>
      </c>
      <c r="E6730" s="10" t="s">
        <v>36</v>
      </c>
      <c r="F6730" t="s">
        <v>293</v>
      </c>
    </row>
    <row r="6731" spans="1:7" x14ac:dyDescent="0.35">
      <c r="A6731" s="2">
        <v>43213</v>
      </c>
      <c r="B6731" s="40" t="s">
        <v>104</v>
      </c>
      <c r="C6731" s="10">
        <v>79</v>
      </c>
      <c r="D6731" s="10">
        <v>250</v>
      </c>
      <c r="E6731" s="10" t="s">
        <v>32</v>
      </c>
      <c r="F6731" t="s">
        <v>293</v>
      </c>
    </row>
    <row r="6732" spans="1:7" x14ac:dyDescent="0.35">
      <c r="A6732" s="2">
        <v>43213</v>
      </c>
      <c r="B6732" s="40" t="s">
        <v>104</v>
      </c>
      <c r="C6732" s="10">
        <v>66</v>
      </c>
      <c r="D6732" s="10">
        <v>266</v>
      </c>
      <c r="E6732" s="10" t="s">
        <v>34</v>
      </c>
      <c r="F6732" t="s">
        <v>198</v>
      </c>
      <c r="G6732" t="s">
        <v>475</v>
      </c>
    </row>
    <row r="6733" spans="1:7" x14ac:dyDescent="0.35">
      <c r="A6733" s="2">
        <v>43213</v>
      </c>
      <c r="B6733" s="40" t="s">
        <v>104</v>
      </c>
      <c r="C6733" s="10">
        <v>74</v>
      </c>
      <c r="D6733" s="10">
        <v>342</v>
      </c>
      <c r="E6733" s="10" t="s">
        <v>32</v>
      </c>
      <c r="F6733" t="s">
        <v>293</v>
      </c>
    </row>
    <row r="6734" spans="1:7" x14ac:dyDescent="0.35">
      <c r="A6734" s="2">
        <v>43213</v>
      </c>
      <c r="B6734" s="40" t="s">
        <v>104</v>
      </c>
      <c r="C6734" s="10">
        <v>68</v>
      </c>
      <c r="D6734" s="10">
        <v>278</v>
      </c>
      <c r="E6734" s="10" t="s">
        <v>34</v>
      </c>
      <c r="F6734" t="s">
        <v>293</v>
      </c>
    </row>
    <row r="6735" spans="1:7" x14ac:dyDescent="0.35">
      <c r="A6735" s="2">
        <v>43213</v>
      </c>
      <c r="B6735" s="40" t="s">
        <v>104</v>
      </c>
      <c r="C6735" s="10">
        <v>67</v>
      </c>
      <c r="D6735" s="10">
        <v>251</v>
      </c>
      <c r="E6735" s="10" t="s">
        <v>32</v>
      </c>
      <c r="F6735" t="s">
        <v>360</v>
      </c>
    </row>
    <row r="6736" spans="1:7" x14ac:dyDescent="0.35">
      <c r="A6736" s="2">
        <v>43213</v>
      </c>
      <c r="B6736" s="40" t="s">
        <v>104</v>
      </c>
      <c r="C6736" s="10">
        <v>71</v>
      </c>
      <c r="D6736" s="10">
        <v>307</v>
      </c>
      <c r="E6736" s="10" t="s">
        <v>32</v>
      </c>
      <c r="F6736" t="s">
        <v>293</v>
      </c>
    </row>
    <row r="6737" spans="1:7" x14ac:dyDescent="0.35">
      <c r="A6737" s="2">
        <v>43213</v>
      </c>
      <c r="B6737" s="40" t="s">
        <v>104</v>
      </c>
      <c r="C6737" s="10">
        <v>67</v>
      </c>
      <c r="D6737" s="10">
        <v>284</v>
      </c>
      <c r="E6737" s="10" t="s">
        <v>32</v>
      </c>
      <c r="F6737" t="s">
        <v>783</v>
      </c>
    </row>
    <row r="6738" spans="1:7" x14ac:dyDescent="0.35">
      <c r="A6738" s="2">
        <v>43213</v>
      </c>
      <c r="B6738" s="40" t="s">
        <v>104</v>
      </c>
      <c r="C6738" s="10">
        <v>67</v>
      </c>
      <c r="D6738" s="10">
        <v>237</v>
      </c>
      <c r="E6738" s="10" t="s">
        <v>36</v>
      </c>
      <c r="F6738" t="s">
        <v>646</v>
      </c>
    </row>
    <row r="6739" spans="1:7" x14ac:dyDescent="0.35">
      <c r="A6739" s="2">
        <v>43213</v>
      </c>
      <c r="B6739" s="40" t="s">
        <v>104</v>
      </c>
      <c r="C6739" s="10">
        <v>65</v>
      </c>
      <c r="D6739" s="10">
        <v>261</v>
      </c>
      <c r="E6739" s="10" t="s">
        <v>32</v>
      </c>
      <c r="F6739" t="s">
        <v>360</v>
      </c>
    </row>
    <row r="6740" spans="1:7" x14ac:dyDescent="0.35">
      <c r="A6740" s="2">
        <v>43213</v>
      </c>
      <c r="B6740" s="40" t="s">
        <v>104</v>
      </c>
      <c r="C6740" s="10">
        <v>70</v>
      </c>
      <c r="D6740" s="10">
        <v>348</v>
      </c>
      <c r="E6740" s="10" t="s">
        <v>32</v>
      </c>
      <c r="F6740" t="s">
        <v>198</v>
      </c>
      <c r="G6740" t="s">
        <v>717</v>
      </c>
    </row>
    <row r="6741" spans="1:7" x14ac:dyDescent="0.35">
      <c r="A6741" s="2">
        <v>43213</v>
      </c>
      <c r="B6741" s="40" t="s">
        <v>104</v>
      </c>
      <c r="C6741" s="10">
        <v>75</v>
      </c>
      <c r="D6741" s="10">
        <v>398</v>
      </c>
      <c r="E6741" s="10" t="s">
        <v>32</v>
      </c>
      <c r="F6741" t="s">
        <v>646</v>
      </c>
    </row>
    <row r="6742" spans="1:7" x14ac:dyDescent="0.35">
      <c r="A6742" s="2">
        <v>43213</v>
      </c>
      <c r="B6742" s="40" t="s">
        <v>104</v>
      </c>
      <c r="C6742" s="10">
        <v>69</v>
      </c>
      <c r="D6742" s="10">
        <v>275</v>
      </c>
      <c r="E6742" s="10" t="s">
        <v>32</v>
      </c>
      <c r="F6742" t="s">
        <v>293</v>
      </c>
    </row>
    <row r="6743" spans="1:7" x14ac:dyDescent="0.35">
      <c r="A6743" s="2">
        <v>43213</v>
      </c>
      <c r="B6743" s="40" t="s">
        <v>104</v>
      </c>
      <c r="C6743" s="10">
        <v>67</v>
      </c>
      <c r="D6743" s="10">
        <v>256</v>
      </c>
      <c r="E6743" s="10" t="s">
        <v>32</v>
      </c>
      <c r="F6743" t="s">
        <v>293</v>
      </c>
    </row>
    <row r="6744" spans="1:7" x14ac:dyDescent="0.35">
      <c r="A6744" s="2">
        <v>43213</v>
      </c>
      <c r="B6744" s="40" t="s">
        <v>104</v>
      </c>
      <c r="C6744" s="10">
        <v>73</v>
      </c>
      <c r="D6744" s="10">
        <v>365</v>
      </c>
      <c r="E6744" s="10" t="s">
        <v>32</v>
      </c>
      <c r="F6744" t="s">
        <v>293</v>
      </c>
    </row>
    <row r="6745" spans="1:7" x14ac:dyDescent="0.35">
      <c r="A6745" s="2">
        <v>43213</v>
      </c>
      <c r="B6745" s="40" t="s">
        <v>104</v>
      </c>
      <c r="C6745" s="10">
        <v>68</v>
      </c>
      <c r="D6745" s="10">
        <v>293</v>
      </c>
      <c r="E6745" s="10" t="s">
        <v>34</v>
      </c>
      <c r="F6745" t="s">
        <v>293</v>
      </c>
    </row>
    <row r="6746" spans="1:7" x14ac:dyDescent="0.35">
      <c r="A6746" s="2">
        <v>43213</v>
      </c>
      <c r="B6746" s="40" t="s">
        <v>104</v>
      </c>
      <c r="C6746" s="10">
        <v>74</v>
      </c>
      <c r="D6746" s="10">
        <v>301</v>
      </c>
      <c r="E6746" s="10" t="s">
        <v>34</v>
      </c>
      <c r="F6746" t="s">
        <v>198</v>
      </c>
    </row>
    <row r="6747" spans="1:7" x14ac:dyDescent="0.35">
      <c r="A6747" s="2">
        <v>43213</v>
      </c>
      <c r="B6747" s="40" t="s">
        <v>104</v>
      </c>
      <c r="C6747" s="10">
        <v>68</v>
      </c>
      <c r="D6747" s="10">
        <v>298</v>
      </c>
      <c r="E6747" s="10" t="s">
        <v>32</v>
      </c>
      <c r="F6747" t="s">
        <v>293</v>
      </c>
    </row>
    <row r="6748" spans="1:7" x14ac:dyDescent="0.35">
      <c r="A6748" s="2">
        <v>43213</v>
      </c>
      <c r="B6748" s="40" t="s">
        <v>104</v>
      </c>
      <c r="C6748" s="10">
        <v>69</v>
      </c>
      <c r="D6748" s="10">
        <v>281</v>
      </c>
      <c r="E6748" s="10" t="s">
        <v>32</v>
      </c>
      <c r="F6748" t="s">
        <v>360</v>
      </c>
    </row>
    <row r="6749" spans="1:7" x14ac:dyDescent="0.35">
      <c r="A6749" s="2">
        <v>43213</v>
      </c>
      <c r="B6749" s="40" t="s">
        <v>104</v>
      </c>
      <c r="C6749" s="10">
        <v>67</v>
      </c>
      <c r="D6749" s="10">
        <v>282</v>
      </c>
      <c r="E6749" s="10" t="s">
        <v>32</v>
      </c>
      <c r="F6749" t="s">
        <v>198</v>
      </c>
    </row>
    <row r="6750" spans="1:7" x14ac:dyDescent="0.35">
      <c r="A6750" s="2">
        <v>43213</v>
      </c>
      <c r="B6750" s="40" t="s">
        <v>104</v>
      </c>
      <c r="C6750" s="10">
        <v>66</v>
      </c>
      <c r="D6750" s="10">
        <v>270</v>
      </c>
      <c r="E6750" s="10" t="s">
        <v>34</v>
      </c>
      <c r="F6750" t="s">
        <v>293</v>
      </c>
    </row>
    <row r="6751" spans="1:7" x14ac:dyDescent="0.35">
      <c r="A6751" s="2">
        <v>43213</v>
      </c>
      <c r="B6751" s="40" t="s">
        <v>104</v>
      </c>
      <c r="C6751" s="10">
        <v>77</v>
      </c>
      <c r="D6751" s="10">
        <v>350</v>
      </c>
      <c r="E6751" s="10" t="s">
        <v>34</v>
      </c>
      <c r="F6751" t="s">
        <v>293</v>
      </c>
    </row>
    <row r="6752" spans="1:7" x14ac:dyDescent="0.35">
      <c r="A6752" s="2">
        <v>43213</v>
      </c>
      <c r="B6752" s="40" t="s">
        <v>104</v>
      </c>
      <c r="C6752" s="10">
        <v>64</v>
      </c>
      <c r="D6752" s="10">
        <v>252</v>
      </c>
      <c r="E6752" s="10" t="s">
        <v>34</v>
      </c>
      <c r="F6752" t="s">
        <v>360</v>
      </c>
    </row>
    <row r="6753" spans="1:7" x14ac:dyDescent="0.35">
      <c r="A6753" s="2">
        <v>43213</v>
      </c>
      <c r="B6753" s="40" t="s">
        <v>104</v>
      </c>
      <c r="C6753" s="10">
        <v>63</v>
      </c>
      <c r="D6753" s="10">
        <v>215</v>
      </c>
      <c r="E6753" s="10" t="s">
        <v>34</v>
      </c>
      <c r="F6753" t="s">
        <v>360</v>
      </c>
    </row>
    <row r="6754" spans="1:7" s="4" customFormat="1" x14ac:dyDescent="0.35">
      <c r="A6754" s="3">
        <v>43213</v>
      </c>
      <c r="B6754" s="44" t="s">
        <v>104</v>
      </c>
      <c r="C6754" s="11">
        <v>75</v>
      </c>
      <c r="D6754" s="11">
        <v>312</v>
      </c>
      <c r="E6754" s="11" t="s">
        <v>32</v>
      </c>
      <c r="F6754" s="4" t="s">
        <v>360</v>
      </c>
    </row>
    <row r="6755" spans="1:7" x14ac:dyDescent="0.35">
      <c r="A6755" s="2">
        <v>43213</v>
      </c>
      <c r="B6755" s="40" t="s">
        <v>63</v>
      </c>
      <c r="C6755" s="10">
        <v>101</v>
      </c>
      <c r="D6755" s="10">
        <v>1336</v>
      </c>
      <c r="E6755" s="10" t="s">
        <v>59</v>
      </c>
    </row>
    <row r="6756" spans="1:7" x14ac:dyDescent="0.35">
      <c r="A6756" s="2">
        <v>43213</v>
      </c>
      <c r="B6756" s="40" t="s">
        <v>63</v>
      </c>
      <c r="C6756" s="10">
        <v>174</v>
      </c>
      <c r="D6756" s="10">
        <v>7545</v>
      </c>
      <c r="E6756" s="10" t="s">
        <v>59</v>
      </c>
    </row>
    <row r="6757" spans="1:7" x14ac:dyDescent="0.35">
      <c r="A6757" s="2">
        <v>43213</v>
      </c>
      <c r="B6757" s="40" t="s">
        <v>63</v>
      </c>
      <c r="C6757" s="10">
        <v>113</v>
      </c>
      <c r="D6757" s="10">
        <v>1059</v>
      </c>
      <c r="E6757" s="10" t="s">
        <v>59</v>
      </c>
    </row>
    <row r="6758" spans="1:7" x14ac:dyDescent="0.35">
      <c r="A6758" s="2">
        <v>43213</v>
      </c>
      <c r="B6758" s="40" t="s">
        <v>63</v>
      </c>
      <c r="C6758" s="10">
        <v>86</v>
      </c>
      <c r="D6758" s="10">
        <v>903</v>
      </c>
      <c r="E6758" s="10" t="s">
        <v>59</v>
      </c>
    </row>
    <row r="6759" spans="1:7" x14ac:dyDescent="0.35">
      <c r="A6759" s="2">
        <v>43213</v>
      </c>
      <c r="B6759" s="40" t="s">
        <v>63</v>
      </c>
      <c r="C6759" s="10">
        <v>66</v>
      </c>
      <c r="D6759" s="10">
        <v>247</v>
      </c>
      <c r="E6759" s="10" t="s">
        <v>33</v>
      </c>
      <c r="F6759" t="s">
        <v>293</v>
      </c>
    </row>
    <row r="6760" spans="1:7" x14ac:dyDescent="0.35">
      <c r="A6760" s="2">
        <v>43213</v>
      </c>
      <c r="B6760" s="40" t="s">
        <v>63</v>
      </c>
      <c r="C6760" s="10">
        <v>77</v>
      </c>
      <c r="D6760" s="10">
        <v>445</v>
      </c>
      <c r="E6760" s="10" t="s">
        <v>33</v>
      </c>
      <c r="F6760" t="s">
        <v>293</v>
      </c>
    </row>
    <row r="6761" spans="1:7" x14ac:dyDescent="0.35">
      <c r="A6761" s="2">
        <v>43213</v>
      </c>
      <c r="B6761" s="40" t="s">
        <v>63</v>
      </c>
      <c r="C6761" s="10">
        <v>68</v>
      </c>
      <c r="D6761" s="10">
        <v>232</v>
      </c>
      <c r="E6761" s="10" t="s">
        <v>33</v>
      </c>
      <c r="F6761" t="s">
        <v>646</v>
      </c>
    </row>
    <row r="6762" spans="1:7" x14ac:dyDescent="0.35">
      <c r="A6762" s="2">
        <v>43213</v>
      </c>
      <c r="B6762" s="40" t="s">
        <v>63</v>
      </c>
      <c r="C6762" s="10">
        <v>72</v>
      </c>
      <c r="D6762" s="10">
        <v>303</v>
      </c>
      <c r="E6762" s="10" t="s">
        <v>40</v>
      </c>
      <c r="F6762" t="s">
        <v>646</v>
      </c>
    </row>
    <row r="6763" spans="1:7" x14ac:dyDescent="0.35">
      <c r="A6763" s="2">
        <v>43213</v>
      </c>
      <c r="B6763" s="40" t="s">
        <v>63</v>
      </c>
      <c r="C6763" s="10">
        <v>70</v>
      </c>
      <c r="D6763" s="10">
        <v>273</v>
      </c>
      <c r="E6763" s="10" t="s">
        <v>34</v>
      </c>
      <c r="F6763" t="s">
        <v>646</v>
      </c>
    </row>
    <row r="6764" spans="1:7" x14ac:dyDescent="0.35">
      <c r="A6764" s="2">
        <v>43213</v>
      </c>
      <c r="B6764" s="40" t="s">
        <v>63</v>
      </c>
      <c r="C6764" s="10">
        <v>80</v>
      </c>
      <c r="D6764" s="10">
        <v>379</v>
      </c>
      <c r="E6764" s="10" t="s">
        <v>32</v>
      </c>
      <c r="F6764" t="s">
        <v>293</v>
      </c>
    </row>
    <row r="6765" spans="1:7" x14ac:dyDescent="0.35">
      <c r="A6765" s="2">
        <v>43213</v>
      </c>
      <c r="B6765" s="40" t="s">
        <v>63</v>
      </c>
      <c r="C6765" s="10">
        <v>67</v>
      </c>
      <c r="D6765" s="10">
        <v>216</v>
      </c>
      <c r="E6765" s="10" t="s">
        <v>32</v>
      </c>
      <c r="F6765" t="s">
        <v>293</v>
      </c>
    </row>
    <row r="6766" spans="1:7" x14ac:dyDescent="0.35">
      <c r="A6766" s="2">
        <v>43213</v>
      </c>
      <c r="B6766" s="40" t="s">
        <v>63</v>
      </c>
      <c r="C6766" s="10">
        <v>71</v>
      </c>
      <c r="D6766" s="10">
        <v>259</v>
      </c>
      <c r="E6766" s="10" t="s">
        <v>32</v>
      </c>
      <c r="F6766" t="s">
        <v>293</v>
      </c>
    </row>
    <row r="6767" spans="1:7" x14ac:dyDescent="0.35">
      <c r="A6767" s="2">
        <v>43213</v>
      </c>
      <c r="B6767" s="40" t="s">
        <v>63</v>
      </c>
      <c r="C6767" s="10">
        <v>69</v>
      </c>
      <c r="D6767" s="10">
        <v>278</v>
      </c>
      <c r="E6767" s="10" t="s">
        <v>34</v>
      </c>
      <c r="F6767" t="s">
        <v>646</v>
      </c>
    </row>
    <row r="6768" spans="1:7" x14ac:dyDescent="0.35">
      <c r="A6768" s="2">
        <v>43213</v>
      </c>
      <c r="B6768" s="40" t="s">
        <v>63</v>
      </c>
      <c r="C6768" s="10">
        <v>74</v>
      </c>
      <c r="D6768" s="10">
        <v>263</v>
      </c>
      <c r="E6768" s="10" t="s">
        <v>32</v>
      </c>
      <c r="F6768" t="s">
        <v>293</v>
      </c>
      <c r="G6768" t="s">
        <v>717</v>
      </c>
    </row>
    <row r="6769" spans="1:7" x14ac:dyDescent="0.35">
      <c r="A6769" s="2">
        <v>43213</v>
      </c>
      <c r="B6769" s="40" t="s">
        <v>63</v>
      </c>
      <c r="C6769" s="10">
        <v>68</v>
      </c>
      <c r="D6769" s="10">
        <v>241</v>
      </c>
      <c r="E6769" s="10" t="s">
        <v>33</v>
      </c>
      <c r="F6769" t="s">
        <v>293</v>
      </c>
    </row>
    <row r="6770" spans="1:7" x14ac:dyDescent="0.35">
      <c r="A6770" s="2">
        <v>43213</v>
      </c>
      <c r="B6770" s="40" t="s">
        <v>63</v>
      </c>
      <c r="C6770" s="10">
        <v>58</v>
      </c>
      <c r="D6770" s="10">
        <v>147</v>
      </c>
      <c r="E6770" s="10" t="s">
        <v>34</v>
      </c>
      <c r="F6770" t="s">
        <v>293</v>
      </c>
    </row>
    <row r="6771" spans="1:7" x14ac:dyDescent="0.35">
      <c r="A6771" s="2">
        <v>43213</v>
      </c>
      <c r="B6771" s="40" t="s">
        <v>63</v>
      </c>
      <c r="C6771" s="10">
        <v>74</v>
      </c>
      <c r="D6771" s="10">
        <v>344</v>
      </c>
      <c r="E6771" s="10" t="s">
        <v>32</v>
      </c>
      <c r="F6771" t="s">
        <v>293</v>
      </c>
    </row>
    <row r="6772" spans="1:7" x14ac:dyDescent="0.35">
      <c r="A6772" s="2">
        <v>43213</v>
      </c>
      <c r="B6772" s="40" t="s">
        <v>63</v>
      </c>
      <c r="C6772" s="10">
        <v>68</v>
      </c>
      <c r="D6772" s="10">
        <v>264</v>
      </c>
      <c r="E6772" s="10" t="s">
        <v>34</v>
      </c>
      <c r="F6772" t="s">
        <v>293</v>
      </c>
    </row>
    <row r="6773" spans="1:7" x14ac:dyDescent="0.35">
      <c r="A6773" s="2">
        <v>43213</v>
      </c>
      <c r="B6773" s="40" t="s">
        <v>63</v>
      </c>
      <c r="C6773" s="10">
        <v>64</v>
      </c>
      <c r="D6773" s="10">
        <v>212</v>
      </c>
      <c r="E6773" s="10" t="s">
        <v>34</v>
      </c>
      <c r="F6773" t="s">
        <v>646</v>
      </c>
    </row>
    <row r="6774" spans="1:7" x14ac:dyDescent="0.35">
      <c r="A6774" s="2">
        <v>43213</v>
      </c>
      <c r="B6774" s="40" t="s">
        <v>63</v>
      </c>
      <c r="C6774" s="10">
        <v>68</v>
      </c>
      <c r="D6774" s="10">
        <v>224</v>
      </c>
      <c r="E6774" s="10" t="s">
        <v>33</v>
      </c>
      <c r="F6774" t="s">
        <v>293</v>
      </c>
    </row>
    <row r="6775" spans="1:7" x14ac:dyDescent="0.35">
      <c r="A6775" s="2">
        <v>43213</v>
      </c>
      <c r="B6775" s="40" t="s">
        <v>63</v>
      </c>
      <c r="C6775" s="10">
        <v>71</v>
      </c>
      <c r="D6775" s="10">
        <v>328</v>
      </c>
      <c r="E6775" s="10" t="s">
        <v>34</v>
      </c>
      <c r="F6775" t="s">
        <v>293</v>
      </c>
    </row>
    <row r="6776" spans="1:7" x14ac:dyDescent="0.35">
      <c r="A6776" s="2">
        <v>43213</v>
      </c>
      <c r="B6776" s="40" t="s">
        <v>63</v>
      </c>
      <c r="C6776" s="10">
        <v>70</v>
      </c>
      <c r="D6776" s="10">
        <v>234</v>
      </c>
      <c r="E6776" s="10" t="s">
        <v>34</v>
      </c>
      <c r="F6776" t="s">
        <v>646</v>
      </c>
    </row>
    <row r="6777" spans="1:7" x14ac:dyDescent="0.35">
      <c r="A6777" s="2">
        <v>43213</v>
      </c>
      <c r="B6777" s="40" t="s">
        <v>63</v>
      </c>
      <c r="C6777" s="10">
        <v>68</v>
      </c>
      <c r="D6777" s="10">
        <v>223</v>
      </c>
      <c r="E6777" s="10" t="s">
        <v>32</v>
      </c>
      <c r="F6777" t="s">
        <v>198</v>
      </c>
      <c r="G6777" t="s">
        <v>475</v>
      </c>
    </row>
    <row r="6778" spans="1:7" x14ac:dyDescent="0.35">
      <c r="A6778" s="2">
        <v>43213</v>
      </c>
      <c r="B6778" s="40" t="s">
        <v>63</v>
      </c>
      <c r="C6778" s="10">
        <v>73</v>
      </c>
      <c r="D6778" s="10">
        <v>325</v>
      </c>
      <c r="E6778" s="10" t="s">
        <v>40</v>
      </c>
      <c r="F6778" t="s">
        <v>646</v>
      </c>
    </row>
    <row r="6779" spans="1:7" x14ac:dyDescent="0.35">
      <c r="A6779" s="2">
        <v>43213</v>
      </c>
      <c r="B6779" s="40" t="s">
        <v>63</v>
      </c>
      <c r="C6779" s="10">
        <v>64</v>
      </c>
      <c r="D6779" s="10">
        <v>175</v>
      </c>
      <c r="E6779" s="10" t="s">
        <v>32</v>
      </c>
      <c r="F6779" t="s">
        <v>646</v>
      </c>
    </row>
    <row r="6780" spans="1:7" x14ac:dyDescent="0.35">
      <c r="A6780" s="2">
        <v>43213</v>
      </c>
      <c r="B6780" s="40" t="s">
        <v>63</v>
      </c>
      <c r="C6780" s="10">
        <v>77</v>
      </c>
      <c r="D6780" s="10">
        <v>349</v>
      </c>
      <c r="E6780" s="10" t="s">
        <v>34</v>
      </c>
      <c r="F6780" t="s">
        <v>293</v>
      </c>
      <c r="G6780" t="s">
        <v>706</v>
      </c>
    </row>
    <row r="6781" spans="1:7" x14ac:dyDescent="0.35">
      <c r="A6781" s="2">
        <v>43213</v>
      </c>
      <c r="B6781" s="40" t="s">
        <v>63</v>
      </c>
      <c r="C6781" s="10">
        <v>64</v>
      </c>
      <c r="D6781" s="10">
        <v>181</v>
      </c>
      <c r="E6781" s="10" t="s">
        <v>34</v>
      </c>
      <c r="F6781" t="s">
        <v>293</v>
      </c>
    </row>
    <row r="6782" spans="1:7" x14ac:dyDescent="0.35">
      <c r="A6782" s="2">
        <v>43213</v>
      </c>
      <c r="B6782" s="40" t="s">
        <v>63</v>
      </c>
      <c r="C6782" s="10">
        <v>59</v>
      </c>
      <c r="D6782" s="10">
        <v>182</v>
      </c>
      <c r="E6782" s="10" t="s">
        <v>39</v>
      </c>
      <c r="F6782" t="s">
        <v>646</v>
      </c>
    </row>
    <row r="6783" spans="1:7" x14ac:dyDescent="0.35">
      <c r="A6783" s="2">
        <v>43213</v>
      </c>
      <c r="B6783" s="40" t="s">
        <v>63</v>
      </c>
      <c r="C6783" s="10">
        <v>59</v>
      </c>
      <c r="D6783" s="10">
        <v>119</v>
      </c>
      <c r="E6783" s="10" t="s">
        <v>32</v>
      </c>
      <c r="F6783" t="s">
        <v>646</v>
      </c>
    </row>
    <row r="6784" spans="1:7" x14ac:dyDescent="0.35">
      <c r="A6784" s="2">
        <v>43213</v>
      </c>
      <c r="B6784" s="40" t="s">
        <v>63</v>
      </c>
      <c r="C6784" s="10">
        <v>65</v>
      </c>
      <c r="D6784" s="10">
        <v>208</v>
      </c>
      <c r="E6784" s="10" t="s">
        <v>33</v>
      </c>
      <c r="F6784" t="s">
        <v>646</v>
      </c>
    </row>
    <row r="6785" spans="1:8" x14ac:dyDescent="0.35">
      <c r="A6785" s="2">
        <v>43213</v>
      </c>
      <c r="B6785" s="40" t="s">
        <v>63</v>
      </c>
      <c r="C6785" s="10">
        <v>71</v>
      </c>
      <c r="D6785" s="10">
        <v>294</v>
      </c>
      <c r="E6785" s="10" t="s">
        <v>34</v>
      </c>
      <c r="F6785" t="s">
        <v>293</v>
      </c>
    </row>
    <row r="6786" spans="1:8" x14ac:dyDescent="0.35">
      <c r="A6786" s="2">
        <v>43213</v>
      </c>
      <c r="B6786" s="40" t="s">
        <v>63</v>
      </c>
      <c r="C6786" s="10">
        <v>67</v>
      </c>
      <c r="D6786" s="10">
        <v>174</v>
      </c>
      <c r="E6786" s="10" t="s">
        <v>32</v>
      </c>
      <c r="F6786" t="s">
        <v>198</v>
      </c>
      <c r="G6786" t="s">
        <v>475</v>
      </c>
    </row>
    <row r="6787" spans="1:8" x14ac:dyDescent="0.35">
      <c r="A6787" s="2">
        <v>43213</v>
      </c>
      <c r="B6787" s="40" t="s">
        <v>63</v>
      </c>
      <c r="C6787" s="10">
        <v>68</v>
      </c>
      <c r="D6787" s="10">
        <v>237</v>
      </c>
      <c r="E6787" s="10" t="s">
        <v>34</v>
      </c>
      <c r="F6787" t="s">
        <v>293</v>
      </c>
    </row>
    <row r="6788" spans="1:8" x14ac:dyDescent="0.35">
      <c r="A6788" s="2">
        <v>43213</v>
      </c>
      <c r="B6788" s="40" t="s">
        <v>63</v>
      </c>
      <c r="C6788" s="10">
        <v>71</v>
      </c>
      <c r="D6788" s="10">
        <v>263</v>
      </c>
      <c r="E6788" s="10" t="s">
        <v>34</v>
      </c>
      <c r="F6788" t="s">
        <v>198</v>
      </c>
      <c r="G6788" t="s">
        <v>717</v>
      </c>
    </row>
    <row r="6789" spans="1:8" x14ac:dyDescent="0.35">
      <c r="A6789" s="2">
        <v>43213</v>
      </c>
      <c r="B6789" s="40" t="s">
        <v>63</v>
      </c>
      <c r="C6789" s="10">
        <v>70</v>
      </c>
      <c r="D6789" s="10">
        <v>232</v>
      </c>
      <c r="E6789" s="10" t="s">
        <v>34</v>
      </c>
      <c r="F6789" t="s">
        <v>293</v>
      </c>
    </row>
    <row r="6790" spans="1:8" x14ac:dyDescent="0.35">
      <c r="A6790" s="2">
        <v>43213</v>
      </c>
      <c r="B6790" s="40" t="s">
        <v>63</v>
      </c>
      <c r="C6790" s="10">
        <v>72</v>
      </c>
      <c r="D6790" s="10">
        <v>270</v>
      </c>
      <c r="E6790" s="10" t="s">
        <v>34</v>
      </c>
      <c r="F6790" t="s">
        <v>646</v>
      </c>
    </row>
    <row r="6791" spans="1:8" x14ac:dyDescent="0.35">
      <c r="A6791" s="2">
        <v>43213</v>
      </c>
      <c r="B6791" s="40" t="s">
        <v>63</v>
      </c>
      <c r="C6791" s="10">
        <v>68</v>
      </c>
      <c r="D6791" s="10">
        <v>273</v>
      </c>
      <c r="E6791" s="10" t="s">
        <v>34</v>
      </c>
      <c r="F6791" t="s">
        <v>293</v>
      </c>
      <c r="G6791" t="s">
        <v>475</v>
      </c>
      <c r="H6791" t="s">
        <v>784</v>
      </c>
    </row>
    <row r="6792" spans="1:8" x14ac:dyDescent="0.35">
      <c r="A6792" s="2">
        <v>43213</v>
      </c>
      <c r="B6792" s="40" t="s">
        <v>63</v>
      </c>
      <c r="C6792" s="10">
        <v>63</v>
      </c>
      <c r="D6792" s="10">
        <v>163</v>
      </c>
      <c r="E6792" s="10" t="s">
        <v>32</v>
      </c>
      <c r="F6792" t="s">
        <v>646</v>
      </c>
    </row>
    <row r="6793" spans="1:8" x14ac:dyDescent="0.35">
      <c r="A6793" s="2">
        <v>43213</v>
      </c>
      <c r="B6793" s="40" t="s">
        <v>63</v>
      </c>
      <c r="C6793" s="10">
        <v>69</v>
      </c>
      <c r="D6793" s="10">
        <v>285</v>
      </c>
      <c r="E6793" s="10" t="s">
        <v>34</v>
      </c>
      <c r="F6793" t="s">
        <v>646</v>
      </c>
    </row>
    <row r="6794" spans="1:8" x14ac:dyDescent="0.35">
      <c r="A6794" s="2">
        <v>43213</v>
      </c>
      <c r="B6794" s="40" t="s">
        <v>63</v>
      </c>
      <c r="C6794" s="10">
        <v>71</v>
      </c>
      <c r="D6794" s="10">
        <v>233</v>
      </c>
      <c r="E6794" s="10" t="s">
        <v>32</v>
      </c>
      <c r="F6794" t="s">
        <v>198</v>
      </c>
    </row>
    <row r="6795" spans="1:8" x14ac:dyDescent="0.35">
      <c r="A6795" s="2">
        <v>43213</v>
      </c>
      <c r="B6795" s="40" t="s">
        <v>63</v>
      </c>
      <c r="C6795" s="10">
        <v>62</v>
      </c>
      <c r="D6795" s="10">
        <v>141</v>
      </c>
      <c r="E6795" s="10" t="s">
        <v>32</v>
      </c>
      <c r="F6795" t="s">
        <v>293</v>
      </c>
    </row>
    <row r="6796" spans="1:8" x14ac:dyDescent="0.35">
      <c r="A6796" s="2">
        <v>43213</v>
      </c>
      <c r="B6796" s="40" t="s">
        <v>63</v>
      </c>
      <c r="C6796" s="10">
        <v>68</v>
      </c>
      <c r="D6796" s="10">
        <v>221</v>
      </c>
      <c r="E6796" s="10" t="s">
        <v>33</v>
      </c>
      <c r="F6796" t="s">
        <v>293</v>
      </c>
    </row>
    <row r="6797" spans="1:8" x14ac:dyDescent="0.35">
      <c r="A6797" s="2">
        <v>43213</v>
      </c>
      <c r="B6797" s="40" t="s">
        <v>63</v>
      </c>
      <c r="C6797" s="10">
        <v>63</v>
      </c>
      <c r="D6797" s="10">
        <v>144</v>
      </c>
      <c r="E6797" s="10" t="s">
        <v>34</v>
      </c>
      <c r="F6797" t="s">
        <v>646</v>
      </c>
    </row>
    <row r="6798" spans="1:8" x14ac:dyDescent="0.35">
      <c r="A6798" s="2">
        <v>43213</v>
      </c>
      <c r="B6798" s="40" t="s">
        <v>63</v>
      </c>
      <c r="C6798" s="10">
        <v>77</v>
      </c>
      <c r="D6798" s="10">
        <v>408</v>
      </c>
      <c r="E6798" s="10" t="s">
        <v>33</v>
      </c>
      <c r="F6798" t="s">
        <v>646</v>
      </c>
    </row>
    <row r="6799" spans="1:8" x14ac:dyDescent="0.35">
      <c r="A6799" s="2">
        <v>43213</v>
      </c>
      <c r="B6799" s="40" t="s">
        <v>63</v>
      </c>
      <c r="C6799" s="10">
        <v>84</v>
      </c>
      <c r="D6799" s="10">
        <v>453</v>
      </c>
      <c r="E6799" s="10" t="s">
        <v>32</v>
      </c>
      <c r="F6799" t="s">
        <v>646</v>
      </c>
    </row>
    <row r="6800" spans="1:8" x14ac:dyDescent="0.35">
      <c r="A6800" s="2">
        <v>43213</v>
      </c>
      <c r="B6800" s="40" t="s">
        <v>63</v>
      </c>
      <c r="C6800" s="10">
        <v>63</v>
      </c>
      <c r="D6800" s="10">
        <v>236</v>
      </c>
      <c r="E6800" s="10" t="s">
        <v>34</v>
      </c>
      <c r="F6800" t="s">
        <v>293</v>
      </c>
      <c r="G6800" t="s">
        <v>475</v>
      </c>
    </row>
    <row r="6801" spans="1:7" x14ac:dyDescent="0.35">
      <c r="A6801" s="2">
        <v>43213</v>
      </c>
      <c r="B6801" s="40" t="s">
        <v>63</v>
      </c>
      <c r="C6801" s="10">
        <v>75</v>
      </c>
      <c r="D6801" s="10">
        <v>293</v>
      </c>
      <c r="E6801" s="10" t="s">
        <v>34</v>
      </c>
      <c r="F6801" t="s">
        <v>646</v>
      </c>
    </row>
    <row r="6802" spans="1:7" x14ac:dyDescent="0.35">
      <c r="A6802" s="2">
        <v>43213</v>
      </c>
      <c r="B6802" s="40" t="s">
        <v>63</v>
      </c>
      <c r="C6802" s="10">
        <v>67</v>
      </c>
      <c r="D6802" s="10">
        <v>174</v>
      </c>
      <c r="E6802" s="10" t="s">
        <v>32</v>
      </c>
      <c r="F6802" t="s">
        <v>293</v>
      </c>
      <c r="G6802" t="s">
        <v>475</v>
      </c>
    </row>
    <row r="6803" spans="1:7" x14ac:dyDescent="0.35">
      <c r="A6803" s="2">
        <v>43213</v>
      </c>
      <c r="B6803" s="40" t="s">
        <v>63</v>
      </c>
      <c r="C6803" s="10">
        <v>68</v>
      </c>
      <c r="D6803" s="10">
        <v>239</v>
      </c>
      <c r="E6803" s="10" t="s">
        <v>34</v>
      </c>
      <c r="F6803" t="s">
        <v>646</v>
      </c>
    </row>
    <row r="6804" spans="1:7" x14ac:dyDescent="0.35">
      <c r="A6804" s="2">
        <v>43213</v>
      </c>
      <c r="B6804" s="40" t="s">
        <v>63</v>
      </c>
      <c r="C6804" s="10">
        <v>61</v>
      </c>
      <c r="D6804" s="10">
        <v>145</v>
      </c>
      <c r="E6804" s="10" t="s">
        <v>32</v>
      </c>
      <c r="F6804" t="s">
        <v>360</v>
      </c>
    </row>
    <row r="6805" spans="1:7" x14ac:dyDescent="0.35">
      <c r="A6805" s="2">
        <v>43213</v>
      </c>
      <c r="B6805" s="40" t="s">
        <v>63</v>
      </c>
      <c r="C6805" s="10">
        <v>72</v>
      </c>
      <c r="D6805" s="10">
        <v>282</v>
      </c>
      <c r="E6805" s="10" t="s">
        <v>34</v>
      </c>
      <c r="F6805" t="s">
        <v>646</v>
      </c>
    </row>
    <row r="6806" spans="1:7" x14ac:dyDescent="0.35">
      <c r="A6806" s="2">
        <v>43213</v>
      </c>
      <c r="B6806" s="40" t="s">
        <v>63</v>
      </c>
      <c r="C6806" s="10">
        <v>70</v>
      </c>
      <c r="D6806" s="10">
        <v>244</v>
      </c>
      <c r="E6806" s="10" t="s">
        <v>32</v>
      </c>
      <c r="F6806" t="s">
        <v>646</v>
      </c>
    </row>
    <row r="6807" spans="1:7" x14ac:dyDescent="0.35">
      <c r="A6807" s="2">
        <v>43213</v>
      </c>
      <c r="B6807" s="40" t="s">
        <v>63</v>
      </c>
      <c r="C6807" s="10">
        <v>65</v>
      </c>
      <c r="D6807" s="10">
        <v>196</v>
      </c>
      <c r="E6807" s="10" t="s">
        <v>33</v>
      </c>
      <c r="F6807" t="s">
        <v>293</v>
      </c>
    </row>
    <row r="6808" spans="1:7" s="4" customFormat="1" x14ac:dyDescent="0.35">
      <c r="A6808" s="3">
        <v>43213</v>
      </c>
      <c r="B6808" s="44" t="s">
        <v>63</v>
      </c>
      <c r="C6808" s="11">
        <v>72</v>
      </c>
      <c r="D6808" s="11">
        <v>224</v>
      </c>
      <c r="E6808" s="11" t="s">
        <v>32</v>
      </c>
      <c r="F6808" s="4" t="s">
        <v>646</v>
      </c>
    </row>
    <row r="6809" spans="1:7" x14ac:dyDescent="0.35">
      <c r="A6809" s="2">
        <v>43213</v>
      </c>
      <c r="B6809" s="40" t="s">
        <v>143</v>
      </c>
      <c r="C6809" s="10">
        <v>160</v>
      </c>
      <c r="D6809" s="10">
        <v>6349</v>
      </c>
      <c r="E6809" s="10" t="s">
        <v>59</v>
      </c>
    </row>
    <row r="6810" spans="1:7" x14ac:dyDescent="0.35">
      <c r="A6810" s="2">
        <v>43213</v>
      </c>
      <c r="B6810" s="40" t="s">
        <v>143</v>
      </c>
      <c r="C6810" s="10">
        <v>153</v>
      </c>
      <c r="D6810" s="10">
        <v>4406</v>
      </c>
      <c r="E6810" s="10" t="s">
        <v>59</v>
      </c>
    </row>
    <row r="6811" spans="1:7" x14ac:dyDescent="0.35">
      <c r="A6811" s="2">
        <v>43213</v>
      </c>
      <c r="B6811" s="40" t="s">
        <v>143</v>
      </c>
      <c r="C6811" s="10">
        <v>66</v>
      </c>
      <c r="D6811" s="10">
        <v>221</v>
      </c>
      <c r="E6811" s="10" t="s">
        <v>32</v>
      </c>
      <c r="F6811" t="s">
        <v>293</v>
      </c>
    </row>
    <row r="6812" spans="1:7" x14ac:dyDescent="0.35">
      <c r="A6812" s="2">
        <v>43213</v>
      </c>
      <c r="B6812" s="40" t="s">
        <v>143</v>
      </c>
      <c r="C6812" s="10">
        <v>76</v>
      </c>
      <c r="D6812" s="10">
        <v>320</v>
      </c>
      <c r="E6812" s="10" t="s">
        <v>32</v>
      </c>
      <c r="F6812" t="s">
        <v>293</v>
      </c>
    </row>
    <row r="6813" spans="1:7" x14ac:dyDescent="0.35">
      <c r="A6813" s="2">
        <v>43213</v>
      </c>
      <c r="B6813" s="40" t="s">
        <v>143</v>
      </c>
      <c r="C6813" s="10">
        <v>61</v>
      </c>
      <c r="D6813" s="10">
        <v>183</v>
      </c>
      <c r="E6813" s="10" t="s">
        <v>32</v>
      </c>
      <c r="F6813" t="s">
        <v>476</v>
      </c>
    </row>
    <row r="6814" spans="1:7" s="4" customFormat="1" x14ac:dyDescent="0.35">
      <c r="A6814" s="3">
        <v>43213</v>
      </c>
      <c r="B6814" s="44" t="s">
        <v>143</v>
      </c>
      <c r="C6814" s="11">
        <v>67</v>
      </c>
      <c r="D6814" s="11">
        <v>259</v>
      </c>
      <c r="E6814" s="11" t="s">
        <v>33</v>
      </c>
      <c r="F6814" s="4" t="s">
        <v>476</v>
      </c>
    </row>
    <row r="6815" spans="1:7" x14ac:dyDescent="0.35">
      <c r="A6815" s="2">
        <v>43213</v>
      </c>
      <c r="B6815" s="40" t="s">
        <v>66</v>
      </c>
      <c r="C6815" s="10">
        <v>167</v>
      </c>
      <c r="D6815" s="10">
        <v>7484</v>
      </c>
      <c r="E6815" s="10" t="s">
        <v>59</v>
      </c>
    </row>
    <row r="6816" spans="1:7" x14ac:dyDescent="0.35">
      <c r="A6816" s="2">
        <v>43213</v>
      </c>
      <c r="B6816" s="40" t="s">
        <v>66</v>
      </c>
      <c r="C6816" s="10">
        <v>99</v>
      </c>
      <c r="D6816" s="10">
        <v>1061</v>
      </c>
      <c r="E6816" s="10" t="s">
        <v>59</v>
      </c>
    </row>
    <row r="6817" spans="1:7" x14ac:dyDescent="0.35">
      <c r="A6817" s="2">
        <v>43213</v>
      </c>
      <c r="B6817" s="40" t="s">
        <v>66</v>
      </c>
      <c r="C6817" s="55">
        <v>82</v>
      </c>
      <c r="D6817" s="55">
        <v>643</v>
      </c>
      <c r="E6817" s="55" t="s">
        <v>159</v>
      </c>
    </row>
    <row r="6818" spans="1:7" x14ac:dyDescent="0.35">
      <c r="A6818" s="2">
        <v>43213</v>
      </c>
      <c r="B6818" s="40" t="s">
        <v>66</v>
      </c>
      <c r="C6818" s="10">
        <v>74</v>
      </c>
      <c r="D6818" s="10">
        <v>332</v>
      </c>
      <c r="E6818" s="10" t="s">
        <v>34</v>
      </c>
      <c r="F6818" t="s">
        <v>198</v>
      </c>
      <c r="G6818" t="s">
        <v>475</v>
      </c>
    </row>
    <row r="6819" spans="1:7" x14ac:dyDescent="0.35">
      <c r="A6819" s="2">
        <v>43213</v>
      </c>
      <c r="B6819" s="40" t="s">
        <v>66</v>
      </c>
      <c r="C6819" s="10">
        <v>66</v>
      </c>
      <c r="D6819" s="10">
        <v>196</v>
      </c>
      <c r="E6819" s="10" t="s">
        <v>33</v>
      </c>
      <c r="F6819" t="s">
        <v>646</v>
      </c>
    </row>
    <row r="6820" spans="1:7" x14ac:dyDescent="0.35">
      <c r="A6820" s="2">
        <v>43213</v>
      </c>
      <c r="B6820" s="40" t="s">
        <v>66</v>
      </c>
      <c r="C6820" s="10">
        <v>64</v>
      </c>
      <c r="D6820" s="10">
        <v>200</v>
      </c>
      <c r="E6820" s="10" t="s">
        <v>34</v>
      </c>
      <c r="F6820" t="s">
        <v>293</v>
      </c>
      <c r="G6820" t="s">
        <v>475</v>
      </c>
    </row>
    <row r="6821" spans="1:7" x14ac:dyDescent="0.35">
      <c r="A6821" s="2">
        <v>43213</v>
      </c>
      <c r="B6821" s="40" t="s">
        <v>66</v>
      </c>
      <c r="C6821" s="10">
        <v>73</v>
      </c>
      <c r="D6821" s="10">
        <v>329</v>
      </c>
      <c r="E6821" s="10" t="s">
        <v>32</v>
      </c>
      <c r="F6821" t="s">
        <v>646</v>
      </c>
    </row>
    <row r="6822" spans="1:7" x14ac:dyDescent="0.35">
      <c r="A6822" s="2">
        <v>43213</v>
      </c>
      <c r="B6822" s="40" t="s">
        <v>66</v>
      </c>
      <c r="C6822" s="10">
        <v>78</v>
      </c>
      <c r="D6822" s="10">
        <v>238</v>
      </c>
      <c r="E6822" s="10" t="s">
        <v>32</v>
      </c>
      <c r="F6822" t="s">
        <v>476</v>
      </c>
    </row>
    <row r="6823" spans="1:7" x14ac:dyDescent="0.35">
      <c r="A6823" s="2">
        <v>43213</v>
      </c>
      <c r="B6823" s="40" t="s">
        <v>66</v>
      </c>
      <c r="C6823" s="10">
        <v>72</v>
      </c>
      <c r="D6823" s="10">
        <v>283</v>
      </c>
      <c r="E6823" s="10" t="s">
        <v>34</v>
      </c>
      <c r="F6823" t="s">
        <v>646</v>
      </c>
    </row>
    <row r="6824" spans="1:7" x14ac:dyDescent="0.35">
      <c r="A6824" s="2">
        <v>43213</v>
      </c>
      <c r="B6824" s="40" t="s">
        <v>66</v>
      </c>
      <c r="C6824" s="10">
        <v>68</v>
      </c>
      <c r="D6824" s="10">
        <v>234</v>
      </c>
      <c r="E6824" s="10" t="s">
        <v>33</v>
      </c>
      <c r="F6824" t="s">
        <v>293</v>
      </c>
    </row>
    <row r="6825" spans="1:7" x14ac:dyDescent="0.35">
      <c r="A6825" s="2">
        <v>43213</v>
      </c>
      <c r="B6825" s="40" t="s">
        <v>66</v>
      </c>
      <c r="C6825" s="10">
        <v>69</v>
      </c>
      <c r="D6825" s="10">
        <v>267</v>
      </c>
      <c r="E6825" s="10" t="s">
        <v>40</v>
      </c>
      <c r="F6825" t="s">
        <v>476</v>
      </c>
    </row>
    <row r="6826" spans="1:7" x14ac:dyDescent="0.35">
      <c r="A6826" s="2">
        <v>43213</v>
      </c>
      <c r="B6826" s="40" t="s">
        <v>66</v>
      </c>
      <c r="C6826" s="10">
        <v>65</v>
      </c>
      <c r="D6826" s="10">
        <v>216</v>
      </c>
      <c r="E6826" s="10" t="s">
        <v>33</v>
      </c>
      <c r="F6826" t="s">
        <v>293</v>
      </c>
    </row>
    <row r="6827" spans="1:7" x14ac:dyDescent="0.35">
      <c r="A6827" s="2">
        <v>43213</v>
      </c>
      <c r="B6827" s="40" t="s">
        <v>66</v>
      </c>
      <c r="C6827" s="10">
        <v>69</v>
      </c>
      <c r="D6827" s="10">
        <v>258</v>
      </c>
      <c r="E6827" s="10" t="s">
        <v>34</v>
      </c>
      <c r="F6827" t="s">
        <v>646</v>
      </c>
    </row>
    <row r="6828" spans="1:7" x14ac:dyDescent="0.35">
      <c r="A6828" s="2">
        <v>43213</v>
      </c>
      <c r="B6828" s="40" t="s">
        <v>66</v>
      </c>
      <c r="C6828" s="10">
        <v>66</v>
      </c>
      <c r="D6828" s="10">
        <v>197</v>
      </c>
      <c r="E6828" s="10" t="s">
        <v>32</v>
      </c>
      <c r="F6828" t="s">
        <v>476</v>
      </c>
    </row>
    <row r="6829" spans="1:7" x14ac:dyDescent="0.35">
      <c r="A6829" s="2">
        <v>43213</v>
      </c>
      <c r="B6829" s="40" t="s">
        <v>66</v>
      </c>
      <c r="C6829" s="10">
        <v>71</v>
      </c>
      <c r="D6829" s="10">
        <v>244</v>
      </c>
      <c r="E6829" s="10" t="s">
        <v>32</v>
      </c>
      <c r="F6829" t="s">
        <v>198</v>
      </c>
    </row>
    <row r="6830" spans="1:7" x14ac:dyDescent="0.35">
      <c r="A6830" s="2">
        <v>43213</v>
      </c>
      <c r="B6830" s="40" t="s">
        <v>66</v>
      </c>
      <c r="C6830" s="10">
        <v>67</v>
      </c>
      <c r="D6830" s="10">
        <v>205</v>
      </c>
      <c r="E6830" s="10" t="s">
        <v>34</v>
      </c>
      <c r="F6830" t="s">
        <v>293</v>
      </c>
    </row>
    <row r="6831" spans="1:7" x14ac:dyDescent="0.35">
      <c r="A6831" s="2">
        <v>43213</v>
      </c>
      <c r="B6831" s="40" t="s">
        <v>66</v>
      </c>
      <c r="C6831" s="10">
        <v>67</v>
      </c>
      <c r="D6831" s="10">
        <v>190</v>
      </c>
      <c r="E6831" s="10" t="s">
        <v>33</v>
      </c>
      <c r="F6831" t="s">
        <v>646</v>
      </c>
    </row>
    <row r="6832" spans="1:7" x14ac:dyDescent="0.35">
      <c r="A6832" s="2">
        <v>43213</v>
      </c>
      <c r="B6832" s="40" t="s">
        <v>66</v>
      </c>
      <c r="C6832" s="10">
        <v>67</v>
      </c>
      <c r="D6832" s="10">
        <v>201</v>
      </c>
      <c r="E6832" s="10" t="s">
        <v>33</v>
      </c>
      <c r="F6832" t="s">
        <v>476</v>
      </c>
    </row>
    <row r="6833" spans="1:6" x14ac:dyDescent="0.35">
      <c r="A6833" s="2">
        <v>43213</v>
      </c>
      <c r="B6833" s="40" t="s">
        <v>66</v>
      </c>
      <c r="C6833" s="10">
        <v>66</v>
      </c>
      <c r="D6833" s="10">
        <v>174</v>
      </c>
      <c r="E6833" s="10" t="s">
        <v>34</v>
      </c>
      <c r="F6833" t="s">
        <v>646</v>
      </c>
    </row>
    <row r="6834" spans="1:6" x14ac:dyDescent="0.35">
      <c r="A6834" s="2">
        <v>43213</v>
      </c>
      <c r="B6834" s="40" t="s">
        <v>66</v>
      </c>
      <c r="C6834" s="10">
        <v>67</v>
      </c>
      <c r="D6834" s="10">
        <v>211</v>
      </c>
      <c r="E6834" s="10" t="s">
        <v>32</v>
      </c>
      <c r="F6834" t="s">
        <v>293</v>
      </c>
    </row>
    <row r="6835" spans="1:6" x14ac:dyDescent="0.35">
      <c r="A6835" s="2">
        <v>43213</v>
      </c>
      <c r="B6835" s="40" t="s">
        <v>66</v>
      </c>
      <c r="C6835" s="10">
        <v>63</v>
      </c>
      <c r="D6835" s="10">
        <v>218</v>
      </c>
      <c r="E6835" s="10" t="s">
        <v>34</v>
      </c>
      <c r="F6835" t="s">
        <v>646</v>
      </c>
    </row>
    <row r="6836" spans="1:6" x14ac:dyDescent="0.35">
      <c r="A6836" s="2">
        <v>43213</v>
      </c>
      <c r="B6836" s="40" t="s">
        <v>66</v>
      </c>
      <c r="C6836" s="10">
        <v>68</v>
      </c>
      <c r="D6836" s="10">
        <v>227</v>
      </c>
      <c r="E6836" s="10" t="s">
        <v>32</v>
      </c>
      <c r="F6836" t="s">
        <v>646</v>
      </c>
    </row>
    <row r="6837" spans="1:6" x14ac:dyDescent="0.35">
      <c r="A6837" s="2">
        <v>43213</v>
      </c>
      <c r="B6837" s="40" t="s">
        <v>66</v>
      </c>
      <c r="C6837" s="10">
        <v>78</v>
      </c>
      <c r="D6837" s="10">
        <v>387</v>
      </c>
      <c r="E6837" s="10" t="s">
        <v>34</v>
      </c>
      <c r="F6837" t="s">
        <v>293</v>
      </c>
    </row>
    <row r="6838" spans="1:6" x14ac:dyDescent="0.35">
      <c r="A6838" s="2">
        <v>43213</v>
      </c>
      <c r="B6838" s="40" t="s">
        <v>66</v>
      </c>
      <c r="C6838" s="10">
        <v>65</v>
      </c>
      <c r="D6838" s="10">
        <v>272</v>
      </c>
      <c r="E6838" s="10" t="s">
        <v>33</v>
      </c>
      <c r="F6838" t="s">
        <v>646</v>
      </c>
    </row>
    <row r="6839" spans="1:6" x14ac:dyDescent="0.35">
      <c r="A6839" s="2">
        <v>43213</v>
      </c>
      <c r="B6839" s="40" t="s">
        <v>66</v>
      </c>
      <c r="C6839" s="10">
        <v>67</v>
      </c>
      <c r="D6839" s="10">
        <v>244</v>
      </c>
      <c r="E6839" s="10" t="s">
        <v>34</v>
      </c>
      <c r="F6839" t="s">
        <v>293</v>
      </c>
    </row>
    <row r="6840" spans="1:6" x14ac:dyDescent="0.35">
      <c r="A6840" s="2">
        <v>43213</v>
      </c>
      <c r="B6840" s="40" t="s">
        <v>66</v>
      </c>
      <c r="C6840" s="10">
        <v>77</v>
      </c>
      <c r="D6840" s="10">
        <v>369</v>
      </c>
      <c r="E6840" s="10" t="s">
        <v>34</v>
      </c>
      <c r="F6840" t="s">
        <v>646</v>
      </c>
    </row>
    <row r="6841" spans="1:6" x14ac:dyDescent="0.35">
      <c r="A6841" s="2">
        <v>43213</v>
      </c>
      <c r="B6841" s="40" t="s">
        <v>66</v>
      </c>
      <c r="C6841" s="10">
        <v>70</v>
      </c>
      <c r="D6841" s="10">
        <v>251</v>
      </c>
      <c r="E6841" s="10" t="s">
        <v>34</v>
      </c>
      <c r="F6841" t="s">
        <v>646</v>
      </c>
    </row>
    <row r="6842" spans="1:6" x14ac:dyDescent="0.35">
      <c r="A6842" s="2">
        <v>43213</v>
      </c>
      <c r="B6842" s="40" t="s">
        <v>66</v>
      </c>
      <c r="C6842" s="10">
        <v>72</v>
      </c>
      <c r="D6842" s="10">
        <v>261</v>
      </c>
      <c r="E6842" s="10" t="s">
        <v>32</v>
      </c>
      <c r="F6842" t="s">
        <v>646</v>
      </c>
    </row>
    <row r="6843" spans="1:6" x14ac:dyDescent="0.35">
      <c r="A6843" s="2">
        <v>43213</v>
      </c>
      <c r="B6843" s="40" t="s">
        <v>66</v>
      </c>
      <c r="C6843" s="10">
        <v>70</v>
      </c>
      <c r="D6843" s="10">
        <v>287</v>
      </c>
      <c r="E6843" s="10" t="s">
        <v>33</v>
      </c>
      <c r="F6843" t="s">
        <v>646</v>
      </c>
    </row>
    <row r="6844" spans="1:6" x14ac:dyDescent="0.35">
      <c r="A6844" s="2">
        <v>43213</v>
      </c>
      <c r="B6844" s="40" t="s">
        <v>66</v>
      </c>
      <c r="C6844" s="10">
        <v>68</v>
      </c>
      <c r="D6844" s="10">
        <v>264</v>
      </c>
      <c r="E6844" s="10" t="s">
        <v>32</v>
      </c>
      <c r="F6844" t="s">
        <v>293</v>
      </c>
    </row>
    <row r="6845" spans="1:6" x14ac:dyDescent="0.35">
      <c r="A6845" s="2">
        <v>43213</v>
      </c>
      <c r="B6845" s="40" t="s">
        <v>66</v>
      </c>
      <c r="C6845" s="10">
        <v>66</v>
      </c>
      <c r="D6845" s="10">
        <v>231</v>
      </c>
      <c r="E6845" s="10" t="s">
        <v>34</v>
      </c>
      <c r="F6845" t="s">
        <v>646</v>
      </c>
    </row>
    <row r="6846" spans="1:6" x14ac:dyDescent="0.35">
      <c r="A6846" s="2">
        <v>43213</v>
      </c>
      <c r="B6846" s="40" t="s">
        <v>66</v>
      </c>
      <c r="C6846" s="10">
        <v>72</v>
      </c>
      <c r="D6846" s="10">
        <v>292</v>
      </c>
      <c r="E6846" s="10" t="s">
        <v>33</v>
      </c>
      <c r="F6846" t="s">
        <v>646</v>
      </c>
    </row>
    <row r="6847" spans="1:6" x14ac:dyDescent="0.35">
      <c r="A6847" s="2">
        <v>43213</v>
      </c>
      <c r="B6847" s="40" t="s">
        <v>66</v>
      </c>
      <c r="C6847" s="10">
        <v>74</v>
      </c>
      <c r="D6847" s="10">
        <v>304</v>
      </c>
      <c r="E6847" s="10" t="s">
        <v>32</v>
      </c>
      <c r="F6847" t="s">
        <v>646</v>
      </c>
    </row>
    <row r="6848" spans="1:6" x14ac:dyDescent="0.35">
      <c r="A6848" s="2">
        <v>43213</v>
      </c>
      <c r="B6848" s="40" t="s">
        <v>66</v>
      </c>
      <c r="C6848" s="10">
        <v>65</v>
      </c>
      <c r="D6848" s="10">
        <v>206</v>
      </c>
      <c r="E6848" s="10" t="s">
        <v>32</v>
      </c>
      <c r="F6848" t="s">
        <v>646</v>
      </c>
    </row>
    <row r="6849" spans="1:22" x14ac:dyDescent="0.35">
      <c r="A6849" s="2">
        <v>43213</v>
      </c>
      <c r="B6849" s="40" t="s">
        <v>66</v>
      </c>
      <c r="C6849" s="10">
        <v>68</v>
      </c>
      <c r="D6849" s="10">
        <v>225</v>
      </c>
      <c r="E6849" s="10" t="s">
        <v>32</v>
      </c>
      <c r="F6849" t="s">
        <v>646</v>
      </c>
    </row>
    <row r="6850" spans="1:22" x14ac:dyDescent="0.35">
      <c r="A6850" s="2">
        <v>43213</v>
      </c>
      <c r="B6850" s="40" t="s">
        <v>66</v>
      </c>
      <c r="C6850" s="10">
        <v>61</v>
      </c>
      <c r="D6850" s="10">
        <v>144</v>
      </c>
      <c r="E6850" s="10" t="s">
        <v>32</v>
      </c>
      <c r="F6850" t="s">
        <v>646</v>
      </c>
    </row>
    <row r="6851" spans="1:22" x14ac:dyDescent="0.35">
      <c r="A6851" s="2">
        <v>43213</v>
      </c>
      <c r="B6851" s="40" t="s">
        <v>66</v>
      </c>
      <c r="C6851" s="10">
        <v>66</v>
      </c>
      <c r="D6851" s="10">
        <v>224</v>
      </c>
      <c r="E6851" s="10" t="s">
        <v>33</v>
      </c>
      <c r="F6851" t="s">
        <v>646</v>
      </c>
    </row>
    <row r="6852" spans="1:22" x14ac:dyDescent="0.35">
      <c r="A6852" s="2">
        <v>43213</v>
      </c>
      <c r="B6852" s="40" t="s">
        <v>66</v>
      </c>
      <c r="C6852" s="10">
        <v>70</v>
      </c>
      <c r="D6852" s="10">
        <v>313</v>
      </c>
      <c r="E6852" s="10" t="s">
        <v>34</v>
      </c>
      <c r="F6852" t="s">
        <v>646</v>
      </c>
    </row>
    <row r="6853" spans="1:22" x14ac:dyDescent="0.35">
      <c r="A6853" s="2">
        <v>43213</v>
      </c>
      <c r="B6853" s="40" t="s">
        <v>66</v>
      </c>
      <c r="C6853" s="10">
        <v>78</v>
      </c>
      <c r="D6853" s="10">
        <v>384</v>
      </c>
      <c r="E6853" s="10" t="s">
        <v>34</v>
      </c>
      <c r="F6853" t="s">
        <v>646</v>
      </c>
    </row>
    <row r="6854" spans="1:22" x14ac:dyDescent="0.35">
      <c r="A6854" s="2">
        <v>43213</v>
      </c>
      <c r="B6854" s="40" t="s">
        <v>66</v>
      </c>
      <c r="C6854" s="10">
        <v>66</v>
      </c>
      <c r="D6854" s="10">
        <v>264</v>
      </c>
      <c r="E6854" s="10" t="s">
        <v>33</v>
      </c>
      <c r="F6854" t="s">
        <v>646</v>
      </c>
    </row>
    <row r="6855" spans="1:22" x14ac:dyDescent="0.35">
      <c r="A6855" s="2">
        <v>43213</v>
      </c>
      <c r="B6855" s="40" t="s">
        <v>66</v>
      </c>
      <c r="C6855" s="10">
        <v>71</v>
      </c>
      <c r="D6855" s="10">
        <v>304</v>
      </c>
      <c r="E6855" s="10" t="s">
        <v>33</v>
      </c>
      <c r="F6855" t="s">
        <v>646</v>
      </c>
    </row>
    <row r="6856" spans="1:22" x14ac:dyDescent="0.35">
      <c r="A6856" s="2">
        <v>43213</v>
      </c>
      <c r="B6856" s="40" t="s">
        <v>66</v>
      </c>
      <c r="C6856" s="10">
        <v>70</v>
      </c>
      <c r="D6856" s="10">
        <v>270</v>
      </c>
      <c r="E6856" s="10" t="s">
        <v>34</v>
      </c>
      <c r="F6856" t="s">
        <v>646</v>
      </c>
    </row>
    <row r="6857" spans="1:22" x14ac:dyDescent="0.35">
      <c r="A6857" s="2">
        <v>43213</v>
      </c>
      <c r="B6857" s="40" t="s">
        <v>66</v>
      </c>
      <c r="C6857" s="10">
        <v>62</v>
      </c>
      <c r="D6857" s="10">
        <v>160</v>
      </c>
      <c r="E6857" s="10" t="s">
        <v>32</v>
      </c>
      <c r="F6857" t="s">
        <v>360</v>
      </c>
      <c r="G6857" t="s">
        <v>475</v>
      </c>
    </row>
    <row r="6858" spans="1:22" x14ac:dyDescent="0.35">
      <c r="A6858" s="2">
        <v>43213</v>
      </c>
      <c r="B6858" s="40" t="s">
        <v>66</v>
      </c>
      <c r="C6858" s="10">
        <v>73</v>
      </c>
      <c r="D6858" s="10">
        <v>344</v>
      </c>
      <c r="E6858" s="10" t="s">
        <v>33</v>
      </c>
      <c r="F6858" t="s">
        <v>646</v>
      </c>
    </row>
    <row r="6859" spans="1:22" x14ac:dyDescent="0.35">
      <c r="A6859" s="2">
        <v>43213</v>
      </c>
      <c r="B6859" s="40" t="s">
        <v>66</v>
      </c>
      <c r="C6859" s="10">
        <v>70</v>
      </c>
      <c r="D6859" s="10">
        <v>291</v>
      </c>
      <c r="E6859" s="10" t="s">
        <v>39</v>
      </c>
      <c r="F6859" t="s">
        <v>646</v>
      </c>
    </row>
    <row r="6860" spans="1:22" x14ac:dyDescent="0.35">
      <c r="A6860" s="2">
        <v>43213</v>
      </c>
      <c r="B6860" s="40" t="s">
        <v>66</v>
      </c>
      <c r="C6860" s="10">
        <v>64</v>
      </c>
      <c r="D6860" s="10">
        <v>194</v>
      </c>
      <c r="E6860" s="10" t="s">
        <v>34</v>
      </c>
      <c r="F6860" t="s">
        <v>198</v>
      </c>
      <c r="G6860" t="s">
        <v>702</v>
      </c>
    </row>
    <row r="6861" spans="1:22" x14ac:dyDescent="0.35">
      <c r="A6861" s="2">
        <v>43213</v>
      </c>
      <c r="B6861" s="40" t="s">
        <v>66</v>
      </c>
      <c r="C6861" s="10">
        <v>68</v>
      </c>
      <c r="D6861" s="10">
        <v>206</v>
      </c>
      <c r="E6861" s="10" t="s">
        <v>34</v>
      </c>
      <c r="F6861" t="s">
        <v>198</v>
      </c>
    </row>
    <row r="6862" spans="1:22" x14ac:dyDescent="0.35">
      <c r="A6862" s="2">
        <v>43213</v>
      </c>
      <c r="B6862" s="40" t="s">
        <v>66</v>
      </c>
      <c r="C6862" s="10">
        <v>68</v>
      </c>
      <c r="D6862" s="10">
        <v>235</v>
      </c>
      <c r="E6862" s="10" t="s">
        <v>34</v>
      </c>
      <c r="F6862" t="s">
        <v>293</v>
      </c>
    </row>
    <row r="6863" spans="1:22" x14ac:dyDescent="0.35">
      <c r="A6863" s="2">
        <v>43213</v>
      </c>
      <c r="B6863" s="40" t="s">
        <v>66</v>
      </c>
      <c r="C6863" s="10">
        <v>65</v>
      </c>
      <c r="D6863" s="10">
        <v>203</v>
      </c>
      <c r="E6863" s="10" t="s">
        <v>33</v>
      </c>
      <c r="F6863" t="s">
        <v>293</v>
      </c>
    </row>
    <row r="6864" spans="1:22" x14ac:dyDescent="0.35">
      <c r="A6864" s="2">
        <v>43213</v>
      </c>
      <c r="B6864" s="40" t="s">
        <v>66</v>
      </c>
      <c r="C6864" s="10">
        <v>66</v>
      </c>
      <c r="D6864" s="10">
        <v>226</v>
      </c>
      <c r="E6864" s="10" t="s">
        <v>34</v>
      </c>
      <c r="F6864" t="s">
        <v>293</v>
      </c>
      <c r="N6864" t="s">
        <v>42</v>
      </c>
      <c r="O6864" t="s">
        <v>39</v>
      </c>
      <c r="P6864" t="s">
        <v>40</v>
      </c>
      <c r="Q6864" t="s">
        <v>36</v>
      </c>
      <c r="R6864" t="s">
        <v>33</v>
      </c>
      <c r="S6864" t="s">
        <v>34</v>
      </c>
      <c r="T6864" t="s">
        <v>32</v>
      </c>
      <c r="U6864" t="s">
        <v>37</v>
      </c>
      <c r="V6864" t="s">
        <v>159</v>
      </c>
    </row>
    <row r="6865" spans="1:24" x14ac:dyDescent="0.35">
      <c r="A6865" s="2">
        <v>43213</v>
      </c>
      <c r="B6865" s="40" t="s">
        <v>66</v>
      </c>
      <c r="C6865" s="10">
        <v>70</v>
      </c>
      <c r="D6865" s="10">
        <v>251</v>
      </c>
      <c r="E6865" s="10" t="s">
        <v>34</v>
      </c>
      <c r="F6865" t="s">
        <v>476</v>
      </c>
      <c r="N6865" s="5">
        <f>COUNTIF(E6696:E6867,"VA")</f>
        <v>0</v>
      </c>
      <c r="O6865" s="5">
        <f>COUNTIF(E6696:E6867,"VB")</f>
        <v>2</v>
      </c>
      <c r="P6865" s="5">
        <f>COUNTIF(E6696:E6867,"VIA0")</f>
        <v>5</v>
      </c>
      <c r="Q6865" s="5">
        <f>COUNTIF(E6696:E6867,"VIA1")</f>
        <v>2</v>
      </c>
      <c r="R6865" s="5">
        <v>25</v>
      </c>
      <c r="S6865" s="5">
        <f>COUNTIF(E6697:E6868,"VIA3")</f>
        <v>60</v>
      </c>
      <c r="T6865" s="5">
        <v>63</v>
      </c>
      <c r="U6865" s="5">
        <f>COUNTIF(E6696:E6867,"VIB")</f>
        <v>0</v>
      </c>
      <c r="V6865" s="5">
        <f>COUNTIF(E6696:E6867,"VII")</f>
        <v>1</v>
      </c>
      <c r="W6865">
        <f>AVERAGE(C6817:C6867,C6759:C6808,C6730:C6754,C6696:C6727)</f>
        <v>69.297468354430379</v>
      </c>
      <c r="X6865">
        <f>AVERAGE(D6817:D6867,D6759:D6808,D6730:D6754,D6696:D6727)</f>
        <v>264.01265822784808</v>
      </c>
    </row>
    <row r="6866" spans="1:24" x14ac:dyDescent="0.35">
      <c r="A6866" s="2">
        <v>43213</v>
      </c>
      <c r="B6866" s="40" t="s">
        <v>66</v>
      </c>
      <c r="C6866" s="10">
        <v>74</v>
      </c>
      <c r="D6866" s="10">
        <v>345</v>
      </c>
      <c r="E6866" s="10" t="s">
        <v>34</v>
      </c>
      <c r="F6866" t="s">
        <v>646</v>
      </c>
      <c r="N6866" s="6">
        <f>N6865/158*100</f>
        <v>0</v>
      </c>
      <c r="O6866" s="6">
        <f t="shared" ref="O6866:V6866" si="236">O6865/158*100</f>
        <v>1.2658227848101267</v>
      </c>
      <c r="P6866" s="6">
        <f t="shared" si="236"/>
        <v>3.1645569620253164</v>
      </c>
      <c r="Q6866" s="6">
        <f t="shared" si="236"/>
        <v>1.2658227848101267</v>
      </c>
      <c r="R6866" s="6">
        <f t="shared" si="236"/>
        <v>15.822784810126583</v>
      </c>
      <c r="S6866" s="6">
        <f t="shared" si="236"/>
        <v>37.974683544303801</v>
      </c>
      <c r="T6866" s="6">
        <f t="shared" si="236"/>
        <v>39.87341772151899</v>
      </c>
      <c r="U6866" s="6">
        <f t="shared" si="236"/>
        <v>0</v>
      </c>
      <c r="V6866" s="6">
        <f t="shared" si="236"/>
        <v>0.63291139240506333</v>
      </c>
      <c r="W6866" s="4"/>
      <c r="X6866" s="4"/>
    </row>
    <row r="6867" spans="1:24" s="4" customFormat="1" x14ac:dyDescent="0.35">
      <c r="A6867" s="3">
        <v>43213</v>
      </c>
      <c r="B6867" s="44" t="s">
        <v>66</v>
      </c>
      <c r="C6867" s="11">
        <v>68</v>
      </c>
      <c r="D6867" s="11">
        <v>196</v>
      </c>
      <c r="E6867" s="11" t="s">
        <v>34</v>
      </c>
      <c r="F6867" s="4" t="s">
        <v>293</v>
      </c>
    </row>
    <row r="6868" spans="1:24" x14ac:dyDescent="0.35">
      <c r="A6868" s="2">
        <v>43213</v>
      </c>
      <c r="B6868" s="40" t="s">
        <v>114</v>
      </c>
      <c r="C6868" s="10">
        <v>154</v>
      </c>
      <c r="D6868" s="10">
        <v>6602</v>
      </c>
      <c r="E6868" s="10" t="s">
        <v>59</v>
      </c>
    </row>
    <row r="6869" spans="1:24" x14ac:dyDescent="0.35">
      <c r="A6869" s="2">
        <v>43213</v>
      </c>
      <c r="B6869" s="40" t="s">
        <v>114</v>
      </c>
      <c r="C6869" s="10">
        <v>97</v>
      </c>
      <c r="D6869" s="10">
        <v>1326</v>
      </c>
      <c r="E6869" s="10" t="s">
        <v>59</v>
      </c>
    </row>
    <row r="6870" spans="1:24" x14ac:dyDescent="0.35">
      <c r="A6870" s="2">
        <v>43213</v>
      </c>
      <c r="B6870" s="40" t="s">
        <v>114</v>
      </c>
      <c r="C6870" s="10">
        <v>133</v>
      </c>
      <c r="D6870" s="10">
        <v>3122</v>
      </c>
      <c r="E6870" s="10" t="s">
        <v>59</v>
      </c>
    </row>
    <row r="6871" spans="1:24" x14ac:dyDescent="0.35">
      <c r="A6871" s="2">
        <v>43213</v>
      </c>
      <c r="B6871" s="40" t="s">
        <v>114</v>
      </c>
      <c r="C6871" s="10">
        <v>68</v>
      </c>
      <c r="D6871" s="10">
        <v>270</v>
      </c>
      <c r="E6871" s="10" t="s">
        <v>32</v>
      </c>
      <c r="F6871" t="s">
        <v>360</v>
      </c>
    </row>
    <row r="6872" spans="1:24" x14ac:dyDescent="0.35">
      <c r="A6872" s="2">
        <v>43213</v>
      </c>
      <c r="B6872" s="40" t="s">
        <v>114</v>
      </c>
      <c r="C6872" s="10">
        <v>63</v>
      </c>
      <c r="D6872" s="10">
        <v>253</v>
      </c>
      <c r="E6872" s="10" t="s">
        <v>32</v>
      </c>
      <c r="F6872" t="s">
        <v>198</v>
      </c>
    </row>
    <row r="6873" spans="1:24" x14ac:dyDescent="0.35">
      <c r="A6873" s="2">
        <v>43213</v>
      </c>
      <c r="B6873" s="40" t="s">
        <v>114</v>
      </c>
      <c r="C6873" s="10">
        <v>67</v>
      </c>
      <c r="D6873" s="10">
        <v>244</v>
      </c>
      <c r="E6873" s="10" t="s">
        <v>32</v>
      </c>
      <c r="F6873" t="s">
        <v>476</v>
      </c>
    </row>
    <row r="6874" spans="1:24" s="4" customFormat="1" x14ac:dyDescent="0.35">
      <c r="A6874" s="3">
        <v>43213</v>
      </c>
      <c r="B6874" s="44" t="s">
        <v>114</v>
      </c>
      <c r="C6874" s="11">
        <v>71</v>
      </c>
      <c r="D6874" s="11">
        <v>308</v>
      </c>
      <c r="E6874" s="11" t="s">
        <v>34</v>
      </c>
      <c r="F6874" s="4" t="s">
        <v>476</v>
      </c>
    </row>
    <row r="6875" spans="1:24" s="5" customFormat="1" x14ac:dyDescent="0.35">
      <c r="A6875" s="2">
        <v>43214</v>
      </c>
      <c r="B6875" s="36" t="s">
        <v>29</v>
      </c>
      <c r="C6875" s="10">
        <v>99</v>
      </c>
      <c r="D6875" s="10">
        <v>1069</v>
      </c>
      <c r="E6875" s="10" t="s">
        <v>59</v>
      </c>
    </row>
    <row r="6876" spans="1:24" s="4" customFormat="1" x14ac:dyDescent="0.35">
      <c r="A6876" s="3">
        <v>43214</v>
      </c>
      <c r="B6876" s="36" t="s">
        <v>29</v>
      </c>
      <c r="C6876" s="11">
        <v>136</v>
      </c>
      <c r="D6876" s="11">
        <v>3600</v>
      </c>
      <c r="E6876" s="11" t="s">
        <v>59</v>
      </c>
    </row>
    <row r="6877" spans="1:24" x14ac:dyDescent="0.35">
      <c r="A6877" s="2">
        <v>43214</v>
      </c>
      <c r="B6877" s="36" t="s">
        <v>785</v>
      </c>
      <c r="C6877" s="10">
        <v>66</v>
      </c>
      <c r="D6877" s="10">
        <v>230</v>
      </c>
      <c r="E6877" s="10" t="s">
        <v>34</v>
      </c>
      <c r="F6877" s="10" t="s">
        <v>646</v>
      </c>
      <c r="G6877" t="s">
        <v>475</v>
      </c>
      <c r="M6877">
        <f>COUNTIF(F6877:F6976,"F++")</f>
        <v>1</v>
      </c>
    </row>
    <row r="6878" spans="1:24" x14ac:dyDescent="0.35">
      <c r="A6878" s="2">
        <v>43214</v>
      </c>
      <c r="B6878" s="36" t="s">
        <v>785</v>
      </c>
      <c r="C6878" s="10">
        <v>67</v>
      </c>
      <c r="D6878" s="10">
        <v>184</v>
      </c>
      <c r="E6878" s="10" t="s">
        <v>32</v>
      </c>
      <c r="F6878" s="10" t="s">
        <v>293</v>
      </c>
      <c r="G6878" t="s">
        <v>475</v>
      </c>
    </row>
    <row r="6879" spans="1:24" x14ac:dyDescent="0.35">
      <c r="A6879" s="2">
        <v>43214</v>
      </c>
      <c r="B6879" s="36" t="s">
        <v>785</v>
      </c>
      <c r="C6879" s="10">
        <v>71</v>
      </c>
      <c r="D6879" s="10">
        <v>281</v>
      </c>
      <c r="E6879" s="10" t="s">
        <v>32</v>
      </c>
      <c r="F6879" s="10" t="s">
        <v>293</v>
      </c>
    </row>
    <row r="6880" spans="1:24" x14ac:dyDescent="0.35">
      <c r="A6880" s="2">
        <v>43214</v>
      </c>
      <c r="B6880" s="36" t="s">
        <v>785</v>
      </c>
      <c r="C6880" s="10">
        <v>73</v>
      </c>
      <c r="D6880" s="10">
        <v>327</v>
      </c>
      <c r="E6880" s="10" t="s">
        <v>34</v>
      </c>
      <c r="F6880" s="10" t="s">
        <v>293</v>
      </c>
    </row>
    <row r="6881" spans="1:7" x14ac:dyDescent="0.35">
      <c r="A6881" s="2">
        <v>43214</v>
      </c>
      <c r="B6881" s="36" t="s">
        <v>785</v>
      </c>
      <c r="C6881" s="10">
        <v>67</v>
      </c>
      <c r="D6881" s="10">
        <v>222</v>
      </c>
      <c r="E6881" s="10" t="s">
        <v>32</v>
      </c>
      <c r="F6881" s="10" t="s">
        <v>293</v>
      </c>
    </row>
    <row r="6882" spans="1:7" x14ac:dyDescent="0.35">
      <c r="A6882" s="2">
        <v>43214</v>
      </c>
      <c r="B6882" s="36" t="s">
        <v>785</v>
      </c>
      <c r="C6882" s="10">
        <v>67</v>
      </c>
      <c r="D6882" s="10">
        <v>219</v>
      </c>
      <c r="E6882" s="10" t="s">
        <v>34</v>
      </c>
      <c r="F6882" s="10" t="s">
        <v>646</v>
      </c>
    </row>
    <row r="6883" spans="1:7" x14ac:dyDescent="0.35">
      <c r="A6883" s="2">
        <v>43214</v>
      </c>
      <c r="B6883" s="36" t="s">
        <v>785</v>
      </c>
      <c r="C6883" s="10">
        <v>67</v>
      </c>
      <c r="D6883" s="10">
        <v>226</v>
      </c>
      <c r="E6883" s="10" t="s">
        <v>34</v>
      </c>
      <c r="F6883" s="10" t="s">
        <v>293</v>
      </c>
    </row>
    <row r="6884" spans="1:7" x14ac:dyDescent="0.35">
      <c r="A6884" s="2">
        <v>43214</v>
      </c>
      <c r="B6884" s="36" t="s">
        <v>785</v>
      </c>
      <c r="C6884" s="10">
        <v>69</v>
      </c>
      <c r="D6884" s="10">
        <v>283</v>
      </c>
      <c r="E6884" s="10" t="s">
        <v>34</v>
      </c>
      <c r="F6884" s="10" t="s">
        <v>646</v>
      </c>
    </row>
    <row r="6885" spans="1:7" x14ac:dyDescent="0.35">
      <c r="A6885" s="2">
        <v>43214</v>
      </c>
      <c r="B6885" s="36" t="s">
        <v>785</v>
      </c>
      <c r="C6885" s="10">
        <v>71</v>
      </c>
      <c r="D6885" s="10">
        <v>322</v>
      </c>
      <c r="E6885" s="10" t="s">
        <v>34</v>
      </c>
      <c r="F6885" s="10" t="s">
        <v>646</v>
      </c>
    </row>
    <row r="6886" spans="1:7" x14ac:dyDescent="0.35">
      <c r="A6886" s="2">
        <v>43214</v>
      </c>
      <c r="B6886" s="36" t="s">
        <v>785</v>
      </c>
      <c r="C6886" s="10">
        <v>69</v>
      </c>
      <c r="D6886" s="10">
        <v>311</v>
      </c>
      <c r="E6886" s="10" t="s">
        <v>34</v>
      </c>
      <c r="F6886" s="10" t="s">
        <v>646</v>
      </c>
    </row>
    <row r="6887" spans="1:7" x14ac:dyDescent="0.35">
      <c r="A6887" s="2">
        <v>43214</v>
      </c>
      <c r="B6887" s="36" t="s">
        <v>785</v>
      </c>
      <c r="C6887" s="10">
        <v>68</v>
      </c>
      <c r="D6887" s="10">
        <v>246</v>
      </c>
      <c r="E6887" s="10" t="s">
        <v>32</v>
      </c>
      <c r="F6887" s="10" t="s">
        <v>293</v>
      </c>
    </row>
    <row r="6888" spans="1:7" x14ac:dyDescent="0.35">
      <c r="A6888" s="2">
        <v>43214</v>
      </c>
      <c r="B6888" s="36" t="s">
        <v>785</v>
      </c>
      <c r="C6888" s="10">
        <v>67</v>
      </c>
      <c r="D6888" s="10">
        <v>242</v>
      </c>
      <c r="E6888" s="10" t="s">
        <v>34</v>
      </c>
      <c r="F6888" s="10" t="s">
        <v>293</v>
      </c>
    </row>
    <row r="6889" spans="1:7" x14ac:dyDescent="0.35">
      <c r="A6889" s="2">
        <v>43214</v>
      </c>
      <c r="B6889" s="36" t="s">
        <v>785</v>
      </c>
      <c r="C6889" s="10">
        <v>71</v>
      </c>
      <c r="D6889" s="10">
        <v>298</v>
      </c>
      <c r="E6889" s="10" t="s">
        <v>32</v>
      </c>
      <c r="F6889" s="10" t="s">
        <v>646</v>
      </c>
    </row>
    <row r="6890" spans="1:7" x14ac:dyDescent="0.35">
      <c r="A6890" s="2">
        <v>43214</v>
      </c>
      <c r="B6890" s="36" t="s">
        <v>785</v>
      </c>
      <c r="C6890" s="10">
        <v>70</v>
      </c>
      <c r="D6890" s="10">
        <v>310</v>
      </c>
      <c r="E6890" s="10" t="s">
        <v>34</v>
      </c>
      <c r="F6890" s="10" t="s">
        <v>646</v>
      </c>
    </row>
    <row r="6891" spans="1:7" x14ac:dyDescent="0.35">
      <c r="A6891" s="2">
        <v>43214</v>
      </c>
      <c r="B6891" s="36" t="s">
        <v>785</v>
      </c>
      <c r="C6891" s="10">
        <v>64</v>
      </c>
      <c r="D6891" s="10">
        <v>182</v>
      </c>
      <c r="E6891" s="10" t="s">
        <v>34</v>
      </c>
      <c r="F6891" s="10" t="s">
        <v>293</v>
      </c>
      <c r="G6891" t="s">
        <v>475</v>
      </c>
    </row>
    <row r="6892" spans="1:7" x14ac:dyDescent="0.35">
      <c r="A6892" s="2">
        <v>43214</v>
      </c>
      <c r="B6892" s="36" t="s">
        <v>785</v>
      </c>
      <c r="C6892" s="10">
        <v>63</v>
      </c>
      <c r="D6892" s="10">
        <v>204</v>
      </c>
      <c r="E6892" s="10" t="s">
        <v>34</v>
      </c>
      <c r="F6892" s="10" t="s">
        <v>646</v>
      </c>
    </row>
    <row r="6893" spans="1:7" x14ac:dyDescent="0.35">
      <c r="A6893" s="2">
        <v>43214</v>
      </c>
      <c r="B6893" s="36" t="s">
        <v>785</v>
      </c>
      <c r="C6893" s="10">
        <v>68</v>
      </c>
      <c r="D6893" s="10">
        <v>194</v>
      </c>
      <c r="E6893" s="10" t="s">
        <v>32</v>
      </c>
      <c r="F6893" s="10" t="s">
        <v>293</v>
      </c>
      <c r="G6893" t="s">
        <v>475</v>
      </c>
    </row>
    <row r="6894" spans="1:7" x14ac:dyDescent="0.35">
      <c r="A6894" s="2">
        <v>43214</v>
      </c>
      <c r="B6894" s="36" t="s">
        <v>785</v>
      </c>
      <c r="C6894" s="10">
        <v>70</v>
      </c>
      <c r="D6894" s="10">
        <v>286</v>
      </c>
      <c r="E6894" s="10" t="s">
        <v>34</v>
      </c>
      <c r="F6894" s="10" t="s">
        <v>293</v>
      </c>
    </row>
    <row r="6895" spans="1:7" x14ac:dyDescent="0.35">
      <c r="A6895" s="2">
        <v>43214</v>
      </c>
      <c r="B6895" s="36" t="s">
        <v>785</v>
      </c>
      <c r="C6895" s="10">
        <v>74</v>
      </c>
      <c r="D6895" s="10">
        <v>420</v>
      </c>
      <c r="E6895" s="10" t="s">
        <v>33</v>
      </c>
      <c r="F6895" s="10" t="s">
        <v>293</v>
      </c>
    </row>
    <row r="6896" spans="1:7" x14ac:dyDescent="0.35">
      <c r="A6896" s="2">
        <v>43214</v>
      </c>
      <c r="B6896" s="36" t="s">
        <v>785</v>
      </c>
      <c r="C6896" s="10">
        <v>72</v>
      </c>
      <c r="D6896" s="10">
        <v>325</v>
      </c>
      <c r="E6896" s="10" t="s">
        <v>34</v>
      </c>
      <c r="F6896" s="10" t="s">
        <v>646</v>
      </c>
    </row>
    <row r="6897" spans="1:7" x14ac:dyDescent="0.35">
      <c r="A6897" s="2">
        <v>43214</v>
      </c>
      <c r="B6897" s="36" t="s">
        <v>785</v>
      </c>
      <c r="C6897" s="10">
        <v>72</v>
      </c>
      <c r="D6897" s="10">
        <v>268</v>
      </c>
      <c r="E6897" s="10" t="s">
        <v>34</v>
      </c>
      <c r="F6897" s="10" t="s">
        <v>476</v>
      </c>
    </row>
    <row r="6898" spans="1:7" x14ac:dyDescent="0.35">
      <c r="A6898" s="2">
        <v>43214</v>
      </c>
      <c r="B6898" s="36" t="s">
        <v>785</v>
      </c>
      <c r="C6898" s="10">
        <v>73</v>
      </c>
      <c r="D6898" s="10">
        <v>326</v>
      </c>
      <c r="E6898" s="10" t="s">
        <v>34</v>
      </c>
      <c r="F6898" s="10" t="s">
        <v>646</v>
      </c>
    </row>
    <row r="6899" spans="1:7" x14ac:dyDescent="0.35">
      <c r="A6899" s="2">
        <v>43214</v>
      </c>
      <c r="B6899" s="36" t="s">
        <v>785</v>
      </c>
      <c r="C6899" s="10">
        <v>68</v>
      </c>
      <c r="D6899" s="10">
        <v>218</v>
      </c>
      <c r="E6899" s="10" t="s">
        <v>34</v>
      </c>
      <c r="F6899" s="10" t="s">
        <v>476</v>
      </c>
    </row>
    <row r="6900" spans="1:7" x14ac:dyDescent="0.35">
      <c r="A6900" s="2">
        <v>43214</v>
      </c>
      <c r="B6900" s="36" t="s">
        <v>785</v>
      </c>
      <c r="C6900" s="10">
        <v>71</v>
      </c>
      <c r="D6900" s="10">
        <v>255</v>
      </c>
      <c r="E6900" s="10" t="s">
        <v>32</v>
      </c>
      <c r="F6900" s="10" t="s">
        <v>646</v>
      </c>
    </row>
    <row r="6901" spans="1:7" x14ac:dyDescent="0.35">
      <c r="A6901" s="2">
        <v>43214</v>
      </c>
      <c r="B6901" s="36" t="s">
        <v>785</v>
      </c>
      <c r="C6901" s="10">
        <v>74</v>
      </c>
      <c r="D6901" s="10">
        <v>329</v>
      </c>
      <c r="E6901" s="10" t="s">
        <v>34</v>
      </c>
      <c r="F6901" s="10" t="s">
        <v>293</v>
      </c>
    </row>
    <row r="6902" spans="1:7" x14ac:dyDescent="0.35">
      <c r="A6902" s="2">
        <v>43214</v>
      </c>
      <c r="B6902" s="36" t="s">
        <v>785</v>
      </c>
      <c r="C6902" s="10">
        <v>69</v>
      </c>
      <c r="D6902" s="10">
        <v>270</v>
      </c>
      <c r="E6902" s="10" t="s">
        <v>34</v>
      </c>
      <c r="F6902" s="10" t="s">
        <v>293</v>
      </c>
    </row>
    <row r="6903" spans="1:7" x14ac:dyDescent="0.35">
      <c r="A6903" s="2">
        <v>43214</v>
      </c>
      <c r="B6903" s="36" t="s">
        <v>785</v>
      </c>
      <c r="C6903" s="10">
        <v>68</v>
      </c>
      <c r="D6903" s="10">
        <v>258</v>
      </c>
      <c r="E6903" s="10" t="s">
        <v>34</v>
      </c>
      <c r="F6903" s="10" t="s">
        <v>360</v>
      </c>
      <c r="G6903" t="s">
        <v>786</v>
      </c>
    </row>
    <row r="6904" spans="1:7" x14ac:dyDescent="0.35">
      <c r="A6904" s="2">
        <v>43214</v>
      </c>
      <c r="B6904" s="36" t="s">
        <v>785</v>
      </c>
      <c r="C6904" s="10">
        <v>70</v>
      </c>
      <c r="D6904" s="10">
        <v>298</v>
      </c>
      <c r="E6904" s="10" t="s">
        <v>32</v>
      </c>
      <c r="F6904" s="10" t="s">
        <v>476</v>
      </c>
    </row>
    <row r="6905" spans="1:7" x14ac:dyDescent="0.35">
      <c r="A6905" s="2">
        <v>43214</v>
      </c>
      <c r="B6905" s="36" t="s">
        <v>785</v>
      </c>
      <c r="C6905" s="10">
        <v>72</v>
      </c>
      <c r="D6905" s="10">
        <v>347</v>
      </c>
      <c r="E6905" s="10" t="s">
        <v>34</v>
      </c>
      <c r="F6905" s="10" t="s">
        <v>646</v>
      </c>
    </row>
    <row r="6906" spans="1:7" x14ac:dyDescent="0.35">
      <c r="A6906" s="2">
        <v>43214</v>
      </c>
      <c r="B6906" s="36" t="s">
        <v>785</v>
      </c>
      <c r="C6906" s="10">
        <v>68</v>
      </c>
      <c r="D6906" s="10">
        <v>244</v>
      </c>
      <c r="E6906" s="10" t="s">
        <v>32</v>
      </c>
      <c r="F6906" s="10" t="s">
        <v>293</v>
      </c>
    </row>
    <row r="6907" spans="1:7" x14ac:dyDescent="0.35">
      <c r="A6907" s="2">
        <v>43214</v>
      </c>
      <c r="B6907" s="36" t="s">
        <v>785</v>
      </c>
      <c r="C6907" s="10">
        <v>68</v>
      </c>
      <c r="D6907" s="10">
        <v>253</v>
      </c>
      <c r="E6907" s="10" t="s">
        <v>34</v>
      </c>
      <c r="F6907" s="10" t="s">
        <v>293</v>
      </c>
    </row>
    <row r="6908" spans="1:7" x14ac:dyDescent="0.35">
      <c r="A6908" s="2">
        <v>43214</v>
      </c>
      <c r="B6908" s="36" t="s">
        <v>785</v>
      </c>
      <c r="C6908" s="10">
        <v>75</v>
      </c>
      <c r="D6908" s="10">
        <v>296</v>
      </c>
      <c r="E6908" s="10" t="s">
        <v>34</v>
      </c>
      <c r="F6908" s="10" t="s">
        <v>646</v>
      </c>
    </row>
    <row r="6909" spans="1:7" x14ac:dyDescent="0.35">
      <c r="A6909" s="2">
        <v>43214</v>
      </c>
      <c r="B6909" s="36" t="s">
        <v>785</v>
      </c>
      <c r="C6909" s="10">
        <v>72</v>
      </c>
      <c r="D6909" s="10">
        <v>304</v>
      </c>
      <c r="E6909" s="10" t="s">
        <v>32</v>
      </c>
      <c r="F6909" s="10" t="s">
        <v>646</v>
      </c>
    </row>
    <row r="6910" spans="1:7" x14ac:dyDescent="0.35">
      <c r="A6910" s="2">
        <v>43214</v>
      </c>
      <c r="B6910" s="36" t="s">
        <v>785</v>
      </c>
      <c r="C6910" s="10">
        <v>66</v>
      </c>
      <c r="D6910" s="10">
        <v>220</v>
      </c>
      <c r="E6910" s="10" t="s">
        <v>32</v>
      </c>
      <c r="F6910" s="10" t="s">
        <v>198</v>
      </c>
    </row>
    <row r="6911" spans="1:7" x14ac:dyDescent="0.35">
      <c r="A6911" s="2">
        <v>43214</v>
      </c>
      <c r="B6911" s="36" t="s">
        <v>785</v>
      </c>
      <c r="C6911" s="10">
        <v>70</v>
      </c>
      <c r="D6911" s="10">
        <v>263</v>
      </c>
      <c r="E6911" s="10" t="s">
        <v>34</v>
      </c>
      <c r="F6911" s="10" t="s">
        <v>293</v>
      </c>
    </row>
    <row r="6912" spans="1:7" x14ac:dyDescent="0.35">
      <c r="A6912" s="2">
        <v>43214</v>
      </c>
      <c r="B6912" s="36" t="s">
        <v>785</v>
      </c>
      <c r="C6912" s="10">
        <v>78</v>
      </c>
      <c r="D6912" s="10">
        <v>423</v>
      </c>
      <c r="E6912" s="10" t="s">
        <v>34</v>
      </c>
      <c r="F6912" s="10" t="s">
        <v>293</v>
      </c>
    </row>
    <row r="6913" spans="1:7" x14ac:dyDescent="0.35">
      <c r="A6913" s="2">
        <v>43214</v>
      </c>
      <c r="B6913" s="36" t="s">
        <v>785</v>
      </c>
      <c r="C6913" s="10">
        <v>70</v>
      </c>
      <c r="D6913" s="10">
        <v>277</v>
      </c>
      <c r="E6913" s="10" t="s">
        <v>32</v>
      </c>
      <c r="F6913" s="10" t="s">
        <v>198</v>
      </c>
    </row>
    <row r="6914" spans="1:7" x14ac:dyDescent="0.35">
      <c r="A6914" s="2">
        <v>43214</v>
      </c>
      <c r="B6914" s="36" t="s">
        <v>785</v>
      </c>
      <c r="C6914" s="10">
        <v>75</v>
      </c>
      <c r="D6914" s="10">
        <v>356</v>
      </c>
      <c r="E6914" s="10" t="s">
        <v>34</v>
      </c>
      <c r="F6914" s="10" t="s">
        <v>293</v>
      </c>
      <c r="G6914" t="s">
        <v>475</v>
      </c>
    </row>
    <row r="6915" spans="1:7" x14ac:dyDescent="0.35">
      <c r="A6915" s="2">
        <v>43214</v>
      </c>
      <c r="B6915" s="36" t="s">
        <v>785</v>
      </c>
      <c r="C6915" s="10">
        <v>73</v>
      </c>
      <c r="D6915" s="10">
        <v>317</v>
      </c>
      <c r="E6915" s="10" t="s">
        <v>32</v>
      </c>
      <c r="F6915" s="10" t="s">
        <v>198</v>
      </c>
    </row>
    <row r="6916" spans="1:7" x14ac:dyDescent="0.35">
      <c r="A6916" s="2">
        <v>43214</v>
      </c>
      <c r="B6916" s="36" t="s">
        <v>785</v>
      </c>
      <c r="C6916" s="10">
        <v>69</v>
      </c>
      <c r="D6916" s="10">
        <v>259</v>
      </c>
      <c r="E6916" s="10" t="s">
        <v>32</v>
      </c>
      <c r="F6916" s="10" t="s">
        <v>646</v>
      </c>
    </row>
    <row r="6917" spans="1:7" x14ac:dyDescent="0.35">
      <c r="A6917" s="2">
        <v>43214</v>
      </c>
      <c r="B6917" s="36" t="s">
        <v>785</v>
      </c>
      <c r="C6917" s="10">
        <v>72</v>
      </c>
      <c r="D6917" s="10">
        <v>299</v>
      </c>
      <c r="E6917" s="10" t="s">
        <v>32</v>
      </c>
      <c r="F6917" s="10" t="s">
        <v>293</v>
      </c>
    </row>
    <row r="6918" spans="1:7" x14ac:dyDescent="0.35">
      <c r="A6918" s="2">
        <v>43214</v>
      </c>
      <c r="B6918" s="36" t="s">
        <v>785</v>
      </c>
      <c r="C6918" s="10">
        <v>71</v>
      </c>
      <c r="D6918" s="10">
        <v>275</v>
      </c>
      <c r="E6918" s="10" t="s">
        <v>32</v>
      </c>
      <c r="F6918" s="10" t="s">
        <v>360</v>
      </c>
    </row>
    <row r="6919" spans="1:7" x14ac:dyDescent="0.35">
      <c r="A6919" s="2">
        <v>43214</v>
      </c>
      <c r="B6919" s="36" t="s">
        <v>785</v>
      </c>
      <c r="C6919" s="10">
        <v>66</v>
      </c>
      <c r="D6919" s="10">
        <v>312</v>
      </c>
      <c r="E6919" s="10" t="s">
        <v>32</v>
      </c>
      <c r="F6919" s="10" t="s">
        <v>293</v>
      </c>
    </row>
    <row r="6920" spans="1:7" x14ac:dyDescent="0.35">
      <c r="A6920" s="2">
        <v>43214</v>
      </c>
      <c r="B6920" s="36" t="s">
        <v>785</v>
      </c>
      <c r="C6920" s="10">
        <v>75</v>
      </c>
      <c r="D6920" s="10">
        <v>405</v>
      </c>
      <c r="E6920" s="10" t="s">
        <v>34</v>
      </c>
      <c r="F6920" s="10" t="s">
        <v>198</v>
      </c>
    </row>
    <row r="6921" spans="1:7" x14ac:dyDescent="0.35">
      <c r="A6921" s="2">
        <v>43214</v>
      </c>
      <c r="B6921" s="36" t="s">
        <v>785</v>
      </c>
      <c r="C6921" s="10">
        <v>67</v>
      </c>
      <c r="D6921" s="10">
        <v>286</v>
      </c>
      <c r="E6921" s="10" t="s">
        <v>34</v>
      </c>
      <c r="F6921" s="10" t="s">
        <v>476</v>
      </c>
    </row>
    <row r="6922" spans="1:7" x14ac:dyDescent="0.35">
      <c r="A6922" s="2">
        <v>43214</v>
      </c>
      <c r="B6922" s="36" t="s">
        <v>785</v>
      </c>
      <c r="C6922" s="10">
        <v>72</v>
      </c>
      <c r="D6922" s="10">
        <v>322</v>
      </c>
      <c r="E6922" s="10" t="s">
        <v>33</v>
      </c>
      <c r="F6922" s="10" t="s">
        <v>293</v>
      </c>
    </row>
    <row r="6923" spans="1:7" x14ac:dyDescent="0.35">
      <c r="A6923" s="2">
        <v>43214</v>
      </c>
      <c r="B6923" s="36" t="s">
        <v>785</v>
      </c>
      <c r="C6923" s="10">
        <v>73</v>
      </c>
      <c r="D6923" s="10">
        <v>283</v>
      </c>
      <c r="E6923" s="10" t="s">
        <v>32</v>
      </c>
      <c r="F6923" s="10" t="s">
        <v>646</v>
      </c>
    </row>
    <row r="6924" spans="1:7" x14ac:dyDescent="0.35">
      <c r="A6924" s="2">
        <v>43214</v>
      </c>
      <c r="B6924" s="36" t="s">
        <v>785</v>
      </c>
      <c r="C6924" s="10">
        <v>65</v>
      </c>
      <c r="D6924" s="10">
        <v>282</v>
      </c>
      <c r="E6924" s="10" t="s">
        <v>34</v>
      </c>
      <c r="F6924" s="10" t="s">
        <v>646</v>
      </c>
    </row>
    <row r="6925" spans="1:7" x14ac:dyDescent="0.35">
      <c r="A6925" s="2">
        <v>43214</v>
      </c>
      <c r="B6925" s="36" t="s">
        <v>785</v>
      </c>
      <c r="C6925" s="10">
        <v>62</v>
      </c>
      <c r="D6925" s="10">
        <v>183</v>
      </c>
      <c r="E6925" s="10" t="s">
        <v>34</v>
      </c>
      <c r="F6925" s="10" t="s">
        <v>476</v>
      </c>
    </row>
    <row r="6926" spans="1:7" x14ac:dyDescent="0.35">
      <c r="A6926" s="2">
        <v>43214</v>
      </c>
      <c r="B6926" s="36" t="s">
        <v>785</v>
      </c>
      <c r="C6926" s="10">
        <v>66</v>
      </c>
      <c r="D6926" s="10">
        <v>261</v>
      </c>
      <c r="E6926" s="10" t="s">
        <v>36</v>
      </c>
      <c r="F6926" s="10" t="s">
        <v>646</v>
      </c>
    </row>
    <row r="6927" spans="1:7" x14ac:dyDescent="0.35">
      <c r="A6927" s="2">
        <v>43214</v>
      </c>
      <c r="B6927" s="36" t="s">
        <v>785</v>
      </c>
      <c r="C6927" s="10">
        <v>67</v>
      </c>
      <c r="D6927" s="10">
        <v>232</v>
      </c>
      <c r="E6927" s="10" t="s">
        <v>34</v>
      </c>
      <c r="F6927" s="10" t="s">
        <v>646</v>
      </c>
    </row>
    <row r="6928" spans="1:7" x14ac:dyDescent="0.35">
      <c r="A6928" s="2">
        <v>43214</v>
      </c>
      <c r="B6928" s="36" t="s">
        <v>785</v>
      </c>
      <c r="C6928" s="10">
        <v>69</v>
      </c>
      <c r="D6928" s="10">
        <v>256</v>
      </c>
      <c r="E6928" s="10" t="s">
        <v>32</v>
      </c>
      <c r="F6928" s="10" t="s">
        <v>646</v>
      </c>
    </row>
    <row r="6929" spans="1:7" x14ac:dyDescent="0.35">
      <c r="A6929" s="2">
        <v>43214</v>
      </c>
      <c r="B6929" s="36" t="s">
        <v>785</v>
      </c>
      <c r="C6929" s="10">
        <v>74</v>
      </c>
      <c r="D6929" s="10">
        <v>352</v>
      </c>
      <c r="E6929" s="10" t="s">
        <v>32</v>
      </c>
      <c r="F6929" s="10" t="s">
        <v>293</v>
      </c>
    </row>
    <row r="6930" spans="1:7" x14ac:dyDescent="0.35">
      <c r="A6930" s="2">
        <v>43214</v>
      </c>
      <c r="B6930" s="36" t="s">
        <v>785</v>
      </c>
      <c r="C6930" s="10">
        <v>70</v>
      </c>
      <c r="D6930" s="10">
        <v>293</v>
      </c>
      <c r="E6930" s="10" t="s">
        <v>32</v>
      </c>
      <c r="F6930" s="10" t="s">
        <v>646</v>
      </c>
    </row>
    <row r="6931" spans="1:7" x14ac:dyDescent="0.35">
      <c r="A6931" s="2">
        <v>43214</v>
      </c>
      <c r="B6931" s="36" t="s">
        <v>785</v>
      </c>
      <c r="C6931" s="10">
        <v>72</v>
      </c>
      <c r="D6931" s="10">
        <v>276</v>
      </c>
      <c r="E6931" s="10" t="s">
        <v>32</v>
      </c>
      <c r="F6931" s="10" t="s">
        <v>646</v>
      </c>
    </row>
    <row r="6932" spans="1:7" x14ac:dyDescent="0.35">
      <c r="A6932" s="2">
        <v>43214</v>
      </c>
      <c r="B6932" s="36" t="s">
        <v>785</v>
      </c>
      <c r="C6932" s="10">
        <v>68</v>
      </c>
      <c r="D6932" s="10">
        <v>270</v>
      </c>
      <c r="E6932" s="10" t="s">
        <v>32</v>
      </c>
      <c r="F6932" s="10" t="s">
        <v>646</v>
      </c>
    </row>
    <row r="6933" spans="1:7" x14ac:dyDescent="0.35">
      <c r="A6933" s="2">
        <v>43214</v>
      </c>
      <c r="B6933" s="36" t="s">
        <v>785</v>
      </c>
      <c r="C6933" s="10">
        <v>68</v>
      </c>
      <c r="D6933" s="10">
        <v>197</v>
      </c>
      <c r="E6933" s="10" t="s">
        <v>32</v>
      </c>
      <c r="F6933" s="10" t="s">
        <v>646</v>
      </c>
      <c r="G6933" t="s">
        <v>161</v>
      </c>
    </row>
    <row r="6934" spans="1:7" x14ac:dyDescent="0.35">
      <c r="A6934" s="2">
        <v>43214</v>
      </c>
      <c r="B6934" s="36" t="s">
        <v>785</v>
      </c>
      <c r="C6934" s="10">
        <v>70</v>
      </c>
      <c r="D6934" s="10">
        <v>272</v>
      </c>
      <c r="E6934" s="10" t="s">
        <v>34</v>
      </c>
      <c r="F6934" s="10" t="s">
        <v>646</v>
      </c>
    </row>
    <row r="6935" spans="1:7" x14ac:dyDescent="0.35">
      <c r="A6935" s="2">
        <v>43214</v>
      </c>
      <c r="B6935" s="36" t="s">
        <v>785</v>
      </c>
      <c r="C6935" s="10">
        <v>69</v>
      </c>
      <c r="D6935" s="10">
        <v>278</v>
      </c>
      <c r="E6935" s="10" t="s">
        <v>34</v>
      </c>
      <c r="F6935" s="10" t="s">
        <v>646</v>
      </c>
    </row>
    <row r="6936" spans="1:7" x14ac:dyDescent="0.35">
      <c r="A6936" s="2">
        <v>43214</v>
      </c>
      <c r="B6936" s="36" t="s">
        <v>785</v>
      </c>
      <c r="C6936" s="10">
        <v>73</v>
      </c>
      <c r="D6936" s="10">
        <v>241</v>
      </c>
      <c r="E6936" s="10" t="s">
        <v>34</v>
      </c>
      <c r="F6936" s="10" t="s">
        <v>646</v>
      </c>
    </row>
    <row r="6937" spans="1:7" x14ac:dyDescent="0.35">
      <c r="A6937" s="2">
        <v>43214</v>
      </c>
      <c r="B6937" s="36" t="s">
        <v>785</v>
      </c>
      <c r="C6937" s="10">
        <v>68</v>
      </c>
      <c r="D6937" s="10">
        <v>242</v>
      </c>
      <c r="E6937" s="10" t="s">
        <v>32</v>
      </c>
      <c r="F6937" s="10" t="s">
        <v>293</v>
      </c>
    </row>
    <row r="6938" spans="1:7" x14ac:dyDescent="0.35">
      <c r="A6938" s="2">
        <v>43214</v>
      </c>
      <c r="B6938" s="36" t="s">
        <v>785</v>
      </c>
      <c r="C6938" s="10">
        <v>61</v>
      </c>
      <c r="D6938" s="10">
        <v>142</v>
      </c>
      <c r="E6938" s="10" t="s">
        <v>32</v>
      </c>
      <c r="F6938" s="10" t="s">
        <v>293</v>
      </c>
    </row>
    <row r="6939" spans="1:7" x14ac:dyDescent="0.35">
      <c r="A6939" s="2">
        <v>43214</v>
      </c>
      <c r="B6939" s="36" t="s">
        <v>785</v>
      </c>
      <c r="C6939" s="10">
        <v>66</v>
      </c>
      <c r="D6939" s="10">
        <v>250</v>
      </c>
      <c r="E6939" s="10" t="s">
        <v>34</v>
      </c>
      <c r="F6939" s="10" t="s">
        <v>646</v>
      </c>
    </row>
    <row r="6940" spans="1:7" x14ac:dyDescent="0.35">
      <c r="A6940" s="2">
        <v>43214</v>
      </c>
      <c r="B6940" s="36" t="s">
        <v>785</v>
      </c>
      <c r="C6940" s="10">
        <v>66</v>
      </c>
      <c r="D6940" s="10">
        <v>226</v>
      </c>
      <c r="E6940" s="10" t="s">
        <v>33</v>
      </c>
      <c r="F6940" s="10" t="s">
        <v>646</v>
      </c>
    </row>
    <row r="6941" spans="1:7" x14ac:dyDescent="0.35">
      <c r="A6941" s="2">
        <v>43214</v>
      </c>
      <c r="B6941" s="36" t="s">
        <v>785</v>
      </c>
      <c r="C6941" s="10">
        <v>68</v>
      </c>
      <c r="D6941" s="10">
        <v>256</v>
      </c>
      <c r="E6941" s="10" t="s">
        <v>34</v>
      </c>
      <c r="F6941" s="10" t="s">
        <v>646</v>
      </c>
    </row>
    <row r="6942" spans="1:7" x14ac:dyDescent="0.35">
      <c r="A6942" s="2">
        <v>43214</v>
      </c>
      <c r="B6942" s="36" t="s">
        <v>785</v>
      </c>
      <c r="C6942" s="10">
        <v>66</v>
      </c>
      <c r="D6942" s="10">
        <v>258</v>
      </c>
      <c r="E6942" s="10" t="s">
        <v>34</v>
      </c>
      <c r="F6942" s="10" t="s">
        <v>646</v>
      </c>
    </row>
    <row r="6943" spans="1:7" x14ac:dyDescent="0.35">
      <c r="A6943" s="2">
        <v>43214</v>
      </c>
      <c r="B6943" s="36" t="s">
        <v>785</v>
      </c>
      <c r="C6943" s="10">
        <v>65</v>
      </c>
      <c r="D6943" s="10">
        <v>250</v>
      </c>
      <c r="E6943" s="10" t="s">
        <v>32</v>
      </c>
      <c r="F6943" s="10" t="s">
        <v>360</v>
      </c>
    </row>
    <row r="6944" spans="1:7" x14ac:dyDescent="0.35">
      <c r="A6944" s="2">
        <v>43214</v>
      </c>
      <c r="B6944" s="36" t="s">
        <v>785</v>
      </c>
      <c r="C6944" s="10">
        <v>70</v>
      </c>
      <c r="D6944" s="10">
        <v>254</v>
      </c>
      <c r="E6944" s="10" t="s">
        <v>33</v>
      </c>
      <c r="F6944" s="10" t="s">
        <v>198</v>
      </c>
    </row>
    <row r="6945" spans="1:7" x14ac:dyDescent="0.35">
      <c r="A6945" s="2">
        <v>43214</v>
      </c>
      <c r="B6945" s="36" t="s">
        <v>785</v>
      </c>
      <c r="C6945" s="10">
        <v>63</v>
      </c>
      <c r="D6945" s="10">
        <v>205</v>
      </c>
      <c r="E6945" s="10" t="s">
        <v>34</v>
      </c>
      <c r="F6945" s="10" t="s">
        <v>646</v>
      </c>
    </row>
    <row r="6946" spans="1:7" x14ac:dyDescent="0.35">
      <c r="A6946" s="2">
        <v>43214</v>
      </c>
      <c r="B6946" s="36" t="s">
        <v>785</v>
      </c>
      <c r="C6946" s="10">
        <v>70</v>
      </c>
      <c r="D6946" s="10">
        <v>298</v>
      </c>
      <c r="E6946" s="10" t="s">
        <v>33</v>
      </c>
      <c r="F6946" s="10" t="s">
        <v>646</v>
      </c>
    </row>
    <row r="6947" spans="1:7" x14ac:dyDescent="0.35">
      <c r="A6947" s="2">
        <v>43214</v>
      </c>
      <c r="B6947" s="36" t="s">
        <v>785</v>
      </c>
      <c r="C6947" s="10">
        <v>72</v>
      </c>
      <c r="D6947" s="10">
        <v>318</v>
      </c>
      <c r="E6947" s="10" t="s">
        <v>33</v>
      </c>
      <c r="F6947" s="10" t="s">
        <v>646</v>
      </c>
    </row>
    <row r="6948" spans="1:7" x14ac:dyDescent="0.35">
      <c r="A6948" s="2">
        <v>43214</v>
      </c>
      <c r="B6948" s="36" t="s">
        <v>785</v>
      </c>
      <c r="C6948" s="10">
        <v>65</v>
      </c>
      <c r="D6948" s="10">
        <v>224</v>
      </c>
      <c r="E6948" s="10" t="s">
        <v>32</v>
      </c>
      <c r="F6948" s="10" t="s">
        <v>198</v>
      </c>
      <c r="G6948" t="s">
        <v>779</v>
      </c>
    </row>
    <row r="6949" spans="1:7" x14ac:dyDescent="0.35">
      <c r="A6949" s="2">
        <v>43214</v>
      </c>
      <c r="B6949" s="36" t="s">
        <v>785</v>
      </c>
      <c r="C6949" s="10">
        <v>67</v>
      </c>
      <c r="D6949" s="10">
        <v>260</v>
      </c>
      <c r="E6949" s="10" t="s">
        <v>33</v>
      </c>
      <c r="F6949" s="10" t="s">
        <v>646</v>
      </c>
    </row>
    <row r="6950" spans="1:7" x14ac:dyDescent="0.35">
      <c r="A6950" s="2">
        <v>43214</v>
      </c>
      <c r="B6950" s="36" t="s">
        <v>785</v>
      </c>
      <c r="C6950" s="10">
        <v>76</v>
      </c>
      <c r="D6950" s="10">
        <v>359</v>
      </c>
      <c r="E6950" s="10" t="s">
        <v>34</v>
      </c>
      <c r="F6950" s="10" t="s">
        <v>646</v>
      </c>
    </row>
    <row r="6951" spans="1:7" x14ac:dyDescent="0.35">
      <c r="A6951" s="2">
        <v>43214</v>
      </c>
      <c r="B6951" s="36" t="s">
        <v>785</v>
      </c>
      <c r="C6951" s="10">
        <v>70</v>
      </c>
      <c r="D6951" s="10">
        <v>231</v>
      </c>
      <c r="E6951" s="10" t="s">
        <v>32</v>
      </c>
      <c r="F6951" s="10" t="s">
        <v>293</v>
      </c>
    </row>
    <row r="6952" spans="1:7" x14ac:dyDescent="0.35">
      <c r="A6952" s="2">
        <v>43214</v>
      </c>
      <c r="B6952" s="36" t="s">
        <v>785</v>
      </c>
      <c r="C6952" s="10">
        <v>72</v>
      </c>
      <c r="D6952" s="10">
        <v>312</v>
      </c>
      <c r="E6952" s="10" t="s">
        <v>33</v>
      </c>
      <c r="F6952" s="10" t="s">
        <v>646</v>
      </c>
    </row>
    <row r="6953" spans="1:7" x14ac:dyDescent="0.35">
      <c r="A6953" s="2">
        <v>43214</v>
      </c>
      <c r="B6953" s="36" t="s">
        <v>785</v>
      </c>
      <c r="C6953" s="10">
        <v>71</v>
      </c>
      <c r="D6953" s="10">
        <v>309</v>
      </c>
      <c r="E6953" s="10" t="s">
        <v>32</v>
      </c>
      <c r="F6953" s="10" t="s">
        <v>646</v>
      </c>
    </row>
    <row r="6954" spans="1:7" x14ac:dyDescent="0.35">
      <c r="A6954" s="2">
        <v>43214</v>
      </c>
      <c r="B6954" s="36" t="s">
        <v>785</v>
      </c>
      <c r="C6954" s="10">
        <v>66</v>
      </c>
      <c r="D6954" s="10">
        <v>247</v>
      </c>
      <c r="E6954" s="10" t="s">
        <v>34</v>
      </c>
      <c r="F6954" s="10" t="s">
        <v>646</v>
      </c>
    </row>
    <row r="6955" spans="1:7" x14ac:dyDescent="0.35">
      <c r="A6955" s="2">
        <v>43214</v>
      </c>
      <c r="B6955" s="36" t="s">
        <v>785</v>
      </c>
      <c r="C6955" s="10">
        <v>68</v>
      </c>
      <c r="D6955" s="10">
        <v>280</v>
      </c>
      <c r="E6955" s="10" t="s">
        <v>34</v>
      </c>
      <c r="F6955" s="10" t="s">
        <v>293</v>
      </c>
    </row>
    <row r="6956" spans="1:7" x14ac:dyDescent="0.35">
      <c r="A6956" s="2">
        <v>43214</v>
      </c>
      <c r="B6956" s="36" t="s">
        <v>785</v>
      </c>
      <c r="C6956" s="10">
        <v>66</v>
      </c>
      <c r="D6956" s="10">
        <v>210</v>
      </c>
      <c r="E6956" s="10" t="s">
        <v>32</v>
      </c>
      <c r="F6956" s="10" t="s">
        <v>783</v>
      </c>
    </row>
    <row r="6957" spans="1:7" x14ac:dyDescent="0.35">
      <c r="A6957" s="2">
        <v>43214</v>
      </c>
      <c r="B6957" s="36" t="s">
        <v>785</v>
      </c>
      <c r="C6957" s="10">
        <v>70</v>
      </c>
      <c r="D6957" s="10">
        <v>264</v>
      </c>
      <c r="E6957" s="10" t="s">
        <v>32</v>
      </c>
      <c r="F6957" s="10" t="s">
        <v>293</v>
      </c>
    </row>
    <row r="6958" spans="1:7" x14ac:dyDescent="0.35">
      <c r="A6958" s="2">
        <v>43214</v>
      </c>
      <c r="B6958" s="36" t="s">
        <v>785</v>
      </c>
      <c r="C6958" s="10">
        <v>65</v>
      </c>
      <c r="D6958" s="10">
        <v>230</v>
      </c>
      <c r="E6958" s="10" t="s">
        <v>33</v>
      </c>
      <c r="F6958" s="10" t="s">
        <v>646</v>
      </c>
    </row>
    <row r="6959" spans="1:7" x14ac:dyDescent="0.35">
      <c r="A6959" s="2">
        <v>43214</v>
      </c>
      <c r="B6959" s="36" t="s">
        <v>785</v>
      </c>
      <c r="C6959" s="10">
        <v>65</v>
      </c>
      <c r="D6959" s="10">
        <v>222</v>
      </c>
      <c r="E6959" s="10" t="s">
        <v>36</v>
      </c>
      <c r="F6959" s="10" t="s">
        <v>476</v>
      </c>
    </row>
    <row r="6960" spans="1:7" x14ac:dyDescent="0.35">
      <c r="A6960" s="2">
        <v>43214</v>
      </c>
      <c r="B6960" s="36" t="s">
        <v>785</v>
      </c>
      <c r="C6960" s="10">
        <v>67</v>
      </c>
      <c r="D6960" s="10">
        <v>218</v>
      </c>
      <c r="E6960" s="10" t="s">
        <v>34</v>
      </c>
      <c r="F6960" s="10" t="s">
        <v>476</v>
      </c>
    </row>
    <row r="6961" spans="1:24" x14ac:dyDescent="0.35">
      <c r="A6961" s="2">
        <v>43214</v>
      </c>
      <c r="B6961" s="36" t="s">
        <v>785</v>
      </c>
      <c r="C6961" s="10">
        <v>70</v>
      </c>
      <c r="D6961" s="10">
        <v>278</v>
      </c>
      <c r="E6961" s="10" t="s">
        <v>33</v>
      </c>
      <c r="F6961" s="10" t="s">
        <v>646</v>
      </c>
    </row>
    <row r="6962" spans="1:24" x14ac:dyDescent="0.35">
      <c r="A6962" s="2">
        <v>43214</v>
      </c>
      <c r="B6962" s="36" t="s">
        <v>785</v>
      </c>
      <c r="C6962" s="10">
        <v>71</v>
      </c>
      <c r="D6962" s="10">
        <v>277</v>
      </c>
      <c r="E6962" s="10" t="s">
        <v>32</v>
      </c>
      <c r="F6962" s="10" t="s">
        <v>646</v>
      </c>
    </row>
    <row r="6963" spans="1:24" x14ac:dyDescent="0.35">
      <c r="A6963" s="2">
        <v>43214</v>
      </c>
      <c r="B6963" s="36" t="s">
        <v>785</v>
      </c>
      <c r="C6963" s="10">
        <v>72</v>
      </c>
      <c r="D6963" s="10">
        <v>308</v>
      </c>
      <c r="E6963" s="10" t="s">
        <v>34</v>
      </c>
      <c r="F6963" s="10" t="s">
        <v>293</v>
      </c>
    </row>
    <row r="6964" spans="1:24" x14ac:dyDescent="0.35">
      <c r="A6964" s="2">
        <v>43214</v>
      </c>
      <c r="B6964" s="36" t="s">
        <v>785</v>
      </c>
      <c r="C6964" s="10">
        <v>65</v>
      </c>
      <c r="D6964" s="10">
        <v>268</v>
      </c>
      <c r="E6964" s="10" t="s">
        <v>34</v>
      </c>
      <c r="F6964" s="10" t="s">
        <v>646</v>
      </c>
    </row>
    <row r="6965" spans="1:24" x14ac:dyDescent="0.35">
      <c r="A6965" s="2">
        <v>43214</v>
      </c>
      <c r="B6965" s="36" t="s">
        <v>785</v>
      </c>
      <c r="C6965" s="10">
        <v>70</v>
      </c>
      <c r="D6965" s="10">
        <v>274</v>
      </c>
      <c r="E6965" s="10" t="s">
        <v>32</v>
      </c>
      <c r="F6965" s="10" t="s">
        <v>476</v>
      </c>
    </row>
    <row r="6966" spans="1:24" x14ac:dyDescent="0.35">
      <c r="A6966" s="2">
        <v>43214</v>
      </c>
      <c r="B6966" s="36" t="s">
        <v>785</v>
      </c>
      <c r="C6966" s="10">
        <v>72</v>
      </c>
      <c r="D6966" s="10">
        <v>245</v>
      </c>
      <c r="E6966" s="10" t="s">
        <v>32</v>
      </c>
      <c r="F6966" s="10" t="s">
        <v>360</v>
      </c>
      <c r="G6966" t="s">
        <v>475</v>
      </c>
    </row>
    <row r="6967" spans="1:24" x14ac:dyDescent="0.35">
      <c r="A6967" s="2">
        <v>43214</v>
      </c>
      <c r="B6967" s="36" t="s">
        <v>785</v>
      </c>
      <c r="C6967" s="10">
        <v>75</v>
      </c>
      <c r="D6967" s="10">
        <v>303</v>
      </c>
      <c r="E6967" s="10" t="s">
        <v>32</v>
      </c>
      <c r="F6967" s="10" t="s">
        <v>646</v>
      </c>
    </row>
    <row r="6968" spans="1:24" x14ac:dyDescent="0.35">
      <c r="A6968" s="2">
        <v>43214</v>
      </c>
      <c r="B6968" s="36" t="s">
        <v>785</v>
      </c>
      <c r="C6968" s="10">
        <v>69</v>
      </c>
      <c r="D6968" s="10">
        <v>266</v>
      </c>
      <c r="E6968" s="10" t="s">
        <v>34</v>
      </c>
      <c r="F6968" s="10" t="s">
        <v>646</v>
      </c>
    </row>
    <row r="6969" spans="1:24" x14ac:dyDescent="0.35">
      <c r="A6969" s="2">
        <v>43214</v>
      </c>
      <c r="B6969" s="36" t="s">
        <v>785</v>
      </c>
      <c r="C6969" s="10">
        <v>67</v>
      </c>
      <c r="D6969" s="10">
        <v>229</v>
      </c>
      <c r="E6969" s="10" t="s">
        <v>34</v>
      </c>
      <c r="F6969" s="10" t="s">
        <v>646</v>
      </c>
    </row>
    <row r="6970" spans="1:24" x14ac:dyDescent="0.35">
      <c r="A6970" s="2">
        <v>43214</v>
      </c>
      <c r="B6970" s="36" t="s">
        <v>785</v>
      </c>
      <c r="C6970" s="10">
        <v>75</v>
      </c>
      <c r="D6970" s="10">
        <v>358</v>
      </c>
      <c r="E6970" s="10" t="s">
        <v>32</v>
      </c>
      <c r="F6970" s="10" t="s">
        <v>293</v>
      </c>
    </row>
    <row r="6971" spans="1:24" x14ac:dyDescent="0.35">
      <c r="A6971" s="2">
        <v>43214</v>
      </c>
      <c r="B6971" s="36" t="s">
        <v>785</v>
      </c>
      <c r="C6971" s="10">
        <v>78</v>
      </c>
      <c r="D6971" s="10">
        <v>331</v>
      </c>
      <c r="E6971" s="10" t="s">
        <v>34</v>
      </c>
      <c r="F6971" s="10" t="s">
        <v>646</v>
      </c>
    </row>
    <row r="6972" spans="1:24" x14ac:dyDescent="0.35">
      <c r="A6972" s="2">
        <v>43214</v>
      </c>
      <c r="B6972" s="36" t="s">
        <v>785</v>
      </c>
      <c r="C6972" s="10">
        <v>69</v>
      </c>
      <c r="D6972" s="10">
        <v>276</v>
      </c>
      <c r="E6972" s="10" t="s">
        <v>34</v>
      </c>
      <c r="F6972" s="10" t="s">
        <v>293</v>
      </c>
    </row>
    <row r="6973" spans="1:24" x14ac:dyDescent="0.35">
      <c r="A6973" s="2">
        <v>43214</v>
      </c>
      <c r="B6973" s="36" t="s">
        <v>785</v>
      </c>
      <c r="C6973" s="10">
        <v>68</v>
      </c>
      <c r="D6973" s="10">
        <v>229</v>
      </c>
      <c r="E6973" s="10" t="s">
        <v>32</v>
      </c>
      <c r="F6973" s="10" t="s">
        <v>646</v>
      </c>
    </row>
    <row r="6974" spans="1:24" x14ac:dyDescent="0.35">
      <c r="A6974" s="2">
        <v>43214</v>
      </c>
      <c r="B6974" s="36" t="s">
        <v>785</v>
      </c>
      <c r="C6974" s="10">
        <v>71</v>
      </c>
      <c r="D6974" s="10">
        <v>228</v>
      </c>
      <c r="E6974" s="10" t="s">
        <v>32</v>
      </c>
      <c r="F6974" s="10" t="s">
        <v>293</v>
      </c>
      <c r="N6974" t="s">
        <v>42</v>
      </c>
      <c r="O6974" t="s">
        <v>39</v>
      </c>
      <c r="P6974" t="s">
        <v>40</v>
      </c>
      <c r="Q6974" t="s">
        <v>36</v>
      </c>
      <c r="R6974" t="s">
        <v>33</v>
      </c>
      <c r="S6974" t="s">
        <v>34</v>
      </c>
      <c r="T6974" t="s">
        <v>32</v>
      </c>
      <c r="U6974" t="s">
        <v>37</v>
      </c>
      <c r="V6974" t="s">
        <v>159</v>
      </c>
    </row>
    <row r="6975" spans="1:24" x14ac:dyDescent="0.35">
      <c r="A6975" s="2">
        <v>43214</v>
      </c>
      <c r="B6975" s="36" t="s">
        <v>785</v>
      </c>
      <c r="C6975" s="10">
        <v>71</v>
      </c>
      <c r="D6975" s="10">
        <v>250</v>
      </c>
      <c r="E6975" s="10" t="s">
        <v>34</v>
      </c>
      <c r="F6975" s="10" t="s">
        <v>293</v>
      </c>
      <c r="N6975" s="5">
        <f>COUNTIF(E6877:E6976,"VA")</f>
        <v>0</v>
      </c>
      <c r="O6975" s="5">
        <f>COUNTIF(E6877:E6976,"VB")</f>
        <v>0</v>
      </c>
      <c r="P6975" s="5">
        <f>COUNTIF(E6877:E6976,"VIA0")</f>
        <v>0</v>
      </c>
      <c r="Q6975" s="5">
        <f>COUNTIF(E6877:E6976,"VIA1")</f>
        <v>2</v>
      </c>
      <c r="R6975" s="5">
        <f>COUNTIF(E6877:E6976,"VIA2")</f>
        <v>10</v>
      </c>
      <c r="S6975" s="5">
        <f>COUNTIF(E6877:E6976,"VIA3")</f>
        <v>49</v>
      </c>
      <c r="T6975" s="5">
        <f>COUNTIF(E6877:E6976,"VIA4")</f>
        <v>39</v>
      </c>
      <c r="U6975" s="5">
        <f>COUNTIF(E6877:E6976,"VIB")</f>
        <v>0</v>
      </c>
      <c r="V6975" s="5">
        <f>COUNTIF(E6926:E6976,"VII")</f>
        <v>0</v>
      </c>
      <c r="W6975">
        <f>AVERAGE(C6877:C6976)</f>
        <v>69.42</v>
      </c>
      <c r="X6975">
        <f>AVERAGE(D6877:D6976)</f>
        <v>271.81</v>
      </c>
    </row>
    <row r="6976" spans="1:24" s="4" customFormat="1" x14ac:dyDescent="0.35">
      <c r="A6976" s="3">
        <v>43214</v>
      </c>
      <c r="B6976" s="26" t="s">
        <v>785</v>
      </c>
      <c r="C6976" s="11">
        <v>72</v>
      </c>
      <c r="D6976" s="11">
        <v>328</v>
      </c>
      <c r="E6976" s="11" t="s">
        <v>34</v>
      </c>
      <c r="F6976" s="11" t="s">
        <v>646</v>
      </c>
      <c r="N6976" s="6">
        <f>N6975/100*100</f>
        <v>0</v>
      </c>
      <c r="O6976" s="6">
        <f t="shared" ref="O6976:V6976" si="237">O6975/100*100</f>
        <v>0</v>
      </c>
      <c r="P6976" s="6">
        <f t="shared" si="237"/>
        <v>0</v>
      </c>
      <c r="Q6976" s="6">
        <f t="shared" si="237"/>
        <v>2</v>
      </c>
      <c r="R6976" s="6">
        <f t="shared" si="237"/>
        <v>10</v>
      </c>
      <c r="S6976" s="6">
        <f t="shared" si="237"/>
        <v>49</v>
      </c>
      <c r="T6976" s="6">
        <f t="shared" si="237"/>
        <v>39</v>
      </c>
      <c r="U6976" s="6">
        <f t="shared" si="237"/>
        <v>0</v>
      </c>
      <c r="V6976" s="6">
        <f t="shared" si="237"/>
        <v>0</v>
      </c>
    </row>
    <row r="6977" spans="1:14" x14ac:dyDescent="0.35">
      <c r="A6977" s="2">
        <v>43214</v>
      </c>
      <c r="B6977" s="36" t="s">
        <v>667</v>
      </c>
      <c r="C6977" s="10">
        <v>66</v>
      </c>
      <c r="D6977" s="10">
        <v>219</v>
      </c>
      <c r="E6977" s="10" t="s">
        <v>34</v>
      </c>
      <c r="F6977" s="10" t="s">
        <v>293</v>
      </c>
      <c r="N6977">
        <f>COUNTIF(F6977:F7028,"F0")</f>
        <v>3</v>
      </c>
    </row>
    <row r="6978" spans="1:14" x14ac:dyDescent="0.35">
      <c r="A6978" s="2">
        <v>43214</v>
      </c>
      <c r="B6978" s="36" t="s">
        <v>667</v>
      </c>
      <c r="C6978" s="10">
        <v>69</v>
      </c>
      <c r="D6978" s="10">
        <v>202</v>
      </c>
      <c r="E6978" s="10" t="s">
        <v>34</v>
      </c>
      <c r="F6978" s="10" t="s">
        <v>646</v>
      </c>
    </row>
    <row r="6979" spans="1:14" x14ac:dyDescent="0.35">
      <c r="A6979" s="2">
        <v>43214</v>
      </c>
      <c r="B6979" s="36" t="s">
        <v>667</v>
      </c>
      <c r="C6979" s="10">
        <v>70</v>
      </c>
      <c r="D6979" s="10">
        <v>296</v>
      </c>
      <c r="E6979" s="10" t="s">
        <v>32</v>
      </c>
      <c r="F6979" s="10" t="s">
        <v>646</v>
      </c>
    </row>
    <row r="6980" spans="1:14" x14ac:dyDescent="0.35">
      <c r="A6980" s="2">
        <v>43214</v>
      </c>
      <c r="B6980" s="36" t="s">
        <v>667</v>
      </c>
      <c r="C6980" s="10">
        <v>77</v>
      </c>
      <c r="D6980" s="10">
        <v>322</v>
      </c>
      <c r="E6980" s="10" t="s">
        <v>32</v>
      </c>
      <c r="F6980" s="10" t="s">
        <v>198</v>
      </c>
    </row>
    <row r="6981" spans="1:14" x14ac:dyDescent="0.35">
      <c r="A6981" s="2">
        <v>43214</v>
      </c>
      <c r="B6981" s="36" t="s">
        <v>667</v>
      </c>
      <c r="C6981" s="10">
        <v>74</v>
      </c>
      <c r="D6981" s="10">
        <v>290</v>
      </c>
      <c r="E6981" s="10" t="s">
        <v>32</v>
      </c>
      <c r="F6981" s="10" t="s">
        <v>476</v>
      </c>
    </row>
    <row r="6982" spans="1:14" x14ac:dyDescent="0.35">
      <c r="A6982" s="2">
        <v>43214</v>
      </c>
      <c r="B6982" s="36" t="s">
        <v>667</v>
      </c>
      <c r="C6982" s="10">
        <v>73</v>
      </c>
      <c r="D6982" s="10">
        <v>324</v>
      </c>
      <c r="E6982" s="10" t="s">
        <v>34</v>
      </c>
      <c r="F6982" s="10" t="s">
        <v>646</v>
      </c>
    </row>
    <row r="6983" spans="1:14" x14ac:dyDescent="0.35">
      <c r="A6983" s="2">
        <v>43214</v>
      </c>
      <c r="B6983" s="36" t="s">
        <v>667</v>
      </c>
      <c r="C6983" s="10">
        <v>68</v>
      </c>
      <c r="D6983" s="10">
        <v>257</v>
      </c>
      <c r="E6983" s="10" t="s">
        <v>33</v>
      </c>
      <c r="F6983" s="10" t="s">
        <v>198</v>
      </c>
    </row>
    <row r="6984" spans="1:14" x14ac:dyDescent="0.35">
      <c r="A6984" s="2">
        <v>43214</v>
      </c>
      <c r="B6984" s="36" t="s">
        <v>667</v>
      </c>
      <c r="C6984" s="10">
        <v>66</v>
      </c>
      <c r="D6984" s="10">
        <v>183</v>
      </c>
      <c r="E6984" s="10" t="s">
        <v>32</v>
      </c>
      <c r="F6984" s="10" t="s">
        <v>293</v>
      </c>
    </row>
    <row r="6985" spans="1:14" x14ac:dyDescent="0.35">
      <c r="A6985" s="2">
        <v>43214</v>
      </c>
      <c r="B6985" s="36" t="s">
        <v>667</v>
      </c>
      <c r="C6985" s="10">
        <v>76</v>
      </c>
      <c r="D6985" s="10">
        <v>370</v>
      </c>
      <c r="E6985" s="10" t="s">
        <v>32</v>
      </c>
      <c r="F6985" s="10" t="s">
        <v>198</v>
      </c>
    </row>
    <row r="6986" spans="1:14" x14ac:dyDescent="0.35">
      <c r="A6986" s="2">
        <v>43214</v>
      </c>
      <c r="B6986" s="36" t="s">
        <v>667</v>
      </c>
      <c r="C6986" s="10">
        <v>73</v>
      </c>
      <c r="D6986" s="10">
        <v>323</v>
      </c>
      <c r="E6986" s="10" t="s">
        <v>32</v>
      </c>
      <c r="F6986" s="10" t="s">
        <v>360</v>
      </c>
    </row>
    <row r="6987" spans="1:14" x14ac:dyDescent="0.35">
      <c r="A6987" s="2">
        <v>43214</v>
      </c>
      <c r="B6987" s="36" t="s">
        <v>667</v>
      </c>
      <c r="C6987" s="10">
        <v>74</v>
      </c>
      <c r="D6987" s="10">
        <v>298</v>
      </c>
      <c r="E6987" s="10" t="s">
        <v>34</v>
      </c>
      <c r="F6987" s="10" t="s">
        <v>646</v>
      </c>
    </row>
    <row r="6988" spans="1:14" x14ac:dyDescent="0.35">
      <c r="A6988" s="2">
        <v>43214</v>
      </c>
      <c r="B6988" s="36" t="s">
        <v>667</v>
      </c>
      <c r="C6988" s="10">
        <v>71</v>
      </c>
      <c r="D6988" s="10">
        <v>262</v>
      </c>
      <c r="E6988" s="10" t="s">
        <v>32</v>
      </c>
      <c r="F6988" s="10" t="s">
        <v>293</v>
      </c>
    </row>
    <row r="6989" spans="1:14" x14ac:dyDescent="0.35">
      <c r="A6989" s="2">
        <v>43214</v>
      </c>
      <c r="B6989" s="36" t="s">
        <v>667</v>
      </c>
      <c r="C6989" s="10">
        <v>73</v>
      </c>
      <c r="D6989" s="10">
        <v>336</v>
      </c>
      <c r="E6989" s="10" t="s">
        <v>34</v>
      </c>
      <c r="F6989" s="10" t="s">
        <v>646</v>
      </c>
    </row>
    <row r="6990" spans="1:14" x14ac:dyDescent="0.35">
      <c r="A6990" s="2">
        <v>43214</v>
      </c>
      <c r="B6990" s="36" t="s">
        <v>667</v>
      </c>
      <c r="C6990" s="10">
        <v>74</v>
      </c>
      <c r="D6990" s="10">
        <v>229</v>
      </c>
      <c r="E6990" s="10" t="s">
        <v>32</v>
      </c>
      <c r="F6990" s="10" t="s">
        <v>198</v>
      </c>
    </row>
    <row r="6991" spans="1:14" x14ac:dyDescent="0.35">
      <c r="A6991" s="2">
        <v>43214</v>
      </c>
      <c r="B6991" s="36" t="s">
        <v>667</v>
      </c>
      <c r="C6991" s="10">
        <v>70</v>
      </c>
      <c r="D6991" s="10">
        <v>242</v>
      </c>
      <c r="E6991" s="10" t="s">
        <v>32</v>
      </c>
      <c r="F6991" s="10" t="s">
        <v>646</v>
      </c>
    </row>
    <row r="6992" spans="1:14" x14ac:dyDescent="0.35">
      <c r="A6992" s="2">
        <v>43214</v>
      </c>
      <c r="B6992" s="36" t="s">
        <v>667</v>
      </c>
      <c r="C6992" s="10">
        <v>72</v>
      </c>
      <c r="D6992" s="10">
        <v>378</v>
      </c>
      <c r="E6992" s="10" t="s">
        <v>34</v>
      </c>
      <c r="F6992" s="10" t="s">
        <v>646</v>
      </c>
    </row>
    <row r="6993" spans="1:7" x14ac:dyDescent="0.35">
      <c r="A6993" s="2">
        <v>43214</v>
      </c>
      <c r="B6993" s="36" t="s">
        <v>667</v>
      </c>
      <c r="C6993" s="10">
        <v>73</v>
      </c>
      <c r="D6993" s="10">
        <v>295</v>
      </c>
      <c r="E6993" s="10" t="s">
        <v>32</v>
      </c>
      <c r="F6993" s="10" t="s">
        <v>646</v>
      </c>
    </row>
    <row r="6994" spans="1:7" x14ac:dyDescent="0.35">
      <c r="A6994" s="2">
        <v>43214</v>
      </c>
      <c r="B6994" s="36" t="s">
        <v>667</v>
      </c>
      <c r="C6994" s="10">
        <v>75</v>
      </c>
      <c r="D6994" s="10">
        <v>338</v>
      </c>
      <c r="E6994" s="10" t="s">
        <v>33</v>
      </c>
      <c r="F6994" s="10" t="s">
        <v>293</v>
      </c>
    </row>
    <row r="6995" spans="1:7" x14ac:dyDescent="0.35">
      <c r="A6995" s="2">
        <v>43214</v>
      </c>
      <c r="B6995" s="36" t="s">
        <v>667</v>
      </c>
      <c r="C6995" s="10">
        <v>67</v>
      </c>
      <c r="D6995" s="10">
        <v>224</v>
      </c>
      <c r="E6995" s="10" t="s">
        <v>32</v>
      </c>
      <c r="F6995" s="10" t="s">
        <v>360</v>
      </c>
      <c r="G6995" t="s">
        <v>475</v>
      </c>
    </row>
    <row r="6996" spans="1:7" x14ac:dyDescent="0.35">
      <c r="A6996" s="2">
        <v>43214</v>
      </c>
      <c r="B6996" s="36" t="s">
        <v>667</v>
      </c>
      <c r="C6996" s="10">
        <v>73</v>
      </c>
      <c r="D6996" s="10">
        <v>278</v>
      </c>
      <c r="E6996" s="10" t="s">
        <v>32</v>
      </c>
      <c r="F6996" s="10" t="s">
        <v>198</v>
      </c>
    </row>
    <row r="6997" spans="1:7" x14ac:dyDescent="0.35">
      <c r="A6997" s="2">
        <v>43214</v>
      </c>
      <c r="B6997" s="36" t="s">
        <v>667</v>
      </c>
      <c r="C6997" s="10">
        <v>68</v>
      </c>
      <c r="D6997" s="10">
        <v>222</v>
      </c>
      <c r="E6997" s="10" t="s">
        <v>34</v>
      </c>
      <c r="F6997" s="10" t="s">
        <v>646</v>
      </c>
    </row>
    <row r="6998" spans="1:7" x14ac:dyDescent="0.35">
      <c r="A6998" s="2">
        <v>43214</v>
      </c>
      <c r="B6998" s="36" t="s">
        <v>667</v>
      </c>
      <c r="C6998" s="10">
        <v>73</v>
      </c>
      <c r="D6998" s="10">
        <v>283</v>
      </c>
      <c r="E6998" s="10" t="s">
        <v>32</v>
      </c>
      <c r="F6998" s="10" t="s">
        <v>646</v>
      </c>
      <c r="G6998" t="s">
        <v>475</v>
      </c>
    </row>
    <row r="6999" spans="1:7" x14ac:dyDescent="0.35">
      <c r="A6999" s="2">
        <v>43214</v>
      </c>
      <c r="B6999" s="36" t="s">
        <v>667</v>
      </c>
      <c r="C6999" s="10">
        <v>69</v>
      </c>
      <c r="D6999" s="10">
        <v>257</v>
      </c>
      <c r="E6999" s="10" t="s">
        <v>34</v>
      </c>
      <c r="F6999" s="10" t="s">
        <v>646</v>
      </c>
    </row>
    <row r="7000" spans="1:7" x14ac:dyDescent="0.35">
      <c r="A7000" s="2">
        <v>43214</v>
      </c>
      <c r="B7000" s="36" t="s">
        <v>667</v>
      </c>
      <c r="C7000" s="10">
        <v>70</v>
      </c>
      <c r="D7000" s="10">
        <v>277</v>
      </c>
      <c r="E7000" s="10" t="s">
        <v>34</v>
      </c>
      <c r="F7000" s="10" t="s">
        <v>293</v>
      </c>
    </row>
    <row r="7001" spans="1:7" x14ac:dyDescent="0.35">
      <c r="A7001" s="2">
        <v>43214</v>
      </c>
      <c r="B7001" s="36" t="s">
        <v>667</v>
      </c>
      <c r="C7001" s="10">
        <v>65</v>
      </c>
      <c r="D7001" s="10">
        <v>226</v>
      </c>
      <c r="E7001" s="10" t="s">
        <v>33</v>
      </c>
      <c r="F7001" s="10" t="s">
        <v>293</v>
      </c>
    </row>
    <row r="7002" spans="1:7" x14ac:dyDescent="0.35">
      <c r="A7002" s="2">
        <v>43214</v>
      </c>
      <c r="B7002" s="36" t="s">
        <v>667</v>
      </c>
      <c r="C7002" s="10">
        <v>68</v>
      </c>
      <c r="D7002" s="10">
        <v>221</v>
      </c>
      <c r="E7002" s="10" t="s">
        <v>32</v>
      </c>
      <c r="F7002" s="10" t="s">
        <v>360</v>
      </c>
      <c r="G7002" t="s">
        <v>475</v>
      </c>
    </row>
    <row r="7003" spans="1:7" x14ac:dyDescent="0.35">
      <c r="A7003" s="2">
        <v>43214</v>
      </c>
      <c r="B7003" s="36" t="s">
        <v>667</v>
      </c>
      <c r="C7003" s="10">
        <v>69</v>
      </c>
      <c r="D7003" s="10">
        <v>231</v>
      </c>
      <c r="E7003" s="10" t="s">
        <v>33</v>
      </c>
      <c r="F7003" s="10" t="s">
        <v>646</v>
      </c>
    </row>
    <row r="7004" spans="1:7" x14ac:dyDescent="0.35">
      <c r="A7004" s="2">
        <v>43214</v>
      </c>
      <c r="B7004" s="36" t="s">
        <v>667</v>
      </c>
      <c r="C7004" s="10">
        <v>70</v>
      </c>
      <c r="D7004" s="10">
        <v>229</v>
      </c>
      <c r="E7004" s="10" t="s">
        <v>33</v>
      </c>
      <c r="F7004" s="10" t="s">
        <v>476</v>
      </c>
    </row>
    <row r="7005" spans="1:7" x14ac:dyDescent="0.35">
      <c r="A7005" s="2">
        <v>43214</v>
      </c>
      <c r="B7005" s="36" t="s">
        <v>667</v>
      </c>
      <c r="C7005" s="10">
        <v>69</v>
      </c>
      <c r="D7005" s="10">
        <v>259</v>
      </c>
      <c r="E7005" s="10" t="s">
        <v>36</v>
      </c>
      <c r="F7005" s="10" t="s">
        <v>293</v>
      </c>
    </row>
    <row r="7006" spans="1:7" x14ac:dyDescent="0.35">
      <c r="A7006" s="2">
        <v>43214</v>
      </c>
      <c r="B7006" s="36" t="s">
        <v>667</v>
      </c>
      <c r="C7006" s="10">
        <v>64</v>
      </c>
      <c r="D7006" s="10">
        <v>204</v>
      </c>
      <c r="E7006" s="10" t="s">
        <v>34</v>
      </c>
      <c r="F7006" s="10" t="s">
        <v>293</v>
      </c>
    </row>
    <row r="7007" spans="1:7" x14ac:dyDescent="0.35">
      <c r="A7007" s="2">
        <v>43214</v>
      </c>
      <c r="B7007" s="36" t="s">
        <v>667</v>
      </c>
      <c r="C7007" s="10">
        <v>69</v>
      </c>
      <c r="D7007" s="10">
        <v>261</v>
      </c>
      <c r="E7007" s="10" t="s">
        <v>33</v>
      </c>
      <c r="F7007" s="10" t="s">
        <v>476</v>
      </c>
    </row>
    <row r="7008" spans="1:7" x14ac:dyDescent="0.35">
      <c r="A7008" s="2">
        <v>43214</v>
      </c>
      <c r="B7008" s="36" t="s">
        <v>667</v>
      </c>
      <c r="C7008" s="10">
        <v>60</v>
      </c>
      <c r="D7008" s="10">
        <v>202</v>
      </c>
      <c r="E7008" s="10" t="s">
        <v>34</v>
      </c>
      <c r="F7008" s="10" t="s">
        <v>646</v>
      </c>
    </row>
    <row r="7009" spans="1:6" x14ac:dyDescent="0.35">
      <c r="A7009" s="2">
        <v>43214</v>
      </c>
      <c r="B7009" s="36" t="s">
        <v>667</v>
      </c>
      <c r="C7009" s="10">
        <v>72</v>
      </c>
      <c r="D7009" s="10">
        <v>245</v>
      </c>
      <c r="E7009" s="10" t="s">
        <v>36</v>
      </c>
      <c r="F7009" s="10" t="s">
        <v>646</v>
      </c>
    </row>
    <row r="7010" spans="1:6" x14ac:dyDescent="0.35">
      <c r="A7010" s="2">
        <v>43214</v>
      </c>
      <c r="B7010" s="36" t="s">
        <v>667</v>
      </c>
      <c r="C7010" s="10">
        <v>65</v>
      </c>
      <c r="D7010" s="10">
        <v>264</v>
      </c>
      <c r="E7010" s="10" t="s">
        <v>33</v>
      </c>
      <c r="F7010" s="10" t="s">
        <v>646</v>
      </c>
    </row>
    <row r="7011" spans="1:6" x14ac:dyDescent="0.35">
      <c r="A7011" s="2">
        <v>43214</v>
      </c>
      <c r="B7011" s="36" t="s">
        <v>667</v>
      </c>
      <c r="C7011" s="10">
        <v>66</v>
      </c>
      <c r="D7011" s="10">
        <v>260</v>
      </c>
      <c r="E7011" s="10" t="s">
        <v>34</v>
      </c>
      <c r="F7011" s="10" t="s">
        <v>293</v>
      </c>
    </row>
    <row r="7012" spans="1:6" x14ac:dyDescent="0.35">
      <c r="A7012" s="2">
        <v>43214</v>
      </c>
      <c r="B7012" s="36" t="s">
        <v>667</v>
      </c>
      <c r="C7012" s="10">
        <v>67</v>
      </c>
      <c r="D7012" s="10">
        <v>288</v>
      </c>
      <c r="E7012" s="10" t="s">
        <v>33</v>
      </c>
      <c r="F7012" s="10" t="s">
        <v>293</v>
      </c>
    </row>
    <row r="7013" spans="1:6" x14ac:dyDescent="0.35">
      <c r="A7013" s="2">
        <v>43214</v>
      </c>
      <c r="B7013" s="36" t="s">
        <v>667</v>
      </c>
      <c r="C7013" s="10">
        <v>73</v>
      </c>
      <c r="D7013" s="10">
        <v>234</v>
      </c>
      <c r="E7013" s="10" t="s">
        <v>34</v>
      </c>
      <c r="F7013" s="10" t="s">
        <v>646</v>
      </c>
    </row>
    <row r="7014" spans="1:6" x14ac:dyDescent="0.35">
      <c r="A7014" s="2">
        <v>43214</v>
      </c>
      <c r="B7014" s="36" t="s">
        <v>667</v>
      </c>
      <c r="C7014" s="10">
        <v>73</v>
      </c>
      <c r="D7014" s="10">
        <v>321</v>
      </c>
      <c r="E7014" s="10" t="s">
        <v>32</v>
      </c>
      <c r="F7014" s="10" t="s">
        <v>198</v>
      </c>
    </row>
    <row r="7015" spans="1:6" x14ac:dyDescent="0.35">
      <c r="A7015" s="2">
        <v>43214</v>
      </c>
      <c r="B7015" s="36" t="s">
        <v>667</v>
      </c>
      <c r="C7015" s="10">
        <v>80</v>
      </c>
      <c r="D7015" s="10">
        <v>438</v>
      </c>
      <c r="E7015" s="10" t="s">
        <v>34</v>
      </c>
      <c r="F7015" s="10" t="s">
        <v>646</v>
      </c>
    </row>
    <row r="7016" spans="1:6" x14ac:dyDescent="0.35">
      <c r="A7016" s="2">
        <v>43214</v>
      </c>
      <c r="B7016" s="36" t="s">
        <v>667</v>
      </c>
      <c r="C7016" s="10">
        <v>66</v>
      </c>
      <c r="D7016" s="10">
        <v>228</v>
      </c>
      <c r="E7016" s="10" t="s">
        <v>34</v>
      </c>
      <c r="F7016" s="10" t="s">
        <v>646</v>
      </c>
    </row>
    <row r="7017" spans="1:6" x14ac:dyDescent="0.35">
      <c r="A7017" s="2">
        <v>43214</v>
      </c>
      <c r="B7017" s="36" t="s">
        <v>667</v>
      </c>
      <c r="C7017" s="10">
        <v>72</v>
      </c>
      <c r="D7017" s="10">
        <v>330</v>
      </c>
      <c r="E7017" s="10" t="s">
        <v>34</v>
      </c>
      <c r="F7017" s="10" t="s">
        <v>646</v>
      </c>
    </row>
    <row r="7018" spans="1:6" x14ac:dyDescent="0.35">
      <c r="A7018" s="2">
        <v>43214</v>
      </c>
      <c r="B7018" s="36" t="s">
        <v>667</v>
      </c>
      <c r="C7018" s="10">
        <v>69</v>
      </c>
      <c r="D7018" s="10">
        <v>262</v>
      </c>
      <c r="E7018" s="10" t="s">
        <v>34</v>
      </c>
      <c r="F7018" s="10" t="s">
        <v>646</v>
      </c>
    </row>
    <row r="7019" spans="1:6" x14ac:dyDescent="0.35">
      <c r="A7019" s="2">
        <v>43214</v>
      </c>
      <c r="B7019" s="36" t="s">
        <v>667</v>
      </c>
      <c r="C7019" s="10">
        <v>74</v>
      </c>
      <c r="D7019" s="10">
        <v>346</v>
      </c>
      <c r="E7019" s="10" t="s">
        <v>32</v>
      </c>
      <c r="F7019" s="10" t="s">
        <v>646</v>
      </c>
    </row>
    <row r="7020" spans="1:6" x14ac:dyDescent="0.35">
      <c r="A7020" s="2">
        <v>43214</v>
      </c>
      <c r="B7020" s="36" t="s">
        <v>667</v>
      </c>
      <c r="C7020" s="10">
        <v>72</v>
      </c>
      <c r="D7020" s="10">
        <v>253</v>
      </c>
      <c r="E7020" s="10" t="s">
        <v>33</v>
      </c>
      <c r="F7020" s="10" t="s">
        <v>646</v>
      </c>
    </row>
    <row r="7021" spans="1:6" x14ac:dyDescent="0.35">
      <c r="A7021" s="2">
        <v>43214</v>
      </c>
      <c r="B7021" s="36" t="s">
        <v>667</v>
      </c>
      <c r="C7021" s="10">
        <v>74</v>
      </c>
      <c r="D7021" s="10">
        <v>360</v>
      </c>
      <c r="E7021" s="10" t="s">
        <v>32</v>
      </c>
      <c r="F7021" s="10" t="s">
        <v>293</v>
      </c>
    </row>
    <row r="7022" spans="1:6" x14ac:dyDescent="0.35">
      <c r="A7022" s="2">
        <v>43214</v>
      </c>
      <c r="B7022" s="36" t="s">
        <v>667</v>
      </c>
      <c r="C7022" s="10">
        <v>70</v>
      </c>
      <c r="D7022" s="10">
        <v>243</v>
      </c>
      <c r="E7022" s="10" t="s">
        <v>32</v>
      </c>
      <c r="F7022" s="10" t="s">
        <v>646</v>
      </c>
    </row>
    <row r="7023" spans="1:6" x14ac:dyDescent="0.35">
      <c r="A7023" s="2">
        <v>43214</v>
      </c>
      <c r="B7023" s="36" t="s">
        <v>667</v>
      </c>
      <c r="C7023" s="10">
        <v>69</v>
      </c>
      <c r="D7023" s="10">
        <v>253</v>
      </c>
      <c r="E7023" s="10" t="s">
        <v>32</v>
      </c>
      <c r="F7023" s="10" t="s">
        <v>293</v>
      </c>
    </row>
    <row r="7024" spans="1:6" x14ac:dyDescent="0.35">
      <c r="A7024" s="2">
        <v>43214</v>
      </c>
      <c r="B7024" s="36" t="s">
        <v>667</v>
      </c>
      <c r="C7024" s="10">
        <v>65</v>
      </c>
      <c r="D7024" s="10">
        <v>166</v>
      </c>
      <c r="E7024" s="10" t="s">
        <v>36</v>
      </c>
      <c r="F7024" s="10" t="s">
        <v>198</v>
      </c>
    </row>
    <row r="7025" spans="1:24" x14ac:dyDescent="0.35">
      <c r="A7025" s="2">
        <v>43214</v>
      </c>
      <c r="B7025" s="36" t="s">
        <v>667</v>
      </c>
      <c r="C7025" s="10">
        <v>64</v>
      </c>
      <c r="D7025" s="10">
        <v>180</v>
      </c>
      <c r="E7025" s="10" t="s">
        <v>32</v>
      </c>
      <c r="F7025" s="10" t="s">
        <v>360</v>
      </c>
      <c r="G7025" t="s">
        <v>475</v>
      </c>
      <c r="N7025" t="s">
        <v>42</v>
      </c>
      <c r="O7025" t="s">
        <v>39</v>
      </c>
      <c r="P7025" t="s">
        <v>40</v>
      </c>
      <c r="Q7025" t="s">
        <v>36</v>
      </c>
      <c r="R7025" t="s">
        <v>33</v>
      </c>
      <c r="S7025" t="s">
        <v>34</v>
      </c>
      <c r="T7025" t="s">
        <v>32</v>
      </c>
      <c r="U7025" t="s">
        <v>37</v>
      </c>
      <c r="V7025" t="s">
        <v>159</v>
      </c>
    </row>
    <row r="7026" spans="1:24" x14ac:dyDescent="0.35">
      <c r="A7026" s="2">
        <v>43214</v>
      </c>
      <c r="B7026" s="36" t="s">
        <v>667</v>
      </c>
      <c r="C7026" s="10">
        <v>68</v>
      </c>
      <c r="D7026" s="10">
        <v>223</v>
      </c>
      <c r="E7026" s="10" t="s">
        <v>34</v>
      </c>
      <c r="F7026" s="10" t="s">
        <v>293</v>
      </c>
      <c r="N7026" s="5">
        <f>COUNTIF(E6977:E7027,"VA")</f>
        <v>0</v>
      </c>
      <c r="O7026" s="5">
        <f>COUNTIF(E6977:E7027,"VB")</f>
        <v>0</v>
      </c>
      <c r="P7026" s="5">
        <f>COUNTIF(E6977:E7027,"VIA0")</f>
        <v>0</v>
      </c>
      <c r="Q7026" s="5">
        <f>COUNTIF(E6977:E7027,"VIA1")</f>
        <v>3</v>
      </c>
      <c r="R7026" s="5">
        <f>COUNTIF(E6977:E7027,"VIA2")</f>
        <v>9</v>
      </c>
      <c r="S7026" s="5">
        <f>COUNTIF(E6977:E7027,"VIA3")</f>
        <v>19</v>
      </c>
      <c r="T7026" s="5">
        <f>COUNTIF(E6977:E7027,"VIA4")</f>
        <v>20</v>
      </c>
      <c r="U7026" s="5">
        <f>COUNTIF(E6977:E7027,"VIB")</f>
        <v>0</v>
      </c>
      <c r="V7026" s="5">
        <f>COUNTIF(E6977:E7027,"VII")</f>
        <v>0</v>
      </c>
      <c r="W7026">
        <f>AVERAGE(C6977:C7027)</f>
        <v>69.980392156862749</v>
      </c>
      <c r="X7026">
        <f>AVERAGE(D6977:D7027)</f>
        <v>266.94117647058823</v>
      </c>
    </row>
    <row r="7027" spans="1:24" s="4" customFormat="1" x14ac:dyDescent="0.35">
      <c r="A7027" s="2">
        <v>43214</v>
      </c>
      <c r="B7027" s="26" t="s">
        <v>667</v>
      </c>
      <c r="C7027" s="11">
        <v>62</v>
      </c>
      <c r="D7027" s="11">
        <v>182</v>
      </c>
      <c r="E7027" s="11" t="s">
        <v>34</v>
      </c>
      <c r="F7027" s="11" t="s">
        <v>646</v>
      </c>
      <c r="N7027" s="6">
        <f>N7026/51*100</f>
        <v>0</v>
      </c>
      <c r="O7027" s="6">
        <f t="shared" ref="O7027:V7027" si="238">O7026/51*100</f>
        <v>0</v>
      </c>
      <c r="P7027" s="6">
        <f t="shared" si="238"/>
        <v>0</v>
      </c>
      <c r="Q7027" s="6">
        <f t="shared" si="238"/>
        <v>5.8823529411764701</v>
      </c>
      <c r="R7027" s="6">
        <f t="shared" si="238"/>
        <v>17.647058823529413</v>
      </c>
      <c r="S7027" s="6">
        <f t="shared" si="238"/>
        <v>37.254901960784316</v>
      </c>
      <c r="T7027" s="6">
        <f t="shared" si="238"/>
        <v>39.215686274509807</v>
      </c>
      <c r="U7027" s="6">
        <f t="shared" si="238"/>
        <v>0</v>
      </c>
      <c r="V7027" s="6">
        <f t="shared" si="238"/>
        <v>0</v>
      </c>
    </row>
    <row r="7028" spans="1:24" s="22" customFormat="1" x14ac:dyDescent="0.35">
      <c r="A7028" s="19">
        <v>43215</v>
      </c>
      <c r="B7028" s="72" t="s">
        <v>29</v>
      </c>
      <c r="C7028" s="20">
        <v>114</v>
      </c>
      <c r="D7028" s="20">
        <v>1905</v>
      </c>
      <c r="E7028" s="22" t="s">
        <v>59</v>
      </c>
    </row>
    <row r="7029" spans="1:24" s="22" customFormat="1" x14ac:dyDescent="0.35">
      <c r="A7029" s="19">
        <v>43215</v>
      </c>
      <c r="B7029" s="72" t="s">
        <v>38</v>
      </c>
      <c r="C7029" s="22">
        <v>107</v>
      </c>
      <c r="D7029" s="22">
        <v>1365</v>
      </c>
      <c r="E7029" s="22" t="s">
        <v>59</v>
      </c>
    </row>
    <row r="7030" spans="1:24" s="22" customFormat="1" x14ac:dyDescent="0.35">
      <c r="A7030" s="19">
        <v>43216</v>
      </c>
      <c r="B7030" s="72" t="s">
        <v>29</v>
      </c>
      <c r="C7030" s="20">
        <v>136</v>
      </c>
      <c r="D7030" s="20">
        <v>3106</v>
      </c>
      <c r="E7030" s="20" t="s">
        <v>59</v>
      </c>
    </row>
    <row r="7031" spans="1:24" s="5" customFormat="1" x14ac:dyDescent="0.35">
      <c r="A7031" s="13">
        <v>43216</v>
      </c>
      <c r="B7031" s="36" t="s">
        <v>38</v>
      </c>
      <c r="C7031" s="10">
        <v>112</v>
      </c>
      <c r="D7031" s="10">
        <v>1682</v>
      </c>
      <c r="E7031" s="10" t="s">
        <v>59</v>
      </c>
    </row>
    <row r="7032" spans="1:24" x14ac:dyDescent="0.35">
      <c r="A7032" s="13">
        <v>43216</v>
      </c>
      <c r="B7032" s="36" t="s">
        <v>38</v>
      </c>
      <c r="C7032" s="10">
        <v>101</v>
      </c>
      <c r="D7032" s="10">
        <v>1146</v>
      </c>
      <c r="E7032" s="10" t="s">
        <v>59</v>
      </c>
    </row>
    <row r="7033" spans="1:24" s="4" customFormat="1" x14ac:dyDescent="0.35">
      <c r="A7033" s="3">
        <v>43216</v>
      </c>
      <c r="B7033" s="26" t="s">
        <v>38</v>
      </c>
      <c r="C7033" s="11">
        <v>152</v>
      </c>
      <c r="D7033" s="11">
        <v>5628</v>
      </c>
      <c r="E7033" s="11" t="s">
        <v>59</v>
      </c>
    </row>
    <row r="7034" spans="1:24" x14ac:dyDescent="0.35">
      <c r="A7034" s="2">
        <v>43222</v>
      </c>
      <c r="B7034" s="36" t="s">
        <v>38</v>
      </c>
      <c r="C7034" s="10">
        <v>142</v>
      </c>
      <c r="D7034" s="10">
        <v>2699</v>
      </c>
      <c r="E7034" s="10" t="s">
        <v>59</v>
      </c>
    </row>
    <row r="7035" spans="1:24" x14ac:dyDescent="0.35">
      <c r="A7035" s="2">
        <v>43222</v>
      </c>
      <c r="B7035" s="36" t="s">
        <v>38</v>
      </c>
      <c r="C7035" s="10">
        <v>122</v>
      </c>
      <c r="D7035" s="10">
        <v>2322</v>
      </c>
      <c r="E7035" s="10" t="s">
        <v>59</v>
      </c>
    </row>
    <row r="7036" spans="1:24" x14ac:dyDescent="0.35">
      <c r="A7036" s="2">
        <v>43222</v>
      </c>
      <c r="B7036" s="36" t="s">
        <v>38</v>
      </c>
      <c r="C7036" s="10">
        <v>150</v>
      </c>
      <c r="D7036" s="10">
        <v>4328</v>
      </c>
      <c r="E7036" s="10" t="s">
        <v>59</v>
      </c>
    </row>
    <row r="7037" spans="1:24" x14ac:dyDescent="0.35">
      <c r="A7037" s="2">
        <v>43222</v>
      </c>
      <c r="B7037" s="36" t="s">
        <v>38</v>
      </c>
      <c r="C7037" s="10">
        <v>88</v>
      </c>
      <c r="D7037" s="10">
        <v>748</v>
      </c>
      <c r="E7037" s="10" t="s">
        <v>59</v>
      </c>
    </row>
    <row r="7038" spans="1:24" x14ac:dyDescent="0.35">
      <c r="A7038" s="2">
        <v>43222</v>
      </c>
      <c r="B7038" s="36" t="s">
        <v>38</v>
      </c>
      <c r="C7038" s="10">
        <v>126</v>
      </c>
      <c r="D7038" s="10">
        <v>2691</v>
      </c>
      <c r="E7038" s="10" t="s">
        <v>59</v>
      </c>
    </row>
    <row r="7039" spans="1:24" x14ac:dyDescent="0.35">
      <c r="A7039" s="2">
        <v>43222</v>
      </c>
      <c r="B7039" s="36" t="s">
        <v>38</v>
      </c>
      <c r="C7039" s="10">
        <v>148</v>
      </c>
      <c r="D7039" s="10">
        <v>4960</v>
      </c>
      <c r="E7039" s="10" t="s">
        <v>59</v>
      </c>
    </row>
    <row r="7040" spans="1:24" x14ac:dyDescent="0.35">
      <c r="A7040" s="2">
        <v>43222</v>
      </c>
      <c r="B7040" s="36" t="s">
        <v>38</v>
      </c>
      <c r="C7040" s="10">
        <v>117</v>
      </c>
      <c r="D7040" s="10">
        <v>8262</v>
      </c>
      <c r="E7040" s="10" t="s">
        <v>59</v>
      </c>
      <c r="M7040">
        <f>COUNTIF(F7040:F7145,"F0")</f>
        <v>19</v>
      </c>
    </row>
    <row r="7041" spans="1:7" x14ac:dyDescent="0.35">
      <c r="A7041" s="2">
        <v>43222</v>
      </c>
      <c r="B7041" s="36" t="s">
        <v>38</v>
      </c>
      <c r="C7041" s="10">
        <v>72</v>
      </c>
      <c r="D7041" s="10">
        <v>330</v>
      </c>
      <c r="E7041" s="10" t="s">
        <v>34</v>
      </c>
      <c r="F7041" t="s">
        <v>476</v>
      </c>
    </row>
    <row r="7042" spans="1:7" x14ac:dyDescent="0.35">
      <c r="A7042" s="2">
        <v>43222</v>
      </c>
      <c r="B7042" s="36" t="s">
        <v>38</v>
      </c>
      <c r="C7042" s="10">
        <v>68</v>
      </c>
      <c r="D7042" s="10">
        <v>234</v>
      </c>
      <c r="E7042" s="10" t="s">
        <v>33</v>
      </c>
      <c r="F7042" t="s">
        <v>476</v>
      </c>
    </row>
    <row r="7043" spans="1:7" x14ac:dyDescent="0.35">
      <c r="A7043" s="2">
        <v>43222</v>
      </c>
      <c r="B7043" s="36" t="s">
        <v>38</v>
      </c>
      <c r="C7043" s="10">
        <v>82</v>
      </c>
      <c r="D7043" s="10">
        <v>451</v>
      </c>
      <c r="E7043" s="10" t="s">
        <v>32</v>
      </c>
      <c r="F7043" t="s">
        <v>360</v>
      </c>
    </row>
    <row r="7044" spans="1:7" x14ac:dyDescent="0.35">
      <c r="A7044" s="2">
        <v>43222</v>
      </c>
      <c r="B7044" s="36" t="s">
        <v>38</v>
      </c>
      <c r="C7044" s="10">
        <v>68</v>
      </c>
      <c r="D7044" s="10">
        <v>311</v>
      </c>
      <c r="E7044" s="10" t="s">
        <v>32</v>
      </c>
      <c r="F7044" t="s">
        <v>360</v>
      </c>
    </row>
    <row r="7045" spans="1:7" x14ac:dyDescent="0.35">
      <c r="A7045" s="2">
        <v>43222</v>
      </c>
      <c r="B7045" s="36" t="s">
        <v>38</v>
      </c>
      <c r="C7045" s="10">
        <v>72</v>
      </c>
      <c r="D7045" s="10">
        <v>240</v>
      </c>
      <c r="E7045" s="10" t="s">
        <v>32</v>
      </c>
      <c r="F7045" t="s">
        <v>293</v>
      </c>
    </row>
    <row r="7046" spans="1:7" x14ac:dyDescent="0.35">
      <c r="A7046" s="2">
        <v>43222</v>
      </c>
      <c r="B7046" s="36" t="s">
        <v>38</v>
      </c>
      <c r="C7046" s="10">
        <v>69</v>
      </c>
      <c r="D7046" s="10">
        <v>315</v>
      </c>
      <c r="E7046" s="10" t="s">
        <v>34</v>
      </c>
      <c r="F7046" t="s">
        <v>293</v>
      </c>
    </row>
    <row r="7047" spans="1:7" x14ac:dyDescent="0.35">
      <c r="A7047" s="2">
        <v>43222</v>
      </c>
      <c r="B7047" s="36" t="s">
        <v>38</v>
      </c>
      <c r="C7047" s="10">
        <v>70</v>
      </c>
      <c r="D7047" s="10">
        <v>292</v>
      </c>
      <c r="E7047" s="10" t="s">
        <v>32</v>
      </c>
      <c r="F7047" t="s">
        <v>360</v>
      </c>
    </row>
    <row r="7048" spans="1:7" x14ac:dyDescent="0.35">
      <c r="A7048" s="2">
        <v>43222</v>
      </c>
      <c r="B7048" s="36" t="s">
        <v>38</v>
      </c>
      <c r="C7048" s="10">
        <v>74</v>
      </c>
      <c r="D7048" s="10">
        <v>292</v>
      </c>
      <c r="E7048" s="10" t="s">
        <v>33</v>
      </c>
      <c r="F7048" t="s">
        <v>293</v>
      </c>
    </row>
    <row r="7049" spans="1:7" x14ac:dyDescent="0.35">
      <c r="A7049" s="2">
        <v>43222</v>
      </c>
      <c r="B7049" s="36" t="s">
        <v>38</v>
      </c>
      <c r="C7049" s="10">
        <v>72</v>
      </c>
      <c r="D7049" s="10">
        <v>289</v>
      </c>
      <c r="E7049" s="10" t="s">
        <v>32</v>
      </c>
      <c r="F7049" t="s">
        <v>476</v>
      </c>
    </row>
    <row r="7050" spans="1:7" x14ac:dyDescent="0.35">
      <c r="A7050" s="2">
        <v>43222</v>
      </c>
      <c r="B7050" s="36" t="s">
        <v>38</v>
      </c>
      <c r="C7050" s="10">
        <v>73</v>
      </c>
      <c r="D7050" s="10">
        <v>394</v>
      </c>
      <c r="E7050" s="10" t="s">
        <v>34</v>
      </c>
      <c r="F7050" t="s">
        <v>476</v>
      </c>
    </row>
    <row r="7051" spans="1:7" x14ac:dyDescent="0.35">
      <c r="A7051" s="2">
        <v>43222</v>
      </c>
      <c r="B7051" s="36" t="s">
        <v>38</v>
      </c>
      <c r="C7051" s="10">
        <v>73</v>
      </c>
      <c r="D7051" s="10">
        <v>367</v>
      </c>
      <c r="E7051" s="10" t="s">
        <v>32</v>
      </c>
      <c r="F7051" t="s">
        <v>293</v>
      </c>
    </row>
    <row r="7052" spans="1:7" x14ac:dyDescent="0.35">
      <c r="A7052" s="2">
        <v>43222</v>
      </c>
      <c r="B7052" s="36" t="s">
        <v>38</v>
      </c>
      <c r="C7052" s="10">
        <v>78</v>
      </c>
      <c r="D7052" s="10">
        <v>460</v>
      </c>
      <c r="E7052" s="10" t="s">
        <v>32</v>
      </c>
      <c r="F7052" t="s">
        <v>360</v>
      </c>
    </row>
    <row r="7053" spans="1:7" x14ac:dyDescent="0.35">
      <c r="A7053" s="2">
        <v>43222</v>
      </c>
      <c r="B7053" s="36" t="s">
        <v>38</v>
      </c>
      <c r="C7053" s="10">
        <v>69</v>
      </c>
      <c r="D7053" s="10">
        <v>299</v>
      </c>
      <c r="E7053" s="10" t="s">
        <v>34</v>
      </c>
      <c r="F7053" t="s">
        <v>293</v>
      </c>
      <c r="G7053" t="s">
        <v>161</v>
      </c>
    </row>
    <row r="7054" spans="1:7" x14ac:dyDescent="0.35">
      <c r="A7054" s="2">
        <v>43222</v>
      </c>
      <c r="B7054" s="36" t="s">
        <v>38</v>
      </c>
      <c r="C7054" s="10">
        <v>70</v>
      </c>
      <c r="D7054" s="10">
        <v>225</v>
      </c>
      <c r="E7054" s="10" t="s">
        <v>32</v>
      </c>
      <c r="F7054" t="s">
        <v>293</v>
      </c>
    </row>
    <row r="7055" spans="1:7" x14ac:dyDescent="0.35">
      <c r="A7055" s="2">
        <v>43222</v>
      </c>
      <c r="B7055" s="36" t="s">
        <v>38</v>
      </c>
      <c r="C7055" s="10">
        <v>71</v>
      </c>
      <c r="D7055" s="10">
        <v>307</v>
      </c>
      <c r="E7055" s="10" t="s">
        <v>32</v>
      </c>
      <c r="F7055" t="s">
        <v>198</v>
      </c>
      <c r="G7055" t="s">
        <v>161</v>
      </c>
    </row>
    <row r="7056" spans="1:7" x14ac:dyDescent="0.35">
      <c r="A7056" s="2">
        <v>43222</v>
      </c>
      <c r="B7056" s="36" t="s">
        <v>38</v>
      </c>
      <c r="C7056" s="10">
        <v>63</v>
      </c>
      <c r="D7056" s="10">
        <v>175</v>
      </c>
      <c r="E7056" s="10" t="s">
        <v>34</v>
      </c>
      <c r="F7056" t="s">
        <v>360</v>
      </c>
    </row>
    <row r="7057" spans="1:7" x14ac:dyDescent="0.35">
      <c r="A7057" s="2">
        <v>43222</v>
      </c>
      <c r="B7057" s="36" t="s">
        <v>38</v>
      </c>
      <c r="C7057" s="10">
        <v>73</v>
      </c>
      <c r="D7057" s="10">
        <v>324</v>
      </c>
      <c r="E7057" s="10" t="s">
        <v>32</v>
      </c>
      <c r="F7057" t="s">
        <v>360</v>
      </c>
    </row>
    <row r="7058" spans="1:7" x14ac:dyDescent="0.35">
      <c r="A7058" s="2">
        <v>43222</v>
      </c>
      <c r="B7058" s="36" t="s">
        <v>38</v>
      </c>
      <c r="C7058" s="10">
        <v>68</v>
      </c>
      <c r="D7058" s="10">
        <v>292</v>
      </c>
      <c r="E7058" s="10" t="s">
        <v>32</v>
      </c>
      <c r="F7058" t="s">
        <v>293</v>
      </c>
    </row>
    <row r="7059" spans="1:7" x14ac:dyDescent="0.35">
      <c r="A7059" s="2">
        <v>43222</v>
      </c>
      <c r="B7059" s="36" t="s">
        <v>38</v>
      </c>
      <c r="C7059" s="10">
        <v>67</v>
      </c>
      <c r="D7059" s="10">
        <v>273</v>
      </c>
      <c r="E7059" s="10" t="s">
        <v>32</v>
      </c>
      <c r="F7059" t="s">
        <v>476</v>
      </c>
    </row>
    <row r="7060" spans="1:7" x14ac:dyDescent="0.35">
      <c r="A7060" s="2">
        <v>43222</v>
      </c>
      <c r="B7060" s="36" t="s">
        <v>38</v>
      </c>
      <c r="C7060" s="10">
        <v>71</v>
      </c>
      <c r="D7060" s="10">
        <v>324</v>
      </c>
      <c r="E7060" s="10" t="s">
        <v>32</v>
      </c>
      <c r="F7060" t="s">
        <v>198</v>
      </c>
    </row>
    <row r="7061" spans="1:7" x14ac:dyDescent="0.35">
      <c r="A7061" s="2">
        <v>43222</v>
      </c>
      <c r="B7061" s="36" t="s">
        <v>38</v>
      </c>
      <c r="C7061" s="10">
        <v>72</v>
      </c>
      <c r="D7061" s="10">
        <v>378</v>
      </c>
      <c r="E7061" s="10" t="s">
        <v>34</v>
      </c>
      <c r="F7061" t="s">
        <v>476</v>
      </c>
    </row>
    <row r="7062" spans="1:7" x14ac:dyDescent="0.35">
      <c r="A7062" s="2">
        <v>43222</v>
      </c>
      <c r="B7062" s="36" t="s">
        <v>38</v>
      </c>
      <c r="C7062" s="10">
        <v>66</v>
      </c>
      <c r="D7062" s="10">
        <v>260</v>
      </c>
      <c r="E7062" s="10" t="s">
        <v>32</v>
      </c>
      <c r="F7062" t="s">
        <v>360</v>
      </c>
    </row>
    <row r="7063" spans="1:7" x14ac:dyDescent="0.35">
      <c r="A7063" s="2">
        <v>43222</v>
      </c>
      <c r="B7063" s="36" t="s">
        <v>38</v>
      </c>
      <c r="C7063" s="10">
        <v>69</v>
      </c>
      <c r="D7063" s="10">
        <v>335</v>
      </c>
      <c r="E7063" s="10" t="s">
        <v>32</v>
      </c>
      <c r="F7063" t="s">
        <v>198</v>
      </c>
    </row>
    <row r="7064" spans="1:7" x14ac:dyDescent="0.35">
      <c r="A7064" s="2">
        <v>43222</v>
      </c>
      <c r="B7064" s="36" t="s">
        <v>38</v>
      </c>
      <c r="C7064" s="10">
        <v>69</v>
      </c>
      <c r="D7064" s="10">
        <v>301</v>
      </c>
      <c r="E7064" s="10" t="s">
        <v>32</v>
      </c>
      <c r="F7064" t="s">
        <v>293</v>
      </c>
      <c r="G7064" t="s">
        <v>161</v>
      </c>
    </row>
    <row r="7065" spans="1:7" x14ac:dyDescent="0.35">
      <c r="A7065" s="2">
        <v>43222</v>
      </c>
      <c r="B7065" s="36" t="s">
        <v>38</v>
      </c>
      <c r="C7065" s="10">
        <v>68</v>
      </c>
      <c r="D7065" s="10">
        <v>293</v>
      </c>
      <c r="E7065" s="10" t="s">
        <v>32</v>
      </c>
      <c r="F7065" t="s">
        <v>476</v>
      </c>
      <c r="G7065" t="s">
        <v>161</v>
      </c>
    </row>
    <row r="7066" spans="1:7" x14ac:dyDescent="0.35">
      <c r="A7066" s="2">
        <v>43222</v>
      </c>
      <c r="B7066" s="36" t="s">
        <v>38</v>
      </c>
      <c r="C7066" s="10">
        <v>73</v>
      </c>
      <c r="D7066" s="10">
        <v>284</v>
      </c>
      <c r="E7066" s="10" t="s">
        <v>32</v>
      </c>
      <c r="F7066" t="s">
        <v>293</v>
      </c>
    </row>
    <row r="7067" spans="1:7" x14ac:dyDescent="0.35">
      <c r="A7067" s="2">
        <v>43222</v>
      </c>
      <c r="B7067" s="36" t="s">
        <v>38</v>
      </c>
      <c r="C7067" s="10">
        <v>70</v>
      </c>
      <c r="D7067" s="10">
        <v>332</v>
      </c>
      <c r="E7067" s="10" t="s">
        <v>34</v>
      </c>
      <c r="F7067" t="s">
        <v>293</v>
      </c>
    </row>
    <row r="7068" spans="1:7" x14ac:dyDescent="0.35">
      <c r="A7068" s="2">
        <v>43222</v>
      </c>
      <c r="B7068" s="36" t="s">
        <v>38</v>
      </c>
      <c r="C7068" s="10">
        <v>68</v>
      </c>
      <c r="D7068" s="10">
        <v>251</v>
      </c>
      <c r="E7068" s="10" t="s">
        <v>32</v>
      </c>
      <c r="F7068" t="s">
        <v>293</v>
      </c>
    </row>
    <row r="7069" spans="1:7" x14ac:dyDescent="0.35">
      <c r="A7069" s="2">
        <v>43222</v>
      </c>
      <c r="B7069" s="36" t="s">
        <v>38</v>
      </c>
      <c r="C7069" s="10">
        <v>70</v>
      </c>
      <c r="D7069" s="10">
        <v>270</v>
      </c>
      <c r="E7069" s="10" t="s">
        <v>32</v>
      </c>
      <c r="F7069" t="s">
        <v>293</v>
      </c>
    </row>
    <row r="7070" spans="1:7" x14ac:dyDescent="0.35">
      <c r="A7070" s="2">
        <v>43222</v>
      </c>
      <c r="B7070" s="36" t="s">
        <v>38</v>
      </c>
      <c r="C7070" s="10">
        <v>69</v>
      </c>
      <c r="D7070" s="10">
        <v>311</v>
      </c>
      <c r="E7070" s="10" t="s">
        <v>33</v>
      </c>
      <c r="F7070" t="s">
        <v>476</v>
      </c>
    </row>
    <row r="7071" spans="1:7" x14ac:dyDescent="0.35">
      <c r="A7071" s="2">
        <v>43222</v>
      </c>
      <c r="B7071" s="36" t="s">
        <v>38</v>
      </c>
      <c r="C7071" s="10">
        <v>70</v>
      </c>
      <c r="D7071" s="10">
        <v>302</v>
      </c>
      <c r="E7071" s="10" t="s">
        <v>32</v>
      </c>
      <c r="F7071" t="s">
        <v>293</v>
      </c>
    </row>
    <row r="7072" spans="1:7" x14ac:dyDescent="0.35">
      <c r="A7072" s="2">
        <v>43222</v>
      </c>
      <c r="B7072" s="36" t="s">
        <v>38</v>
      </c>
      <c r="C7072" s="10">
        <v>68</v>
      </c>
      <c r="D7072" s="10">
        <v>250</v>
      </c>
      <c r="E7072" s="10" t="s">
        <v>34</v>
      </c>
      <c r="F7072" t="s">
        <v>476</v>
      </c>
    </row>
    <row r="7073" spans="1:22" x14ac:dyDescent="0.35">
      <c r="A7073" s="2">
        <v>43222</v>
      </c>
      <c r="B7073" s="36" t="s">
        <v>38</v>
      </c>
      <c r="C7073" s="10">
        <v>67</v>
      </c>
      <c r="D7073" s="10">
        <v>276</v>
      </c>
      <c r="E7073" s="10"/>
      <c r="F7073" t="s">
        <v>198</v>
      </c>
      <c r="G7073" t="s">
        <v>801</v>
      </c>
    </row>
    <row r="7074" spans="1:22" x14ac:dyDescent="0.35">
      <c r="A7074" s="2">
        <v>43222</v>
      </c>
      <c r="B7074" s="36" t="s">
        <v>38</v>
      </c>
      <c r="C7074" s="10">
        <v>69</v>
      </c>
      <c r="D7074" s="10">
        <v>234</v>
      </c>
      <c r="E7074" s="10" t="s">
        <v>34</v>
      </c>
      <c r="F7074" t="s">
        <v>293</v>
      </c>
    </row>
    <row r="7075" spans="1:22" x14ac:dyDescent="0.35">
      <c r="A7075" s="2">
        <v>43222</v>
      </c>
      <c r="B7075" s="36" t="s">
        <v>38</v>
      </c>
      <c r="C7075" s="10">
        <v>69</v>
      </c>
      <c r="D7075" s="10">
        <v>238</v>
      </c>
      <c r="E7075" s="10" t="s">
        <v>32</v>
      </c>
      <c r="F7075" t="s">
        <v>360</v>
      </c>
      <c r="G7075" t="s">
        <v>475</v>
      </c>
    </row>
    <row r="7076" spans="1:22" x14ac:dyDescent="0.35">
      <c r="A7076" s="2">
        <v>43222</v>
      </c>
      <c r="B7076" s="36" t="s">
        <v>38</v>
      </c>
      <c r="C7076" s="10">
        <v>71</v>
      </c>
      <c r="D7076" s="10">
        <v>335</v>
      </c>
      <c r="E7076" s="10" t="s">
        <v>32</v>
      </c>
      <c r="F7076" t="s">
        <v>293</v>
      </c>
    </row>
    <row r="7077" spans="1:22" x14ac:dyDescent="0.35">
      <c r="A7077" s="2">
        <v>43222</v>
      </c>
      <c r="B7077" s="36" t="s">
        <v>38</v>
      </c>
      <c r="C7077" s="10">
        <v>63</v>
      </c>
      <c r="D7077" s="10">
        <v>228</v>
      </c>
      <c r="E7077" s="10" t="s">
        <v>32</v>
      </c>
      <c r="F7077" t="s">
        <v>360</v>
      </c>
    </row>
    <row r="7078" spans="1:22" x14ac:dyDescent="0.35">
      <c r="A7078" s="2">
        <v>43222</v>
      </c>
      <c r="B7078" s="36" t="s">
        <v>38</v>
      </c>
      <c r="C7078" s="10">
        <v>67</v>
      </c>
      <c r="D7078" s="10">
        <v>299</v>
      </c>
      <c r="E7078" s="10" t="s">
        <v>34</v>
      </c>
      <c r="F7078" t="s">
        <v>293</v>
      </c>
    </row>
    <row r="7079" spans="1:22" x14ac:dyDescent="0.35">
      <c r="A7079" s="2">
        <v>43222</v>
      </c>
      <c r="B7079" s="36" t="s">
        <v>38</v>
      </c>
      <c r="C7079" s="10">
        <v>68</v>
      </c>
      <c r="D7079" s="10">
        <v>291</v>
      </c>
      <c r="E7079" s="10" t="s">
        <v>32</v>
      </c>
      <c r="F7079" t="s">
        <v>293</v>
      </c>
    </row>
    <row r="7080" spans="1:22" x14ac:dyDescent="0.35">
      <c r="A7080" s="2">
        <v>43222</v>
      </c>
      <c r="B7080" s="36" t="s">
        <v>38</v>
      </c>
      <c r="C7080" s="10">
        <v>66</v>
      </c>
      <c r="D7080" s="10">
        <v>281</v>
      </c>
      <c r="E7080" s="10" t="s">
        <v>32</v>
      </c>
      <c r="F7080" t="s">
        <v>360</v>
      </c>
      <c r="G7080" t="s">
        <v>475</v>
      </c>
    </row>
    <row r="7081" spans="1:22" x14ac:dyDescent="0.35">
      <c r="A7081" s="2">
        <v>43222</v>
      </c>
      <c r="B7081" s="36" t="s">
        <v>38</v>
      </c>
      <c r="C7081" s="10">
        <v>65</v>
      </c>
      <c r="D7081" s="10">
        <v>232</v>
      </c>
      <c r="E7081" s="10" t="s">
        <v>32</v>
      </c>
      <c r="F7081" t="s">
        <v>360</v>
      </c>
      <c r="G7081" t="s">
        <v>475</v>
      </c>
    </row>
    <row r="7082" spans="1:22" x14ac:dyDescent="0.35">
      <c r="A7082" s="2">
        <v>43222</v>
      </c>
      <c r="B7082" s="36" t="s">
        <v>38</v>
      </c>
      <c r="C7082" s="10">
        <v>63</v>
      </c>
      <c r="D7082" s="10">
        <v>202</v>
      </c>
      <c r="E7082" s="10" t="s">
        <v>32</v>
      </c>
      <c r="F7082" t="s">
        <v>198</v>
      </c>
    </row>
    <row r="7083" spans="1:22" x14ac:dyDescent="0.35">
      <c r="A7083" s="2">
        <v>43222</v>
      </c>
      <c r="B7083" s="36" t="s">
        <v>38</v>
      </c>
      <c r="C7083" s="10">
        <v>74</v>
      </c>
      <c r="D7083" s="10">
        <v>390</v>
      </c>
      <c r="E7083" s="10" t="s">
        <v>32</v>
      </c>
      <c r="F7083" t="s">
        <v>198</v>
      </c>
      <c r="G7083" t="s">
        <v>475</v>
      </c>
    </row>
    <row r="7084" spans="1:22" x14ac:dyDescent="0.35">
      <c r="A7084" s="2">
        <v>43222</v>
      </c>
      <c r="B7084" s="36" t="s">
        <v>38</v>
      </c>
      <c r="C7084" s="10">
        <v>76</v>
      </c>
      <c r="D7084" s="10">
        <v>422</v>
      </c>
      <c r="E7084" s="10" t="s">
        <v>33</v>
      </c>
      <c r="F7084" t="s">
        <v>293</v>
      </c>
    </row>
    <row r="7085" spans="1:22" x14ac:dyDescent="0.35">
      <c r="A7085" s="2">
        <v>43222</v>
      </c>
      <c r="B7085" s="36" t="s">
        <v>38</v>
      </c>
      <c r="C7085" s="10">
        <v>71</v>
      </c>
      <c r="D7085" s="10">
        <v>309</v>
      </c>
      <c r="E7085" s="10" t="s">
        <v>32</v>
      </c>
      <c r="F7085" t="s">
        <v>476</v>
      </c>
    </row>
    <row r="7086" spans="1:22" x14ac:dyDescent="0.35">
      <c r="A7086" s="2">
        <v>43222</v>
      </c>
      <c r="B7086" s="36" t="s">
        <v>38</v>
      </c>
      <c r="C7086" s="10">
        <v>71</v>
      </c>
      <c r="D7086" s="10">
        <v>297</v>
      </c>
      <c r="E7086" s="10" t="s">
        <v>32</v>
      </c>
      <c r="F7086" t="s">
        <v>293</v>
      </c>
      <c r="G7086" t="s">
        <v>475</v>
      </c>
    </row>
    <row r="7087" spans="1:22" x14ac:dyDescent="0.35">
      <c r="A7087" s="2">
        <v>43222</v>
      </c>
      <c r="B7087" s="36" t="s">
        <v>38</v>
      </c>
      <c r="C7087" s="10">
        <v>70</v>
      </c>
      <c r="D7087" s="10">
        <v>268</v>
      </c>
      <c r="E7087" s="10" t="s">
        <v>32</v>
      </c>
      <c r="F7087" t="s">
        <v>293</v>
      </c>
      <c r="G7087" t="s">
        <v>475</v>
      </c>
    </row>
    <row r="7088" spans="1:22" x14ac:dyDescent="0.35">
      <c r="A7088" s="2">
        <v>43222</v>
      </c>
      <c r="B7088" s="36" t="s">
        <v>38</v>
      </c>
      <c r="C7088" s="10">
        <v>72</v>
      </c>
      <c r="D7088" s="10">
        <v>334</v>
      </c>
      <c r="E7088" s="10" t="s">
        <v>32</v>
      </c>
      <c r="F7088" t="s">
        <v>293</v>
      </c>
      <c r="G7088" t="s">
        <v>475</v>
      </c>
      <c r="N7088" t="s">
        <v>42</v>
      </c>
      <c r="O7088" t="s">
        <v>39</v>
      </c>
      <c r="P7088" t="s">
        <v>40</v>
      </c>
      <c r="Q7088" t="s">
        <v>36</v>
      </c>
      <c r="R7088" t="s">
        <v>33</v>
      </c>
      <c r="S7088" t="s">
        <v>34</v>
      </c>
      <c r="T7088" t="s">
        <v>32</v>
      </c>
      <c r="U7088" t="s">
        <v>37</v>
      </c>
      <c r="V7088" t="s">
        <v>159</v>
      </c>
    </row>
    <row r="7089" spans="1:24" x14ac:dyDescent="0.35">
      <c r="A7089" s="2">
        <v>43222</v>
      </c>
      <c r="B7089" s="36" t="s">
        <v>38</v>
      </c>
      <c r="C7089" s="10">
        <v>74</v>
      </c>
      <c r="D7089" s="10">
        <v>380</v>
      </c>
      <c r="E7089" s="10" t="s">
        <v>34</v>
      </c>
      <c r="F7089" t="s">
        <v>646</v>
      </c>
      <c r="N7089" s="5">
        <f>COUNTIF(E7040:E7090,"VA")</f>
        <v>0</v>
      </c>
      <c r="O7089" s="5">
        <f>COUNTIF(E7040:E7090,"VB")</f>
        <v>0</v>
      </c>
      <c r="P7089" s="5">
        <f>COUNTIF(E7040:E7090,"VIA0")</f>
        <v>0</v>
      </c>
      <c r="Q7089" s="5">
        <f>COUNTIF(E7040:E7090,"VIA1")</f>
        <v>0</v>
      </c>
      <c r="R7089" s="5">
        <f>COUNTIF(E7040:E7090,"VIA2")</f>
        <v>4</v>
      </c>
      <c r="S7089" s="5">
        <f>COUNTIF(E7040:E7090,"VIA3")</f>
        <v>11</v>
      </c>
      <c r="T7089" s="5">
        <f>COUNTIF(E7040:E7090,"VIA4")</f>
        <v>34</v>
      </c>
      <c r="U7089" s="5">
        <f>COUNTIF(E7040:E7090,"VIB")</f>
        <v>0</v>
      </c>
      <c r="V7089" s="5">
        <f>COUNTIF(E7040:E7090,"VII")</f>
        <v>0</v>
      </c>
      <c r="W7089">
        <f>AVERAGE(C7041:C7090)</f>
        <v>70.16</v>
      </c>
      <c r="X7089">
        <f>AVERAGE(D7041:D7090)</f>
        <v>303.26</v>
      </c>
    </row>
    <row r="7090" spans="1:24" s="4" customFormat="1" x14ac:dyDescent="0.35">
      <c r="A7090" s="3">
        <v>43222</v>
      </c>
      <c r="B7090" s="26" t="s">
        <v>38</v>
      </c>
      <c r="C7090" s="11">
        <v>77</v>
      </c>
      <c r="D7090" s="11">
        <v>386</v>
      </c>
      <c r="E7090" s="11" t="s">
        <v>32</v>
      </c>
      <c r="F7090" s="4" t="s">
        <v>646</v>
      </c>
      <c r="N7090" s="6">
        <f>N7089/49*100</f>
        <v>0</v>
      </c>
      <c r="O7090" s="6">
        <f t="shared" ref="O7090:V7090" si="239">O7089/49*100</f>
        <v>0</v>
      </c>
      <c r="P7090" s="6">
        <f t="shared" si="239"/>
        <v>0</v>
      </c>
      <c r="Q7090" s="6">
        <f t="shared" si="239"/>
        <v>0</v>
      </c>
      <c r="R7090" s="6">
        <f t="shared" si="239"/>
        <v>8.1632653061224492</v>
      </c>
      <c r="S7090" s="6">
        <f t="shared" si="239"/>
        <v>22.448979591836736</v>
      </c>
      <c r="T7090" s="6">
        <f t="shared" si="239"/>
        <v>69.387755102040813</v>
      </c>
      <c r="U7090" s="6">
        <f t="shared" si="239"/>
        <v>0</v>
      </c>
      <c r="V7090" s="6">
        <f t="shared" si="239"/>
        <v>0</v>
      </c>
    </row>
    <row r="7091" spans="1:24" x14ac:dyDescent="0.35">
      <c r="A7091" s="2">
        <v>43222</v>
      </c>
      <c r="B7091" s="36" t="s">
        <v>29</v>
      </c>
      <c r="C7091" s="10">
        <v>120</v>
      </c>
      <c r="D7091" s="10">
        <v>1651</v>
      </c>
      <c r="E7091" s="10" t="s">
        <v>59</v>
      </c>
    </row>
    <row r="7092" spans="1:24" x14ac:dyDescent="0.35">
      <c r="A7092" s="2">
        <v>43222</v>
      </c>
      <c r="B7092" s="36" t="s">
        <v>29</v>
      </c>
      <c r="C7092" s="10">
        <v>108</v>
      </c>
      <c r="D7092" s="10">
        <v>1535</v>
      </c>
      <c r="E7092" s="10" t="s">
        <v>59</v>
      </c>
    </row>
    <row r="7093" spans="1:24" x14ac:dyDescent="0.35">
      <c r="A7093" s="2">
        <v>43222</v>
      </c>
      <c r="B7093" s="36" t="s">
        <v>29</v>
      </c>
      <c r="C7093" s="10">
        <v>79</v>
      </c>
      <c r="D7093" s="10">
        <v>355</v>
      </c>
      <c r="E7093" s="10" t="s">
        <v>32</v>
      </c>
      <c r="F7093" s="10" t="s">
        <v>293</v>
      </c>
      <c r="H7093" t="s">
        <v>161</v>
      </c>
    </row>
    <row r="7094" spans="1:24" x14ac:dyDescent="0.35">
      <c r="A7094" s="2">
        <v>43222</v>
      </c>
      <c r="B7094" s="36" t="s">
        <v>29</v>
      </c>
      <c r="C7094" s="10">
        <v>70</v>
      </c>
      <c r="D7094" s="10">
        <v>288</v>
      </c>
      <c r="E7094" s="10" t="s">
        <v>32</v>
      </c>
      <c r="F7094" s="10" t="s">
        <v>293</v>
      </c>
      <c r="G7094" t="s">
        <v>475</v>
      </c>
    </row>
    <row r="7095" spans="1:24" x14ac:dyDescent="0.35">
      <c r="A7095" s="2">
        <v>43222</v>
      </c>
      <c r="B7095" s="36" t="s">
        <v>29</v>
      </c>
      <c r="C7095" s="10">
        <v>71</v>
      </c>
      <c r="D7095" s="10">
        <v>364</v>
      </c>
      <c r="E7095" s="10" t="s">
        <v>32</v>
      </c>
      <c r="F7095" s="10" t="s">
        <v>646</v>
      </c>
      <c r="G7095" t="s">
        <v>475</v>
      </c>
    </row>
    <row r="7096" spans="1:24" x14ac:dyDescent="0.35">
      <c r="A7096" s="2">
        <v>43222</v>
      </c>
      <c r="B7096" s="36" t="s">
        <v>29</v>
      </c>
      <c r="C7096" s="10">
        <v>69</v>
      </c>
      <c r="D7096" s="10">
        <v>212</v>
      </c>
      <c r="E7096" s="10" t="s">
        <v>32</v>
      </c>
      <c r="F7096" s="10" t="s">
        <v>198</v>
      </c>
      <c r="G7096" t="s">
        <v>475</v>
      </c>
      <c r="H7096" t="s">
        <v>161</v>
      </c>
    </row>
    <row r="7097" spans="1:24" x14ac:dyDescent="0.35">
      <c r="A7097" s="2">
        <v>43222</v>
      </c>
      <c r="B7097" s="36" t="s">
        <v>29</v>
      </c>
      <c r="C7097" s="10">
        <v>73</v>
      </c>
      <c r="D7097" s="10">
        <v>311</v>
      </c>
      <c r="E7097" s="10" t="s">
        <v>32</v>
      </c>
      <c r="F7097" s="10" t="s">
        <v>293</v>
      </c>
      <c r="I7097" t="s">
        <v>803</v>
      </c>
    </row>
    <row r="7098" spans="1:24" x14ac:dyDescent="0.35">
      <c r="A7098" s="2">
        <v>43222</v>
      </c>
      <c r="B7098" s="36" t="s">
        <v>29</v>
      </c>
      <c r="C7098" s="10">
        <v>67</v>
      </c>
      <c r="D7098" s="10">
        <v>216</v>
      </c>
      <c r="E7098" s="10" t="s">
        <v>32</v>
      </c>
      <c r="F7098" s="10" t="s">
        <v>198</v>
      </c>
      <c r="G7098" t="s">
        <v>475</v>
      </c>
      <c r="H7098" t="s">
        <v>498</v>
      </c>
      <c r="I7098" t="s">
        <v>803</v>
      </c>
    </row>
    <row r="7099" spans="1:24" x14ac:dyDescent="0.35">
      <c r="A7099" s="2">
        <v>43222</v>
      </c>
      <c r="B7099" s="36" t="s">
        <v>29</v>
      </c>
      <c r="C7099" s="10">
        <v>66</v>
      </c>
      <c r="D7099" s="10">
        <v>266</v>
      </c>
      <c r="E7099" s="10" t="s">
        <v>32</v>
      </c>
      <c r="F7099" s="10" t="s">
        <v>293</v>
      </c>
      <c r="G7099" t="s">
        <v>475</v>
      </c>
      <c r="H7099" t="s">
        <v>498</v>
      </c>
    </row>
    <row r="7100" spans="1:24" x14ac:dyDescent="0.35">
      <c r="A7100" s="2">
        <v>43222</v>
      </c>
      <c r="B7100" s="36" t="s">
        <v>29</v>
      </c>
      <c r="C7100" s="10">
        <v>65</v>
      </c>
      <c r="D7100" s="10">
        <v>225</v>
      </c>
      <c r="E7100" s="10" t="s">
        <v>32</v>
      </c>
      <c r="F7100" s="10" t="s">
        <v>360</v>
      </c>
      <c r="H7100" t="s">
        <v>161</v>
      </c>
    </row>
    <row r="7101" spans="1:24" x14ac:dyDescent="0.35">
      <c r="A7101" s="2">
        <v>43222</v>
      </c>
      <c r="B7101" s="36" t="s">
        <v>29</v>
      </c>
      <c r="C7101" s="10">
        <v>65</v>
      </c>
      <c r="D7101" s="10">
        <v>216</v>
      </c>
      <c r="E7101" s="10" t="s">
        <v>37</v>
      </c>
      <c r="F7101" s="10" t="s">
        <v>360</v>
      </c>
      <c r="H7101" t="s">
        <v>161</v>
      </c>
    </row>
    <row r="7102" spans="1:24" x14ac:dyDescent="0.35">
      <c r="A7102" s="2">
        <v>43222</v>
      </c>
      <c r="B7102" s="36" t="s">
        <v>29</v>
      </c>
      <c r="C7102" s="10">
        <v>67</v>
      </c>
      <c r="D7102" s="10">
        <v>308</v>
      </c>
      <c r="E7102" s="10" t="s">
        <v>32</v>
      </c>
      <c r="F7102" s="10" t="s">
        <v>646</v>
      </c>
      <c r="H7102" t="s">
        <v>498</v>
      </c>
    </row>
    <row r="7103" spans="1:24" x14ac:dyDescent="0.35">
      <c r="A7103" s="2">
        <v>43222</v>
      </c>
      <c r="B7103" s="36" t="s">
        <v>29</v>
      </c>
      <c r="C7103" s="10">
        <v>64</v>
      </c>
      <c r="D7103" s="10">
        <v>223</v>
      </c>
      <c r="E7103" s="10" t="s">
        <v>32</v>
      </c>
      <c r="F7103" s="10" t="s">
        <v>646</v>
      </c>
    </row>
    <row r="7104" spans="1:24" x14ac:dyDescent="0.35">
      <c r="A7104" s="2">
        <v>43222</v>
      </c>
      <c r="B7104" s="36" t="s">
        <v>29</v>
      </c>
      <c r="C7104" s="10">
        <v>67</v>
      </c>
      <c r="D7104" s="10">
        <v>249</v>
      </c>
      <c r="E7104" s="10" t="s">
        <v>34</v>
      </c>
      <c r="F7104" s="10" t="s">
        <v>293</v>
      </c>
      <c r="G7104" t="s">
        <v>475</v>
      </c>
    </row>
    <row r="7105" spans="1:8" x14ac:dyDescent="0.35">
      <c r="A7105" s="2">
        <v>43222</v>
      </c>
      <c r="B7105" s="36" t="s">
        <v>29</v>
      </c>
      <c r="C7105" s="10">
        <v>72</v>
      </c>
      <c r="D7105" s="10">
        <v>221</v>
      </c>
      <c r="E7105" s="10" t="s">
        <v>32</v>
      </c>
      <c r="F7105" s="10" t="s">
        <v>476</v>
      </c>
    </row>
    <row r="7106" spans="1:8" x14ac:dyDescent="0.35">
      <c r="A7106" s="2">
        <v>43222</v>
      </c>
      <c r="B7106" s="36" t="s">
        <v>29</v>
      </c>
      <c r="C7106" s="10">
        <v>71</v>
      </c>
      <c r="D7106" s="10">
        <v>237</v>
      </c>
      <c r="E7106" s="10" t="s">
        <v>34</v>
      </c>
      <c r="F7106" s="10" t="s">
        <v>476</v>
      </c>
    </row>
    <row r="7107" spans="1:8" x14ac:dyDescent="0.35">
      <c r="A7107" s="2">
        <v>43222</v>
      </c>
      <c r="B7107" s="36" t="s">
        <v>29</v>
      </c>
      <c r="C7107" s="10">
        <v>65</v>
      </c>
      <c r="D7107" s="10">
        <v>211</v>
      </c>
      <c r="E7107" s="10" t="s">
        <v>32</v>
      </c>
      <c r="F7107" s="10" t="s">
        <v>646</v>
      </c>
      <c r="G7107" t="s">
        <v>475</v>
      </c>
    </row>
    <row r="7108" spans="1:8" x14ac:dyDescent="0.35">
      <c r="A7108" s="2">
        <v>43222</v>
      </c>
      <c r="B7108" s="36" t="s">
        <v>29</v>
      </c>
      <c r="C7108" s="10">
        <v>70</v>
      </c>
      <c r="D7108" s="10">
        <v>293</v>
      </c>
      <c r="E7108" s="10" t="s">
        <v>34</v>
      </c>
      <c r="F7108" s="10" t="s">
        <v>293</v>
      </c>
      <c r="G7108" t="s">
        <v>475</v>
      </c>
    </row>
    <row r="7109" spans="1:8" x14ac:dyDescent="0.35">
      <c r="A7109" s="2">
        <v>43222</v>
      </c>
      <c r="B7109" s="36" t="s">
        <v>29</v>
      </c>
      <c r="C7109" s="10">
        <v>75</v>
      </c>
      <c r="D7109" s="10">
        <v>360</v>
      </c>
      <c r="E7109" s="10" t="s">
        <v>32</v>
      </c>
      <c r="F7109" s="10" t="s">
        <v>646</v>
      </c>
    </row>
    <row r="7110" spans="1:8" x14ac:dyDescent="0.35">
      <c r="A7110" s="2">
        <v>43222</v>
      </c>
      <c r="B7110" s="36" t="s">
        <v>29</v>
      </c>
      <c r="C7110" s="10">
        <v>74</v>
      </c>
      <c r="D7110" s="10">
        <v>237</v>
      </c>
      <c r="E7110" s="10" t="s">
        <v>32</v>
      </c>
      <c r="F7110" s="10" t="s">
        <v>360</v>
      </c>
    </row>
    <row r="7111" spans="1:8" x14ac:dyDescent="0.35">
      <c r="A7111" s="2">
        <v>43222</v>
      </c>
      <c r="B7111" s="36" t="s">
        <v>29</v>
      </c>
      <c r="C7111" s="10">
        <v>71</v>
      </c>
      <c r="D7111" s="10">
        <v>311</v>
      </c>
      <c r="E7111" s="10" t="s">
        <v>32</v>
      </c>
      <c r="F7111" s="10" t="s">
        <v>293</v>
      </c>
      <c r="H7111" t="s">
        <v>161</v>
      </c>
    </row>
    <row r="7112" spans="1:8" x14ac:dyDescent="0.35">
      <c r="A7112" s="2">
        <v>43222</v>
      </c>
      <c r="B7112" s="36" t="s">
        <v>29</v>
      </c>
      <c r="C7112" s="10">
        <v>61</v>
      </c>
      <c r="D7112" s="10">
        <v>170</v>
      </c>
      <c r="E7112" s="10" t="s">
        <v>32</v>
      </c>
      <c r="F7112" s="10" t="s">
        <v>198</v>
      </c>
    </row>
    <row r="7113" spans="1:8" x14ac:dyDescent="0.35">
      <c r="A7113" s="2">
        <v>43222</v>
      </c>
      <c r="B7113" s="36" t="s">
        <v>29</v>
      </c>
      <c r="C7113" s="10">
        <v>68</v>
      </c>
      <c r="D7113" s="10">
        <v>205</v>
      </c>
      <c r="E7113" s="10" t="s">
        <v>32</v>
      </c>
      <c r="F7113" s="10" t="s">
        <v>198</v>
      </c>
    </row>
    <row r="7114" spans="1:8" x14ac:dyDescent="0.35">
      <c r="A7114" s="2">
        <v>43222</v>
      </c>
      <c r="B7114" s="36" t="s">
        <v>29</v>
      </c>
      <c r="C7114" s="10">
        <v>72</v>
      </c>
      <c r="D7114" s="10">
        <v>295</v>
      </c>
      <c r="E7114" s="10" t="s">
        <v>32</v>
      </c>
      <c r="F7114" s="10" t="s">
        <v>646</v>
      </c>
    </row>
    <row r="7115" spans="1:8" x14ac:dyDescent="0.35">
      <c r="A7115" s="2">
        <v>43222</v>
      </c>
      <c r="B7115" s="36" t="s">
        <v>29</v>
      </c>
      <c r="C7115" s="10">
        <v>70</v>
      </c>
      <c r="D7115" s="10">
        <v>260</v>
      </c>
      <c r="E7115" s="10" t="s">
        <v>32</v>
      </c>
      <c r="F7115" s="10" t="s">
        <v>646</v>
      </c>
      <c r="G7115" t="s">
        <v>475</v>
      </c>
    </row>
    <row r="7116" spans="1:8" x14ac:dyDescent="0.35">
      <c r="A7116" s="2">
        <v>43222</v>
      </c>
      <c r="B7116" s="36" t="s">
        <v>29</v>
      </c>
      <c r="C7116" s="10">
        <v>66</v>
      </c>
      <c r="D7116" s="10">
        <v>199</v>
      </c>
      <c r="E7116" s="10" t="s">
        <v>32</v>
      </c>
      <c r="F7116" s="10" t="s">
        <v>293</v>
      </c>
      <c r="H7116" t="s">
        <v>161</v>
      </c>
    </row>
    <row r="7117" spans="1:8" x14ac:dyDescent="0.35">
      <c r="A7117" s="2">
        <v>43222</v>
      </c>
      <c r="B7117" s="36" t="s">
        <v>29</v>
      </c>
      <c r="C7117" s="10">
        <v>72</v>
      </c>
      <c r="D7117" s="10">
        <v>263</v>
      </c>
      <c r="E7117" s="10" t="s">
        <v>32</v>
      </c>
      <c r="F7117" s="10" t="s">
        <v>198</v>
      </c>
      <c r="G7117" t="s">
        <v>475</v>
      </c>
      <c r="H7117" t="s">
        <v>161</v>
      </c>
    </row>
    <row r="7118" spans="1:8" x14ac:dyDescent="0.35">
      <c r="A7118" s="2">
        <v>43222</v>
      </c>
      <c r="B7118" s="36" t="s">
        <v>29</v>
      </c>
      <c r="C7118" s="10">
        <v>70</v>
      </c>
      <c r="D7118" s="10">
        <v>306</v>
      </c>
      <c r="E7118" s="10" t="s">
        <v>32</v>
      </c>
      <c r="F7118" s="10" t="s">
        <v>476</v>
      </c>
    </row>
    <row r="7119" spans="1:8" x14ac:dyDescent="0.35">
      <c r="A7119" s="2">
        <v>43222</v>
      </c>
      <c r="B7119" s="36" t="s">
        <v>29</v>
      </c>
      <c r="C7119" s="10">
        <v>73</v>
      </c>
      <c r="D7119" s="10">
        <v>296</v>
      </c>
      <c r="E7119" s="10" t="s">
        <v>32</v>
      </c>
      <c r="F7119" s="10" t="s">
        <v>476</v>
      </c>
    </row>
    <row r="7120" spans="1:8" x14ac:dyDescent="0.35">
      <c r="A7120" s="2">
        <v>43222</v>
      </c>
      <c r="B7120" s="36" t="s">
        <v>29</v>
      </c>
      <c r="C7120" s="10">
        <v>67</v>
      </c>
      <c r="D7120" s="10">
        <v>296</v>
      </c>
      <c r="E7120" s="10" t="s">
        <v>34</v>
      </c>
      <c r="F7120" s="10" t="s">
        <v>646</v>
      </c>
    </row>
    <row r="7121" spans="1:8" x14ac:dyDescent="0.35">
      <c r="A7121" s="2">
        <v>43222</v>
      </c>
      <c r="B7121" s="36" t="s">
        <v>29</v>
      </c>
      <c r="C7121" s="10">
        <v>68</v>
      </c>
      <c r="D7121" s="10">
        <v>188</v>
      </c>
      <c r="E7121" s="10" t="s">
        <v>32</v>
      </c>
      <c r="F7121" s="10" t="s">
        <v>198</v>
      </c>
    </row>
    <row r="7122" spans="1:8" x14ac:dyDescent="0.35">
      <c r="A7122" s="2">
        <v>43222</v>
      </c>
      <c r="B7122" s="36" t="s">
        <v>29</v>
      </c>
      <c r="C7122" s="10">
        <v>75</v>
      </c>
      <c r="D7122" s="10">
        <v>385</v>
      </c>
      <c r="E7122" s="10" t="s">
        <v>34</v>
      </c>
      <c r="F7122" s="10" t="s">
        <v>646</v>
      </c>
    </row>
    <row r="7123" spans="1:8" x14ac:dyDescent="0.35">
      <c r="A7123" s="2">
        <v>43222</v>
      </c>
      <c r="B7123" s="36" t="s">
        <v>29</v>
      </c>
      <c r="C7123" s="10">
        <v>70</v>
      </c>
      <c r="D7123" s="10">
        <v>279</v>
      </c>
      <c r="E7123" s="10" t="s">
        <v>34</v>
      </c>
      <c r="F7123" s="10" t="s">
        <v>198</v>
      </c>
      <c r="H7123" t="s">
        <v>161</v>
      </c>
    </row>
    <row r="7124" spans="1:8" x14ac:dyDescent="0.35">
      <c r="A7124" s="2">
        <v>43222</v>
      </c>
      <c r="B7124" s="36" t="s">
        <v>29</v>
      </c>
      <c r="C7124" s="10">
        <v>65</v>
      </c>
      <c r="D7124" s="10">
        <v>232</v>
      </c>
      <c r="E7124" s="10" t="s">
        <v>34</v>
      </c>
      <c r="F7124" s="10" t="s">
        <v>646</v>
      </c>
    </row>
    <row r="7125" spans="1:8" x14ac:dyDescent="0.35">
      <c r="A7125" s="2">
        <v>43222</v>
      </c>
      <c r="B7125" s="36" t="s">
        <v>29</v>
      </c>
      <c r="C7125" s="10">
        <v>69</v>
      </c>
      <c r="D7125" s="10">
        <v>250</v>
      </c>
      <c r="E7125" s="10" t="s">
        <v>32</v>
      </c>
      <c r="F7125" s="10" t="s">
        <v>360</v>
      </c>
      <c r="H7125" t="s">
        <v>161</v>
      </c>
    </row>
    <row r="7126" spans="1:8" x14ac:dyDescent="0.35">
      <c r="A7126" s="2">
        <v>43222</v>
      </c>
      <c r="B7126" s="36" t="s">
        <v>29</v>
      </c>
      <c r="C7126" s="10">
        <v>65</v>
      </c>
      <c r="D7126" s="10">
        <v>235</v>
      </c>
      <c r="E7126" s="10" t="s">
        <v>33</v>
      </c>
      <c r="F7126" s="10" t="s">
        <v>646</v>
      </c>
      <c r="G7126" t="s">
        <v>475</v>
      </c>
    </row>
    <row r="7127" spans="1:8" x14ac:dyDescent="0.35">
      <c r="A7127" s="2">
        <v>43222</v>
      </c>
      <c r="B7127" s="36" t="s">
        <v>29</v>
      </c>
      <c r="C7127" s="10">
        <v>73</v>
      </c>
      <c r="D7127" s="10">
        <v>331</v>
      </c>
      <c r="E7127" s="10" t="s">
        <v>37</v>
      </c>
      <c r="F7127" s="10" t="s">
        <v>476</v>
      </c>
      <c r="H7127" t="s">
        <v>161</v>
      </c>
    </row>
    <row r="7128" spans="1:8" x14ac:dyDescent="0.35">
      <c r="A7128" s="2">
        <v>43222</v>
      </c>
      <c r="B7128" s="36" t="s">
        <v>29</v>
      </c>
      <c r="C7128" s="10">
        <v>70</v>
      </c>
      <c r="D7128" s="10">
        <v>313</v>
      </c>
      <c r="E7128" s="10" t="s">
        <v>34</v>
      </c>
      <c r="F7128" s="10" t="s">
        <v>646</v>
      </c>
    </row>
    <row r="7129" spans="1:8" x14ac:dyDescent="0.35">
      <c r="A7129" s="2">
        <v>43222</v>
      </c>
      <c r="B7129" s="36" t="s">
        <v>29</v>
      </c>
      <c r="C7129" s="10">
        <v>68</v>
      </c>
      <c r="D7129" s="10">
        <v>239</v>
      </c>
      <c r="E7129" s="10" t="s">
        <v>32</v>
      </c>
      <c r="F7129" s="10" t="s">
        <v>476</v>
      </c>
    </row>
    <row r="7130" spans="1:8" x14ac:dyDescent="0.35">
      <c r="A7130" s="2">
        <v>43222</v>
      </c>
      <c r="B7130" s="36" t="s">
        <v>29</v>
      </c>
      <c r="C7130" s="10">
        <v>73</v>
      </c>
      <c r="D7130" s="10">
        <v>310</v>
      </c>
      <c r="E7130" s="10" t="s">
        <v>34</v>
      </c>
      <c r="F7130" s="10" t="s">
        <v>646</v>
      </c>
      <c r="G7130" t="s">
        <v>475</v>
      </c>
    </row>
    <row r="7131" spans="1:8" x14ac:dyDescent="0.35">
      <c r="A7131" s="2">
        <v>43222</v>
      </c>
      <c r="B7131" s="36" t="s">
        <v>29</v>
      </c>
      <c r="C7131" s="10">
        <v>77</v>
      </c>
      <c r="D7131" s="10">
        <v>401</v>
      </c>
      <c r="E7131" s="10" t="s">
        <v>32</v>
      </c>
      <c r="F7131" s="10" t="s">
        <v>646</v>
      </c>
      <c r="H7131" t="s">
        <v>161</v>
      </c>
    </row>
    <row r="7132" spans="1:8" x14ac:dyDescent="0.35">
      <c r="A7132" s="2">
        <v>43222</v>
      </c>
      <c r="B7132" s="36" t="s">
        <v>29</v>
      </c>
      <c r="C7132" s="10">
        <v>75</v>
      </c>
      <c r="D7132" s="10">
        <v>308</v>
      </c>
      <c r="E7132" s="10" t="s">
        <v>32</v>
      </c>
      <c r="F7132" s="10" t="s">
        <v>646</v>
      </c>
    </row>
    <row r="7133" spans="1:8" x14ac:dyDescent="0.35">
      <c r="A7133" s="2">
        <v>43222</v>
      </c>
      <c r="B7133" s="36" t="s">
        <v>29</v>
      </c>
      <c r="C7133" s="10">
        <v>72</v>
      </c>
      <c r="D7133" s="10">
        <v>325</v>
      </c>
      <c r="E7133" s="10" t="s">
        <v>32</v>
      </c>
      <c r="F7133" s="10" t="s">
        <v>646</v>
      </c>
    </row>
    <row r="7134" spans="1:8" x14ac:dyDescent="0.35">
      <c r="A7134" s="2">
        <v>43222</v>
      </c>
      <c r="B7134" s="36" t="s">
        <v>29</v>
      </c>
      <c r="C7134" s="10">
        <v>74</v>
      </c>
      <c r="D7134" s="10">
        <v>223</v>
      </c>
      <c r="E7134" s="10" t="s">
        <v>32</v>
      </c>
      <c r="F7134" s="10" t="s">
        <v>476</v>
      </c>
    </row>
    <row r="7135" spans="1:8" x14ac:dyDescent="0.35">
      <c r="A7135" s="2">
        <v>43222</v>
      </c>
      <c r="B7135" s="36" t="s">
        <v>29</v>
      </c>
      <c r="C7135" s="10">
        <v>65</v>
      </c>
      <c r="D7135" s="10">
        <v>248</v>
      </c>
      <c r="E7135" s="10" t="s">
        <v>32</v>
      </c>
      <c r="F7135" s="10" t="s">
        <v>646</v>
      </c>
      <c r="G7135" t="s">
        <v>475</v>
      </c>
    </row>
    <row r="7136" spans="1:8" x14ac:dyDescent="0.35">
      <c r="A7136" s="2">
        <v>43222</v>
      </c>
      <c r="B7136" s="36" t="s">
        <v>29</v>
      </c>
      <c r="C7136" s="10">
        <v>72</v>
      </c>
      <c r="D7136" s="10">
        <v>301</v>
      </c>
      <c r="E7136" s="10" t="s">
        <v>32</v>
      </c>
      <c r="F7136" s="10" t="s">
        <v>646</v>
      </c>
    </row>
    <row r="7137" spans="1:24" x14ac:dyDescent="0.35">
      <c r="A7137" s="2">
        <v>43222</v>
      </c>
      <c r="B7137" s="36" t="s">
        <v>29</v>
      </c>
      <c r="C7137" s="10">
        <v>64</v>
      </c>
      <c r="D7137" s="10">
        <v>206</v>
      </c>
      <c r="E7137" s="10" t="s">
        <v>32</v>
      </c>
      <c r="F7137" s="10" t="s">
        <v>198</v>
      </c>
      <c r="H7137" t="s">
        <v>161</v>
      </c>
    </row>
    <row r="7138" spans="1:24" x14ac:dyDescent="0.35">
      <c r="A7138" s="2">
        <v>43222</v>
      </c>
      <c r="B7138" s="36" t="s">
        <v>29</v>
      </c>
      <c r="C7138" s="10">
        <v>69</v>
      </c>
      <c r="D7138" s="10">
        <v>265</v>
      </c>
      <c r="E7138" s="10" t="s">
        <v>32</v>
      </c>
      <c r="F7138" s="10" t="s">
        <v>198</v>
      </c>
      <c r="G7138" t="s">
        <v>475</v>
      </c>
      <c r="H7138" t="s">
        <v>161</v>
      </c>
    </row>
    <row r="7139" spans="1:24" x14ac:dyDescent="0.35">
      <c r="A7139" s="2">
        <v>43222</v>
      </c>
      <c r="B7139" s="36" t="s">
        <v>29</v>
      </c>
      <c r="C7139" s="10">
        <v>72</v>
      </c>
      <c r="D7139" s="10">
        <v>317</v>
      </c>
      <c r="E7139" s="10" t="s">
        <v>32</v>
      </c>
      <c r="F7139" s="10" t="s">
        <v>476</v>
      </c>
      <c r="N7139" t="s">
        <v>42</v>
      </c>
      <c r="O7139" t="s">
        <v>39</v>
      </c>
      <c r="P7139" t="s">
        <v>40</v>
      </c>
      <c r="Q7139" t="s">
        <v>36</v>
      </c>
      <c r="R7139" t="s">
        <v>33</v>
      </c>
      <c r="S7139" t="s">
        <v>34</v>
      </c>
      <c r="T7139" t="s">
        <v>32</v>
      </c>
      <c r="U7139" t="s">
        <v>37</v>
      </c>
      <c r="V7139" t="s">
        <v>159</v>
      </c>
    </row>
    <row r="7140" spans="1:24" x14ac:dyDescent="0.35">
      <c r="A7140" s="2">
        <v>43222</v>
      </c>
      <c r="B7140" s="36" t="s">
        <v>29</v>
      </c>
      <c r="C7140" s="10">
        <v>70</v>
      </c>
      <c r="D7140" s="10">
        <v>299</v>
      </c>
      <c r="E7140" s="10" t="s">
        <v>34</v>
      </c>
      <c r="F7140" s="10" t="s">
        <v>476</v>
      </c>
      <c r="N7140">
        <f>N7144+N7089</f>
        <v>0</v>
      </c>
      <c r="O7140">
        <f t="shared" ref="O7140:V7140" si="240">O7144+O7089</f>
        <v>0</v>
      </c>
      <c r="P7140">
        <f t="shared" si="240"/>
        <v>0</v>
      </c>
      <c r="Q7140">
        <f t="shared" si="240"/>
        <v>0</v>
      </c>
      <c r="R7140">
        <f t="shared" si="240"/>
        <v>5</v>
      </c>
      <c r="S7140">
        <f t="shared" si="240"/>
        <v>22</v>
      </c>
      <c r="T7140">
        <f t="shared" si="240"/>
        <v>71</v>
      </c>
      <c r="U7140">
        <f t="shared" si="240"/>
        <v>4</v>
      </c>
      <c r="V7140">
        <f t="shared" si="240"/>
        <v>0</v>
      </c>
    </row>
    <row r="7141" spans="1:24" x14ac:dyDescent="0.35">
      <c r="A7141" s="2">
        <v>43222</v>
      </c>
      <c r="B7141" s="36" t="s">
        <v>29</v>
      </c>
      <c r="C7141" s="10">
        <v>70</v>
      </c>
      <c r="D7141" s="10">
        <v>239</v>
      </c>
      <c r="E7141" s="10" t="s">
        <v>34</v>
      </c>
      <c r="F7141" s="10" t="s">
        <v>360</v>
      </c>
      <c r="N7141">
        <f>N7140/102*100</f>
        <v>0</v>
      </c>
      <c r="O7141">
        <f t="shared" ref="O7141:V7141" si="241">O7140/102*100</f>
        <v>0</v>
      </c>
      <c r="P7141">
        <f t="shared" si="241"/>
        <v>0</v>
      </c>
      <c r="Q7141">
        <f t="shared" si="241"/>
        <v>0</v>
      </c>
      <c r="R7141">
        <f t="shared" si="241"/>
        <v>4.9019607843137258</v>
      </c>
      <c r="S7141">
        <f t="shared" si="241"/>
        <v>21.568627450980394</v>
      </c>
      <c r="T7141">
        <f t="shared" si="241"/>
        <v>69.607843137254903</v>
      </c>
      <c r="U7141">
        <f t="shared" si="241"/>
        <v>3.9215686274509802</v>
      </c>
      <c r="V7141">
        <f t="shared" si="241"/>
        <v>0</v>
      </c>
      <c r="W7141">
        <f>AVERAGE(C7093:C7145,C7041:C7090)</f>
        <v>69.893203883495147</v>
      </c>
      <c r="X7141">
        <f>AVERAGE(D7093:D7145,D7041:D7090)</f>
        <v>285.93203883495147</v>
      </c>
    </row>
    <row r="7142" spans="1:24" x14ac:dyDescent="0.35">
      <c r="A7142" s="2">
        <v>43222</v>
      </c>
      <c r="B7142" s="36" t="s">
        <v>29</v>
      </c>
      <c r="C7142" s="10">
        <v>66</v>
      </c>
      <c r="D7142" s="10">
        <v>255</v>
      </c>
      <c r="E7142" s="10" t="s">
        <v>32</v>
      </c>
      <c r="F7142" s="10" t="s">
        <v>646</v>
      </c>
    </row>
    <row r="7143" spans="1:24" x14ac:dyDescent="0.35">
      <c r="A7143" s="2">
        <v>43222</v>
      </c>
      <c r="B7143" s="36" t="s">
        <v>29</v>
      </c>
      <c r="C7143" s="10">
        <v>73</v>
      </c>
      <c r="D7143" s="10">
        <v>249</v>
      </c>
      <c r="E7143" s="10" t="s">
        <v>37</v>
      </c>
      <c r="F7143" s="10" t="s">
        <v>198</v>
      </c>
      <c r="H7143" t="s">
        <v>161</v>
      </c>
      <c r="N7143" t="s">
        <v>42</v>
      </c>
      <c r="O7143" t="s">
        <v>39</v>
      </c>
      <c r="P7143" t="s">
        <v>40</v>
      </c>
      <c r="Q7143" t="s">
        <v>36</v>
      </c>
      <c r="R7143" t="s">
        <v>33</v>
      </c>
      <c r="S7143" t="s">
        <v>34</v>
      </c>
      <c r="T7143" t="s">
        <v>32</v>
      </c>
      <c r="U7143" t="s">
        <v>37</v>
      </c>
      <c r="V7143" t="s">
        <v>159</v>
      </c>
    </row>
    <row r="7144" spans="1:24" x14ac:dyDescent="0.35">
      <c r="A7144" s="2">
        <v>43222</v>
      </c>
      <c r="B7144" s="36" t="s">
        <v>29</v>
      </c>
      <c r="C7144" s="10">
        <v>70</v>
      </c>
      <c r="D7144" s="10">
        <v>261</v>
      </c>
      <c r="E7144" s="10" t="s">
        <v>32</v>
      </c>
      <c r="F7144" s="10" t="s">
        <v>198</v>
      </c>
      <c r="H7144" t="s">
        <v>161</v>
      </c>
      <c r="N7144" s="5">
        <f>COUNTIF(E7093:E7145,"VA")</f>
        <v>0</v>
      </c>
      <c r="O7144" s="5">
        <f>COUNTIF(E7095:E7145,"VB")</f>
        <v>0</v>
      </c>
      <c r="P7144" s="5">
        <f>COUNTIF(E7095:E7145,"VIA0")</f>
        <v>0</v>
      </c>
      <c r="Q7144" s="5">
        <f>COUNTIF(E7095:E7145,"VIA1")</f>
        <v>0</v>
      </c>
      <c r="R7144" s="5">
        <f>COUNTIF(E7095:E7145,"VIA2")</f>
        <v>1</v>
      </c>
      <c r="S7144" s="5">
        <f>COUNTIF(E7095:E7145,"VIA3")</f>
        <v>11</v>
      </c>
      <c r="T7144" s="5">
        <f>COUNTIF(E7093:E7145,"VIA4")</f>
        <v>37</v>
      </c>
      <c r="U7144" s="5">
        <f>COUNTIF(E7095:E7145,"VIB")</f>
        <v>4</v>
      </c>
      <c r="V7144" s="5">
        <f>COUNTIF(E7095:E7145,"VII")</f>
        <v>0</v>
      </c>
      <c r="W7144">
        <f>AVERAGE(C7093:C7145)</f>
        <v>69.64150943396227</v>
      </c>
      <c r="X7144">
        <f>AVERAGE(D7093:D7145)</f>
        <v>269.58490566037733</v>
      </c>
    </row>
    <row r="7145" spans="1:24" s="4" customFormat="1" x14ac:dyDescent="0.35">
      <c r="A7145" s="3">
        <v>43222</v>
      </c>
      <c r="B7145" s="26" t="s">
        <v>29</v>
      </c>
      <c r="C7145" s="11">
        <v>66</v>
      </c>
      <c r="D7145" s="11">
        <v>236</v>
      </c>
      <c r="E7145" s="11" t="s">
        <v>37</v>
      </c>
      <c r="F7145" s="11" t="s">
        <v>198</v>
      </c>
      <c r="G7145" s="4" t="s">
        <v>802</v>
      </c>
      <c r="H7145" s="4" t="s">
        <v>161</v>
      </c>
      <c r="N7145" s="6">
        <f>N7144/53*100</f>
        <v>0</v>
      </c>
      <c r="O7145" s="6">
        <f t="shared" ref="O7145:V7145" si="242">O7144/53*100</f>
        <v>0</v>
      </c>
      <c r="P7145" s="6">
        <f t="shared" si="242"/>
        <v>0</v>
      </c>
      <c r="Q7145" s="6">
        <f t="shared" si="242"/>
        <v>0</v>
      </c>
      <c r="R7145" s="6">
        <f t="shared" si="242"/>
        <v>1.8867924528301887</v>
      </c>
      <c r="S7145" s="6">
        <f t="shared" si="242"/>
        <v>20.754716981132077</v>
      </c>
      <c r="T7145" s="6">
        <f t="shared" si="242"/>
        <v>69.811320754716974</v>
      </c>
      <c r="U7145" s="6">
        <f t="shared" si="242"/>
        <v>7.5471698113207548</v>
      </c>
      <c r="V7145" s="6">
        <f t="shared" si="242"/>
        <v>0</v>
      </c>
    </row>
    <row r="7146" spans="1:24" x14ac:dyDescent="0.35">
      <c r="A7146" s="2">
        <v>43222</v>
      </c>
      <c r="B7146" s="36" t="s">
        <v>143</v>
      </c>
      <c r="C7146" s="10">
        <v>62</v>
      </c>
      <c r="D7146" s="10">
        <v>172</v>
      </c>
      <c r="E7146" s="10" t="s">
        <v>33</v>
      </c>
      <c r="F7146" s="10" t="s">
        <v>476</v>
      </c>
    </row>
    <row r="7147" spans="1:24" x14ac:dyDescent="0.35">
      <c r="A7147" s="2">
        <v>43222</v>
      </c>
      <c r="B7147" s="36" t="s">
        <v>143</v>
      </c>
      <c r="C7147" s="10">
        <v>66</v>
      </c>
      <c r="D7147" s="10">
        <v>195</v>
      </c>
      <c r="E7147" s="10" t="s">
        <v>32</v>
      </c>
      <c r="F7147" s="10" t="s">
        <v>360</v>
      </c>
    </row>
    <row r="7148" spans="1:24" s="4" customFormat="1" x14ac:dyDescent="0.35">
      <c r="A7148" s="3">
        <v>43222</v>
      </c>
      <c r="B7148" s="26" t="s">
        <v>143</v>
      </c>
      <c r="C7148" s="11">
        <v>66</v>
      </c>
      <c r="D7148" s="11">
        <v>250</v>
      </c>
      <c r="E7148" s="11" t="s">
        <v>39</v>
      </c>
      <c r="F7148" s="11" t="s">
        <v>476</v>
      </c>
    </row>
    <row r="7149" spans="1:24" x14ac:dyDescent="0.35">
      <c r="A7149" s="2">
        <v>43222</v>
      </c>
      <c r="B7149" s="40" t="s">
        <v>114</v>
      </c>
      <c r="C7149" s="10">
        <v>120</v>
      </c>
      <c r="D7149" s="10">
        <v>3488</v>
      </c>
      <c r="E7149" s="10" t="s">
        <v>59</v>
      </c>
    </row>
    <row r="7150" spans="1:24" x14ac:dyDescent="0.35">
      <c r="A7150" s="2">
        <v>43222</v>
      </c>
      <c r="B7150" s="40" t="s">
        <v>114</v>
      </c>
      <c r="C7150" s="10">
        <v>162</v>
      </c>
      <c r="D7150" s="10">
        <v>7743</v>
      </c>
      <c r="E7150" s="10" t="s">
        <v>59</v>
      </c>
    </row>
    <row r="7151" spans="1:24" x14ac:dyDescent="0.35">
      <c r="A7151" s="2">
        <v>43222</v>
      </c>
      <c r="B7151" s="40" t="s">
        <v>114</v>
      </c>
      <c r="C7151" s="10">
        <v>168</v>
      </c>
      <c r="D7151" s="10">
        <v>6268</v>
      </c>
      <c r="E7151" s="10" t="s">
        <v>59</v>
      </c>
    </row>
    <row r="7152" spans="1:24" x14ac:dyDescent="0.35">
      <c r="A7152" s="2">
        <v>43222</v>
      </c>
      <c r="B7152" s="40" t="s">
        <v>114</v>
      </c>
      <c r="C7152" s="10">
        <v>75</v>
      </c>
      <c r="D7152" s="10">
        <v>420</v>
      </c>
      <c r="E7152" s="10" t="s">
        <v>32</v>
      </c>
      <c r="F7152" t="s">
        <v>360</v>
      </c>
    </row>
    <row r="7153" spans="1:22" x14ac:dyDescent="0.35">
      <c r="A7153" s="2">
        <v>43222</v>
      </c>
      <c r="B7153" s="40" t="s">
        <v>114</v>
      </c>
      <c r="C7153" s="10">
        <v>73</v>
      </c>
      <c r="D7153" s="10">
        <v>382</v>
      </c>
      <c r="E7153" s="10" t="s">
        <v>32</v>
      </c>
      <c r="F7153" t="s">
        <v>360</v>
      </c>
      <c r="H7153" t="s">
        <v>161</v>
      </c>
    </row>
    <row r="7154" spans="1:22" x14ac:dyDescent="0.35">
      <c r="A7154" s="2">
        <v>43222</v>
      </c>
      <c r="B7154" s="40" t="s">
        <v>114</v>
      </c>
      <c r="C7154" s="10">
        <v>71</v>
      </c>
      <c r="D7154" s="10">
        <v>270</v>
      </c>
      <c r="E7154" s="10" t="s">
        <v>40</v>
      </c>
      <c r="F7154" t="s">
        <v>293</v>
      </c>
    </row>
    <row r="7155" spans="1:22" x14ac:dyDescent="0.35">
      <c r="A7155" s="2">
        <v>43222</v>
      </c>
      <c r="B7155" s="40" t="s">
        <v>114</v>
      </c>
      <c r="C7155" s="10">
        <v>73</v>
      </c>
      <c r="D7155" s="10">
        <v>378</v>
      </c>
      <c r="E7155" s="10" t="s">
        <v>32</v>
      </c>
      <c r="F7155" t="s">
        <v>783</v>
      </c>
      <c r="H7155" t="s">
        <v>161</v>
      </c>
    </row>
    <row r="7156" spans="1:22" x14ac:dyDescent="0.35">
      <c r="A7156" s="2">
        <v>43222</v>
      </c>
      <c r="B7156" s="40" t="s">
        <v>114</v>
      </c>
      <c r="C7156" s="10">
        <v>75</v>
      </c>
      <c r="D7156" s="10">
        <v>354</v>
      </c>
      <c r="E7156" s="10" t="s">
        <v>33</v>
      </c>
      <c r="F7156" t="s">
        <v>476</v>
      </c>
    </row>
    <row r="7157" spans="1:22" x14ac:dyDescent="0.35">
      <c r="A7157" s="2">
        <v>43222</v>
      </c>
      <c r="B7157" s="40" t="s">
        <v>114</v>
      </c>
      <c r="C7157" s="10">
        <v>72</v>
      </c>
      <c r="D7157" s="10">
        <v>363</v>
      </c>
      <c r="E7157" s="10" t="s">
        <v>32</v>
      </c>
      <c r="F7157" t="s">
        <v>360</v>
      </c>
    </row>
    <row r="7158" spans="1:22" x14ac:dyDescent="0.35">
      <c r="A7158" s="2">
        <v>43222</v>
      </c>
      <c r="B7158" s="40" t="s">
        <v>114</v>
      </c>
      <c r="C7158" s="10">
        <v>75</v>
      </c>
      <c r="D7158" s="10">
        <v>381</v>
      </c>
      <c r="E7158" s="10" t="s">
        <v>32</v>
      </c>
      <c r="F7158" t="s">
        <v>783</v>
      </c>
      <c r="H7158" t="s">
        <v>161</v>
      </c>
    </row>
    <row r="7159" spans="1:22" s="4" customFormat="1" x14ac:dyDescent="0.35">
      <c r="A7159" s="3">
        <v>43222</v>
      </c>
      <c r="B7159" s="44" t="s">
        <v>114</v>
      </c>
      <c r="C7159" s="11">
        <v>67</v>
      </c>
      <c r="D7159" s="11">
        <v>340</v>
      </c>
      <c r="E7159" s="11" t="s">
        <v>32</v>
      </c>
      <c r="F7159" s="4" t="s">
        <v>783</v>
      </c>
      <c r="H7159" s="4" t="s">
        <v>161</v>
      </c>
    </row>
    <row r="7160" spans="1:22" x14ac:dyDescent="0.35">
      <c r="A7160" s="2">
        <v>43222</v>
      </c>
      <c r="B7160" s="40" t="s">
        <v>103</v>
      </c>
      <c r="C7160" s="10">
        <v>72</v>
      </c>
      <c r="D7160" s="10">
        <v>328</v>
      </c>
      <c r="E7160" s="10" t="s">
        <v>32</v>
      </c>
      <c r="F7160" s="10" t="s">
        <v>198</v>
      </c>
      <c r="G7160" t="s">
        <v>475</v>
      </c>
      <c r="L7160">
        <f>COUNTIF(F7160:F7339,"F0")</f>
        <v>17</v>
      </c>
    </row>
    <row r="7161" spans="1:22" x14ac:dyDescent="0.35">
      <c r="A7161" s="2">
        <v>43222</v>
      </c>
      <c r="B7161" s="40" t="s">
        <v>103</v>
      </c>
      <c r="C7161" s="10">
        <v>68</v>
      </c>
      <c r="D7161" s="10">
        <v>320</v>
      </c>
      <c r="E7161" s="10" t="s">
        <v>32</v>
      </c>
      <c r="F7161" s="10" t="s">
        <v>476</v>
      </c>
    </row>
    <row r="7162" spans="1:22" x14ac:dyDescent="0.35">
      <c r="A7162" s="2">
        <v>43222</v>
      </c>
      <c r="B7162" s="40" t="s">
        <v>103</v>
      </c>
      <c r="C7162" s="10">
        <v>70</v>
      </c>
      <c r="D7162" s="10">
        <v>360</v>
      </c>
      <c r="E7162" s="10" t="s">
        <v>32</v>
      </c>
      <c r="F7162" s="10" t="s">
        <v>360</v>
      </c>
    </row>
    <row r="7163" spans="1:22" x14ac:dyDescent="0.35">
      <c r="A7163" s="2">
        <v>43222</v>
      </c>
      <c r="B7163" s="40" t="s">
        <v>103</v>
      </c>
      <c r="C7163" s="10">
        <v>71</v>
      </c>
      <c r="D7163" s="10">
        <v>375</v>
      </c>
      <c r="E7163" s="10" t="s">
        <v>32</v>
      </c>
      <c r="F7163" s="10" t="s">
        <v>360</v>
      </c>
    </row>
    <row r="7164" spans="1:22" x14ac:dyDescent="0.35">
      <c r="A7164" s="2">
        <v>43222</v>
      </c>
      <c r="B7164" s="40" t="s">
        <v>103</v>
      </c>
      <c r="C7164" s="10">
        <v>68</v>
      </c>
      <c r="D7164" s="10">
        <v>332</v>
      </c>
      <c r="E7164" s="10" t="s">
        <v>32</v>
      </c>
      <c r="F7164" s="10" t="s">
        <v>360</v>
      </c>
      <c r="G7164" t="s">
        <v>475</v>
      </c>
    </row>
    <row r="7165" spans="1:22" x14ac:dyDescent="0.35">
      <c r="A7165" s="2">
        <v>43222</v>
      </c>
      <c r="B7165" s="40" t="s">
        <v>103</v>
      </c>
      <c r="C7165" s="10">
        <v>67</v>
      </c>
      <c r="D7165" s="10">
        <v>326</v>
      </c>
      <c r="E7165" s="10" t="s">
        <v>32</v>
      </c>
      <c r="F7165" s="10" t="s">
        <v>360</v>
      </c>
    </row>
    <row r="7166" spans="1:22" x14ac:dyDescent="0.35">
      <c r="A7166" s="2">
        <v>43222</v>
      </c>
      <c r="B7166" s="40" t="s">
        <v>103</v>
      </c>
      <c r="C7166" s="10">
        <v>65</v>
      </c>
      <c r="D7166" s="10">
        <v>234</v>
      </c>
      <c r="E7166" s="10" t="s">
        <v>32</v>
      </c>
      <c r="F7166" s="10" t="s">
        <v>360</v>
      </c>
      <c r="G7166" t="s">
        <v>475</v>
      </c>
    </row>
    <row r="7167" spans="1:22" x14ac:dyDescent="0.35">
      <c r="A7167" s="2">
        <v>43222</v>
      </c>
      <c r="B7167" s="40" t="s">
        <v>103</v>
      </c>
      <c r="C7167" s="10">
        <v>70</v>
      </c>
      <c r="D7167" s="10">
        <v>320</v>
      </c>
      <c r="E7167" s="10" t="s">
        <v>32</v>
      </c>
      <c r="F7167" s="10" t="s">
        <v>360</v>
      </c>
      <c r="N7167" t="s">
        <v>42</v>
      </c>
      <c r="O7167" t="s">
        <v>39</v>
      </c>
      <c r="P7167" t="s">
        <v>40</v>
      </c>
      <c r="Q7167" t="s">
        <v>36</v>
      </c>
      <c r="R7167" t="s">
        <v>33</v>
      </c>
      <c r="S7167" t="s">
        <v>34</v>
      </c>
      <c r="T7167" t="s">
        <v>32</v>
      </c>
      <c r="U7167" t="s">
        <v>37</v>
      </c>
      <c r="V7167" t="s">
        <v>159</v>
      </c>
    </row>
    <row r="7168" spans="1:22" x14ac:dyDescent="0.35">
      <c r="A7168" s="2">
        <v>43222</v>
      </c>
      <c r="B7168" s="40" t="s">
        <v>103</v>
      </c>
      <c r="C7168" s="10">
        <v>112</v>
      </c>
      <c r="D7168" s="10">
        <v>2276</v>
      </c>
      <c r="E7168" s="10" t="s">
        <v>59</v>
      </c>
      <c r="N7168" s="5">
        <f>COUNTIF(E7160:E7169,"VA")</f>
        <v>0</v>
      </c>
      <c r="O7168" s="5">
        <v>0</v>
      </c>
      <c r="P7168" s="5">
        <v>0</v>
      </c>
      <c r="Q7168" s="5">
        <v>0</v>
      </c>
      <c r="R7168" s="5">
        <v>0</v>
      </c>
      <c r="S7168" s="5">
        <v>0</v>
      </c>
      <c r="T7168" s="5">
        <v>8</v>
      </c>
      <c r="U7168" s="5">
        <v>0</v>
      </c>
      <c r="V7168" s="5">
        <v>0</v>
      </c>
    </row>
    <row r="7169" spans="1:22" s="4" customFormat="1" x14ac:dyDescent="0.35">
      <c r="A7169" s="3">
        <v>43222</v>
      </c>
      <c r="B7169" s="44" t="s">
        <v>103</v>
      </c>
      <c r="C7169" s="11">
        <v>116</v>
      </c>
      <c r="D7169" s="11">
        <v>2500</v>
      </c>
      <c r="E7169" s="11" t="s">
        <v>59</v>
      </c>
      <c r="N7169" s="6"/>
      <c r="O7169" s="6"/>
      <c r="P7169" s="6"/>
      <c r="Q7169" s="6"/>
      <c r="R7169" s="6"/>
      <c r="S7169" s="6"/>
      <c r="T7169" s="6"/>
      <c r="U7169" s="6"/>
      <c r="V7169" s="6"/>
    </row>
    <row r="7170" spans="1:22" x14ac:dyDescent="0.35">
      <c r="A7170" s="2">
        <v>43222</v>
      </c>
      <c r="B7170" s="40" t="s">
        <v>113</v>
      </c>
      <c r="C7170" s="10">
        <v>133</v>
      </c>
      <c r="D7170" s="10">
        <v>2910</v>
      </c>
      <c r="E7170" s="10" t="s">
        <v>59</v>
      </c>
    </row>
    <row r="7171" spans="1:22" x14ac:dyDescent="0.35">
      <c r="A7171" s="2">
        <v>43222</v>
      </c>
      <c r="B7171" s="40" t="s">
        <v>113</v>
      </c>
      <c r="C7171" s="10">
        <v>113</v>
      </c>
      <c r="D7171" s="10">
        <v>1759</v>
      </c>
      <c r="E7171" s="10" t="s">
        <v>59</v>
      </c>
    </row>
    <row r="7172" spans="1:22" x14ac:dyDescent="0.35">
      <c r="A7172" s="2">
        <v>43222</v>
      </c>
      <c r="B7172" s="40" t="s">
        <v>113</v>
      </c>
      <c r="C7172" s="10">
        <v>66</v>
      </c>
      <c r="D7172" s="10">
        <v>251</v>
      </c>
      <c r="E7172" s="10" t="s">
        <v>32</v>
      </c>
      <c r="F7172" t="s">
        <v>360</v>
      </c>
      <c r="G7172" t="s">
        <v>475</v>
      </c>
    </row>
    <row r="7173" spans="1:22" x14ac:dyDescent="0.35">
      <c r="A7173" s="2">
        <v>43222</v>
      </c>
      <c r="B7173" s="40" t="s">
        <v>113</v>
      </c>
      <c r="C7173" s="10">
        <v>72</v>
      </c>
      <c r="D7173" s="10">
        <v>329</v>
      </c>
      <c r="E7173" s="10" t="s">
        <v>32</v>
      </c>
      <c r="F7173" t="s">
        <v>293</v>
      </c>
      <c r="G7173" t="s">
        <v>475</v>
      </c>
    </row>
    <row r="7174" spans="1:22" x14ac:dyDescent="0.35">
      <c r="A7174" s="2">
        <v>43222</v>
      </c>
      <c r="B7174" s="40" t="s">
        <v>113</v>
      </c>
      <c r="C7174" s="10">
        <v>70</v>
      </c>
      <c r="D7174" s="10">
        <v>315</v>
      </c>
      <c r="E7174" s="10" t="s">
        <v>34</v>
      </c>
      <c r="F7174" t="s">
        <v>476</v>
      </c>
    </row>
    <row r="7175" spans="1:22" x14ac:dyDescent="0.35">
      <c r="A7175" s="2">
        <v>43222</v>
      </c>
      <c r="B7175" s="40" t="s">
        <v>113</v>
      </c>
      <c r="C7175" s="10">
        <v>78</v>
      </c>
      <c r="D7175" s="10">
        <v>337</v>
      </c>
      <c r="E7175" s="10" t="s">
        <v>33</v>
      </c>
      <c r="F7175" t="s">
        <v>646</v>
      </c>
    </row>
    <row r="7176" spans="1:22" x14ac:dyDescent="0.35">
      <c r="A7176" s="2">
        <v>43222</v>
      </c>
      <c r="B7176" s="40" t="s">
        <v>113</v>
      </c>
      <c r="C7176" s="10">
        <v>69</v>
      </c>
      <c r="D7176" s="10">
        <v>322</v>
      </c>
      <c r="E7176" s="10" t="s">
        <v>34</v>
      </c>
      <c r="F7176" t="s">
        <v>646</v>
      </c>
    </row>
    <row r="7177" spans="1:22" x14ac:dyDescent="0.35">
      <c r="A7177" s="2">
        <v>43222</v>
      </c>
      <c r="B7177" s="40" t="s">
        <v>113</v>
      </c>
      <c r="C7177" s="10">
        <v>65</v>
      </c>
      <c r="D7177" s="10">
        <v>286</v>
      </c>
      <c r="E7177" s="10" t="s">
        <v>34</v>
      </c>
      <c r="F7177" t="s">
        <v>198</v>
      </c>
    </row>
    <row r="7178" spans="1:22" x14ac:dyDescent="0.35">
      <c r="A7178" s="2">
        <v>43222</v>
      </c>
      <c r="B7178" s="40" t="s">
        <v>113</v>
      </c>
      <c r="C7178" s="10">
        <v>65</v>
      </c>
      <c r="D7178" s="10">
        <v>242</v>
      </c>
      <c r="E7178" s="10" t="s">
        <v>32</v>
      </c>
      <c r="F7178" t="s">
        <v>360</v>
      </c>
    </row>
    <row r="7179" spans="1:22" x14ac:dyDescent="0.35">
      <c r="A7179" s="2">
        <v>43222</v>
      </c>
      <c r="B7179" s="40" t="s">
        <v>113</v>
      </c>
      <c r="C7179" s="10">
        <v>64</v>
      </c>
      <c r="D7179" s="10">
        <v>258</v>
      </c>
      <c r="E7179" s="10" t="s">
        <v>34</v>
      </c>
      <c r="F7179" t="s">
        <v>293</v>
      </c>
    </row>
    <row r="7180" spans="1:22" s="4" customFormat="1" x14ac:dyDescent="0.35">
      <c r="A7180" s="3">
        <v>43222</v>
      </c>
      <c r="B7180" s="44" t="s">
        <v>113</v>
      </c>
      <c r="C7180" s="11">
        <v>73</v>
      </c>
      <c r="D7180" s="11">
        <v>323</v>
      </c>
      <c r="E7180" s="11" t="s">
        <v>34</v>
      </c>
      <c r="F7180" s="4" t="s">
        <v>476</v>
      </c>
    </row>
    <row r="7181" spans="1:22" x14ac:dyDescent="0.35">
      <c r="A7181" s="2">
        <v>43222</v>
      </c>
      <c r="B7181" s="40" t="s">
        <v>63</v>
      </c>
      <c r="C7181" s="10">
        <v>135</v>
      </c>
      <c r="D7181" s="10">
        <v>3676</v>
      </c>
      <c r="E7181" s="10" t="s">
        <v>59</v>
      </c>
    </row>
    <row r="7182" spans="1:22" x14ac:dyDescent="0.35">
      <c r="A7182" s="2">
        <v>43222</v>
      </c>
      <c r="B7182" s="40" t="s">
        <v>63</v>
      </c>
      <c r="C7182" s="10">
        <v>75</v>
      </c>
      <c r="D7182" s="10">
        <v>306</v>
      </c>
      <c r="E7182" s="10" t="s">
        <v>32</v>
      </c>
      <c r="F7182" t="s">
        <v>360</v>
      </c>
    </row>
    <row r="7183" spans="1:22" x14ac:dyDescent="0.35">
      <c r="A7183" s="2">
        <v>43222</v>
      </c>
      <c r="B7183" s="40" t="s">
        <v>63</v>
      </c>
      <c r="C7183" s="10">
        <v>75</v>
      </c>
      <c r="D7183" s="10">
        <v>330</v>
      </c>
      <c r="E7183" s="10" t="s">
        <v>32</v>
      </c>
      <c r="F7183" t="s">
        <v>360</v>
      </c>
      <c r="H7183" t="s">
        <v>161</v>
      </c>
    </row>
    <row r="7184" spans="1:22" x14ac:dyDescent="0.35">
      <c r="A7184" s="2">
        <v>43222</v>
      </c>
      <c r="B7184" s="40" t="s">
        <v>63</v>
      </c>
      <c r="C7184" s="10">
        <v>67</v>
      </c>
      <c r="D7184" s="10">
        <v>304</v>
      </c>
      <c r="E7184" s="10" t="s">
        <v>32</v>
      </c>
      <c r="F7184" t="s">
        <v>293</v>
      </c>
    </row>
    <row r="7185" spans="1:9" x14ac:dyDescent="0.35">
      <c r="A7185" s="2">
        <v>43222</v>
      </c>
      <c r="B7185" s="40" t="s">
        <v>63</v>
      </c>
      <c r="C7185" s="10">
        <v>66</v>
      </c>
      <c r="D7185" s="10">
        <v>270</v>
      </c>
      <c r="E7185" s="10" t="s">
        <v>32</v>
      </c>
      <c r="F7185" t="s">
        <v>360</v>
      </c>
    </row>
    <row r="7186" spans="1:9" x14ac:dyDescent="0.35">
      <c r="A7186" s="2">
        <v>43222</v>
      </c>
      <c r="B7186" s="40" t="s">
        <v>63</v>
      </c>
      <c r="C7186" s="10">
        <v>68</v>
      </c>
      <c r="D7186" s="10">
        <v>278</v>
      </c>
      <c r="E7186" s="10" t="s">
        <v>32</v>
      </c>
      <c r="F7186" t="s">
        <v>646</v>
      </c>
    </row>
    <row r="7187" spans="1:9" x14ac:dyDescent="0.35">
      <c r="A7187" s="2">
        <v>43222</v>
      </c>
      <c r="B7187" s="40" t="s">
        <v>63</v>
      </c>
      <c r="C7187" s="10">
        <v>70</v>
      </c>
      <c r="D7187" s="10">
        <v>302</v>
      </c>
      <c r="E7187" s="10" t="s">
        <v>32</v>
      </c>
      <c r="F7187" t="s">
        <v>476</v>
      </c>
    </row>
    <row r="7188" spans="1:9" x14ac:dyDescent="0.35">
      <c r="A7188" s="2">
        <v>43222</v>
      </c>
      <c r="B7188" s="40" t="s">
        <v>63</v>
      </c>
      <c r="C7188" s="10">
        <v>70</v>
      </c>
      <c r="D7188" s="10">
        <v>306</v>
      </c>
      <c r="E7188" s="10" t="s">
        <v>32</v>
      </c>
      <c r="F7188" t="s">
        <v>783</v>
      </c>
      <c r="H7188" t="s">
        <v>161</v>
      </c>
    </row>
    <row r="7189" spans="1:9" x14ac:dyDescent="0.35">
      <c r="A7189" s="2">
        <v>43222</v>
      </c>
      <c r="B7189" s="40" t="s">
        <v>63</v>
      </c>
      <c r="C7189" s="10">
        <v>65</v>
      </c>
      <c r="D7189" s="10">
        <v>271</v>
      </c>
      <c r="E7189" s="10" t="s">
        <v>32</v>
      </c>
      <c r="F7189" t="s">
        <v>360</v>
      </c>
    </row>
    <row r="7190" spans="1:9" x14ac:dyDescent="0.35">
      <c r="A7190" s="2">
        <v>43222</v>
      </c>
      <c r="B7190" s="40" t="s">
        <v>63</v>
      </c>
      <c r="C7190" s="10">
        <v>68</v>
      </c>
      <c r="D7190" s="10">
        <v>255</v>
      </c>
      <c r="E7190" s="10" t="s">
        <v>32</v>
      </c>
      <c r="F7190" t="s">
        <v>783</v>
      </c>
      <c r="H7190" t="s">
        <v>161</v>
      </c>
    </row>
    <row r="7191" spans="1:9" x14ac:dyDescent="0.35">
      <c r="A7191" s="2">
        <v>43222</v>
      </c>
      <c r="B7191" s="40" t="s">
        <v>63</v>
      </c>
      <c r="C7191" s="10">
        <v>71</v>
      </c>
      <c r="D7191" s="10">
        <v>273</v>
      </c>
      <c r="E7191" s="10" t="s">
        <v>32</v>
      </c>
      <c r="F7191" t="s">
        <v>360</v>
      </c>
      <c r="H7191" t="s">
        <v>161</v>
      </c>
      <c r="I7191" t="s">
        <v>801</v>
      </c>
    </row>
    <row r="7192" spans="1:9" x14ac:dyDescent="0.35">
      <c r="A7192" s="2">
        <v>43222</v>
      </c>
      <c r="B7192" s="40" t="s">
        <v>63</v>
      </c>
      <c r="C7192" s="10">
        <v>62</v>
      </c>
      <c r="D7192" s="10">
        <v>170</v>
      </c>
      <c r="E7192" s="10" t="s">
        <v>32</v>
      </c>
      <c r="F7192" t="s">
        <v>360</v>
      </c>
    </row>
    <row r="7193" spans="1:9" x14ac:dyDescent="0.35">
      <c r="A7193" s="2">
        <v>43222</v>
      </c>
      <c r="B7193" s="40" t="s">
        <v>63</v>
      </c>
      <c r="C7193" s="10">
        <v>69</v>
      </c>
      <c r="D7193" s="10">
        <v>245</v>
      </c>
      <c r="E7193" s="10" t="s">
        <v>32</v>
      </c>
      <c r="F7193" t="s">
        <v>360</v>
      </c>
      <c r="H7193" t="s">
        <v>161</v>
      </c>
    </row>
    <row r="7194" spans="1:9" x14ac:dyDescent="0.35">
      <c r="A7194" s="2">
        <v>43222</v>
      </c>
      <c r="B7194" s="40" t="s">
        <v>63</v>
      </c>
      <c r="C7194" s="10">
        <v>70</v>
      </c>
      <c r="D7194" s="10">
        <v>306</v>
      </c>
      <c r="E7194" s="10" t="s">
        <v>32</v>
      </c>
      <c r="F7194" t="s">
        <v>293</v>
      </c>
    </row>
    <row r="7195" spans="1:9" x14ac:dyDescent="0.35">
      <c r="A7195" s="2">
        <v>43222</v>
      </c>
      <c r="B7195" s="40" t="s">
        <v>63</v>
      </c>
      <c r="C7195" s="10">
        <v>72</v>
      </c>
      <c r="D7195" s="10">
        <v>280</v>
      </c>
      <c r="E7195" s="10" t="s">
        <v>32</v>
      </c>
      <c r="F7195" t="s">
        <v>293</v>
      </c>
    </row>
    <row r="7196" spans="1:9" x14ac:dyDescent="0.35">
      <c r="A7196" s="2">
        <v>43222</v>
      </c>
      <c r="B7196" s="40" t="s">
        <v>63</v>
      </c>
      <c r="C7196" s="10">
        <v>72</v>
      </c>
      <c r="D7196" s="10">
        <v>292</v>
      </c>
      <c r="E7196" s="10" t="s">
        <v>37</v>
      </c>
      <c r="F7196" t="s">
        <v>646</v>
      </c>
      <c r="H7196" t="s">
        <v>161</v>
      </c>
    </row>
    <row r="7197" spans="1:9" x14ac:dyDescent="0.35">
      <c r="A7197" s="2">
        <v>43222</v>
      </c>
      <c r="B7197" s="40" t="s">
        <v>63</v>
      </c>
      <c r="C7197" s="10">
        <v>67</v>
      </c>
      <c r="D7197" s="10">
        <v>331</v>
      </c>
      <c r="E7197" s="10" t="s">
        <v>32</v>
      </c>
      <c r="F7197" t="s">
        <v>360</v>
      </c>
    </row>
    <row r="7198" spans="1:9" x14ac:dyDescent="0.35">
      <c r="A7198" s="2">
        <v>43222</v>
      </c>
      <c r="B7198" s="40" t="s">
        <v>63</v>
      </c>
      <c r="C7198" s="10">
        <v>74</v>
      </c>
      <c r="D7198" s="10">
        <v>240</v>
      </c>
      <c r="E7198" s="10" t="s">
        <v>32</v>
      </c>
      <c r="F7198" t="s">
        <v>646</v>
      </c>
    </row>
    <row r="7199" spans="1:9" x14ac:dyDescent="0.35">
      <c r="A7199" s="2">
        <v>43222</v>
      </c>
      <c r="B7199" s="40" t="s">
        <v>63</v>
      </c>
      <c r="C7199" s="10">
        <v>71</v>
      </c>
      <c r="D7199" s="10">
        <v>292</v>
      </c>
      <c r="E7199" s="10" t="s">
        <v>32</v>
      </c>
      <c r="F7199" t="s">
        <v>360</v>
      </c>
      <c r="H7199" t="s">
        <v>161</v>
      </c>
    </row>
    <row r="7200" spans="1:9" x14ac:dyDescent="0.35">
      <c r="A7200" s="2">
        <v>43222</v>
      </c>
      <c r="B7200" s="40" t="s">
        <v>63</v>
      </c>
      <c r="C7200" s="10">
        <v>73</v>
      </c>
      <c r="D7200" s="10">
        <v>330</v>
      </c>
      <c r="E7200" s="10" t="s">
        <v>32</v>
      </c>
      <c r="F7200" t="s">
        <v>198</v>
      </c>
      <c r="H7200" t="s">
        <v>161</v>
      </c>
    </row>
    <row r="7201" spans="1:8" x14ac:dyDescent="0.35">
      <c r="A7201" s="2">
        <v>43222</v>
      </c>
      <c r="B7201" s="40" t="s">
        <v>63</v>
      </c>
      <c r="C7201" s="10">
        <v>72</v>
      </c>
      <c r="D7201" s="10">
        <v>333</v>
      </c>
      <c r="E7201" s="10" t="s">
        <v>32</v>
      </c>
      <c r="F7201" t="s">
        <v>198</v>
      </c>
      <c r="G7201" t="s">
        <v>475</v>
      </c>
    </row>
    <row r="7202" spans="1:8" x14ac:dyDescent="0.35">
      <c r="A7202" s="2">
        <v>43222</v>
      </c>
      <c r="B7202" s="40" t="s">
        <v>63</v>
      </c>
      <c r="C7202" s="10">
        <v>75</v>
      </c>
      <c r="D7202" s="10">
        <v>352</v>
      </c>
      <c r="E7202" s="10" t="s">
        <v>32</v>
      </c>
      <c r="F7202" t="s">
        <v>360</v>
      </c>
      <c r="H7202" t="s">
        <v>161</v>
      </c>
    </row>
    <row r="7203" spans="1:8" x14ac:dyDescent="0.35">
      <c r="A7203" s="2">
        <v>43222</v>
      </c>
      <c r="B7203" s="40" t="s">
        <v>63</v>
      </c>
      <c r="C7203" s="10">
        <v>67</v>
      </c>
      <c r="D7203" s="10">
        <v>198</v>
      </c>
      <c r="E7203" s="10" t="s">
        <v>32</v>
      </c>
      <c r="F7203" t="s">
        <v>293</v>
      </c>
    </row>
    <row r="7204" spans="1:8" x14ac:dyDescent="0.35">
      <c r="A7204" s="2">
        <v>43222</v>
      </c>
      <c r="B7204" s="40" t="s">
        <v>63</v>
      </c>
      <c r="C7204" s="10">
        <v>70</v>
      </c>
      <c r="D7204" s="10">
        <v>275</v>
      </c>
      <c r="E7204" s="10" t="s">
        <v>32</v>
      </c>
      <c r="F7204" t="s">
        <v>198</v>
      </c>
    </row>
    <row r="7205" spans="1:8" x14ac:dyDescent="0.35">
      <c r="A7205" s="2">
        <v>43222</v>
      </c>
      <c r="B7205" s="40" t="s">
        <v>63</v>
      </c>
      <c r="C7205" s="10">
        <v>74</v>
      </c>
      <c r="D7205" s="10">
        <v>295</v>
      </c>
      <c r="E7205" s="10" t="s">
        <v>34</v>
      </c>
      <c r="F7205" t="s">
        <v>198</v>
      </c>
    </row>
    <row r="7206" spans="1:8" x14ac:dyDescent="0.35">
      <c r="A7206" s="2">
        <v>43222</v>
      </c>
      <c r="B7206" s="40" t="s">
        <v>63</v>
      </c>
      <c r="C7206" s="10">
        <v>63</v>
      </c>
      <c r="D7206" s="10">
        <v>167</v>
      </c>
      <c r="E7206" s="10" t="s">
        <v>32</v>
      </c>
      <c r="F7206" t="s">
        <v>360</v>
      </c>
    </row>
    <row r="7207" spans="1:8" x14ac:dyDescent="0.35">
      <c r="A7207" s="2">
        <v>43222</v>
      </c>
      <c r="B7207" s="40" t="s">
        <v>63</v>
      </c>
      <c r="C7207" s="10">
        <v>63</v>
      </c>
      <c r="D7207" s="10">
        <v>274</v>
      </c>
      <c r="E7207" s="10" t="s">
        <v>32</v>
      </c>
      <c r="F7207" t="s">
        <v>360</v>
      </c>
    </row>
    <row r="7208" spans="1:8" x14ac:dyDescent="0.35">
      <c r="A7208" s="2">
        <v>43222</v>
      </c>
      <c r="B7208" s="40" t="s">
        <v>63</v>
      </c>
      <c r="C7208" s="10">
        <v>65</v>
      </c>
      <c r="D7208" s="10">
        <v>235</v>
      </c>
      <c r="E7208" s="10" t="s">
        <v>32</v>
      </c>
      <c r="F7208" t="s">
        <v>198</v>
      </c>
    </row>
    <row r="7209" spans="1:8" x14ac:dyDescent="0.35">
      <c r="A7209" s="2">
        <v>43222</v>
      </c>
      <c r="B7209" s="40" t="s">
        <v>63</v>
      </c>
      <c r="C7209" s="10">
        <v>73</v>
      </c>
      <c r="D7209" s="10">
        <v>380</v>
      </c>
      <c r="E7209" s="10" t="s">
        <v>32</v>
      </c>
      <c r="F7209" t="s">
        <v>360</v>
      </c>
    </row>
    <row r="7210" spans="1:8" x14ac:dyDescent="0.35">
      <c r="A7210" s="2">
        <v>43222</v>
      </c>
      <c r="B7210" s="40" t="s">
        <v>63</v>
      </c>
      <c r="C7210" s="10">
        <v>63</v>
      </c>
      <c r="D7210" s="10">
        <v>210</v>
      </c>
      <c r="E7210" s="10" t="s">
        <v>32</v>
      </c>
      <c r="F7210" t="s">
        <v>360</v>
      </c>
      <c r="H7210" t="s">
        <v>161</v>
      </c>
    </row>
    <row r="7211" spans="1:8" x14ac:dyDescent="0.35">
      <c r="A7211" s="2">
        <v>43222</v>
      </c>
      <c r="B7211" s="40" t="s">
        <v>63</v>
      </c>
      <c r="C7211" s="10">
        <v>73</v>
      </c>
      <c r="D7211" s="10">
        <v>345</v>
      </c>
      <c r="E7211" s="10" t="s">
        <v>32</v>
      </c>
      <c r="F7211" t="s">
        <v>360</v>
      </c>
    </row>
    <row r="7212" spans="1:8" x14ac:dyDescent="0.35">
      <c r="A7212" s="2">
        <v>43222</v>
      </c>
      <c r="B7212" s="40" t="s">
        <v>63</v>
      </c>
      <c r="C7212" s="10">
        <v>70</v>
      </c>
      <c r="D7212" s="10">
        <v>273</v>
      </c>
      <c r="E7212" s="10" t="s">
        <v>32</v>
      </c>
      <c r="F7212" t="s">
        <v>360</v>
      </c>
    </row>
    <row r="7213" spans="1:8" s="4" customFormat="1" x14ac:dyDescent="0.35">
      <c r="A7213" s="3">
        <v>43222</v>
      </c>
      <c r="B7213" s="44" t="s">
        <v>63</v>
      </c>
      <c r="C7213" s="11">
        <v>58</v>
      </c>
      <c r="D7213" s="11">
        <v>160</v>
      </c>
      <c r="E7213" s="11" t="s">
        <v>32</v>
      </c>
      <c r="F7213" s="4" t="s">
        <v>360</v>
      </c>
    </row>
    <row r="7214" spans="1:8" x14ac:dyDescent="0.35">
      <c r="A7214" s="2">
        <v>43222</v>
      </c>
      <c r="B7214" s="40" t="s">
        <v>104</v>
      </c>
      <c r="C7214" s="10">
        <v>68</v>
      </c>
      <c r="D7214" s="10">
        <v>232</v>
      </c>
      <c r="E7214" s="10" t="s">
        <v>32</v>
      </c>
      <c r="F7214" s="10" t="s">
        <v>360</v>
      </c>
    </row>
    <row r="7215" spans="1:8" x14ac:dyDescent="0.35">
      <c r="A7215" s="2">
        <v>43222</v>
      </c>
      <c r="B7215" s="40" t="s">
        <v>104</v>
      </c>
      <c r="C7215" s="10">
        <v>65</v>
      </c>
      <c r="D7215" s="10">
        <v>245</v>
      </c>
      <c r="E7215" s="10" t="s">
        <v>32</v>
      </c>
      <c r="F7215" s="10" t="s">
        <v>360</v>
      </c>
      <c r="G7215" t="s">
        <v>475</v>
      </c>
    </row>
    <row r="7216" spans="1:8" x14ac:dyDescent="0.35">
      <c r="A7216" s="2">
        <v>43222</v>
      </c>
      <c r="B7216" s="40" t="s">
        <v>104</v>
      </c>
      <c r="C7216" s="10">
        <v>65</v>
      </c>
      <c r="D7216" s="10">
        <v>278</v>
      </c>
      <c r="E7216" s="10" t="s">
        <v>32</v>
      </c>
      <c r="F7216" s="10" t="s">
        <v>360</v>
      </c>
      <c r="H7216" t="s">
        <v>161</v>
      </c>
    </row>
    <row r="7217" spans="1:8" x14ac:dyDescent="0.35">
      <c r="A7217" s="2">
        <v>43222</v>
      </c>
      <c r="B7217" s="40" t="s">
        <v>104</v>
      </c>
      <c r="C7217" s="10">
        <v>71</v>
      </c>
      <c r="D7217" s="10">
        <v>285</v>
      </c>
      <c r="E7217" s="10" t="s">
        <v>32</v>
      </c>
      <c r="F7217" s="10" t="s">
        <v>198</v>
      </c>
    </row>
    <row r="7218" spans="1:8" x14ac:dyDescent="0.35">
      <c r="A7218" s="2">
        <v>43222</v>
      </c>
      <c r="B7218" s="40" t="s">
        <v>104</v>
      </c>
      <c r="C7218" s="10">
        <v>64</v>
      </c>
      <c r="D7218" s="10">
        <v>177</v>
      </c>
      <c r="E7218" s="10" t="s">
        <v>32</v>
      </c>
      <c r="F7218" s="10" t="s">
        <v>360</v>
      </c>
      <c r="H7218" t="s">
        <v>161</v>
      </c>
    </row>
    <row r="7219" spans="1:8" x14ac:dyDescent="0.35">
      <c r="A7219" s="2">
        <v>43222</v>
      </c>
      <c r="B7219" s="40" t="s">
        <v>104</v>
      </c>
      <c r="C7219" s="10">
        <v>67</v>
      </c>
      <c r="D7219" s="10">
        <v>211</v>
      </c>
      <c r="E7219" s="10" t="s">
        <v>32</v>
      </c>
      <c r="F7219" s="10" t="s">
        <v>646</v>
      </c>
    </row>
    <row r="7220" spans="1:8" x14ac:dyDescent="0.35">
      <c r="A7220" s="2">
        <v>43222</v>
      </c>
      <c r="B7220" s="40" t="s">
        <v>104</v>
      </c>
      <c r="C7220" s="10">
        <v>67</v>
      </c>
      <c r="D7220" s="10">
        <v>275</v>
      </c>
      <c r="E7220" s="10" t="s">
        <v>32</v>
      </c>
      <c r="F7220" s="10" t="s">
        <v>360</v>
      </c>
      <c r="H7220" t="s">
        <v>161</v>
      </c>
    </row>
    <row r="7221" spans="1:8" x14ac:dyDescent="0.35">
      <c r="A7221" s="2">
        <v>43222</v>
      </c>
      <c r="B7221" s="40" t="s">
        <v>104</v>
      </c>
      <c r="C7221" s="10">
        <v>70</v>
      </c>
      <c r="D7221" s="10">
        <v>331</v>
      </c>
      <c r="E7221" s="10" t="s">
        <v>32</v>
      </c>
      <c r="F7221" s="10" t="s">
        <v>360</v>
      </c>
      <c r="H7221" t="s">
        <v>161</v>
      </c>
    </row>
    <row r="7222" spans="1:8" x14ac:dyDescent="0.35">
      <c r="A7222" s="2">
        <v>43222</v>
      </c>
      <c r="B7222" s="40" t="s">
        <v>104</v>
      </c>
      <c r="C7222" s="10">
        <v>70</v>
      </c>
      <c r="D7222" s="10">
        <v>329</v>
      </c>
      <c r="E7222" s="10" t="s">
        <v>32</v>
      </c>
      <c r="F7222" s="10" t="s">
        <v>360</v>
      </c>
    </row>
    <row r="7223" spans="1:8" x14ac:dyDescent="0.35">
      <c r="A7223" s="2">
        <v>43222</v>
      </c>
      <c r="B7223" s="40" t="s">
        <v>104</v>
      </c>
      <c r="C7223" s="10">
        <v>70</v>
      </c>
      <c r="D7223" s="10">
        <v>334</v>
      </c>
      <c r="E7223" s="10" t="s">
        <v>32</v>
      </c>
      <c r="F7223" s="10" t="s">
        <v>360</v>
      </c>
      <c r="H7223" t="s">
        <v>161</v>
      </c>
    </row>
    <row r="7224" spans="1:8" x14ac:dyDescent="0.35">
      <c r="A7224" s="2">
        <v>43222</v>
      </c>
      <c r="B7224" s="40" t="s">
        <v>104</v>
      </c>
      <c r="C7224" s="10">
        <v>74</v>
      </c>
      <c r="D7224" s="10">
        <v>314</v>
      </c>
      <c r="E7224" s="10" t="s">
        <v>32</v>
      </c>
      <c r="F7224" s="10" t="s">
        <v>198</v>
      </c>
    </row>
    <row r="7225" spans="1:8" x14ac:dyDescent="0.35">
      <c r="A7225" s="2">
        <v>43222</v>
      </c>
      <c r="B7225" s="40" t="s">
        <v>104</v>
      </c>
      <c r="C7225" s="10">
        <v>70</v>
      </c>
      <c r="D7225" s="10">
        <v>261</v>
      </c>
      <c r="E7225" s="10" t="s">
        <v>32</v>
      </c>
      <c r="F7225" s="10" t="s">
        <v>198</v>
      </c>
    </row>
    <row r="7226" spans="1:8" x14ac:dyDescent="0.35">
      <c r="A7226" s="2">
        <v>43222</v>
      </c>
      <c r="B7226" s="40" t="s">
        <v>104</v>
      </c>
      <c r="C7226" s="10">
        <v>80</v>
      </c>
      <c r="D7226" s="10">
        <v>462</v>
      </c>
      <c r="E7226" s="10" t="s">
        <v>32</v>
      </c>
      <c r="F7226" s="10" t="s">
        <v>360</v>
      </c>
      <c r="H7226" t="s">
        <v>161</v>
      </c>
    </row>
    <row r="7227" spans="1:8" x14ac:dyDescent="0.35">
      <c r="A7227" s="2">
        <v>43222</v>
      </c>
      <c r="B7227" s="40" t="s">
        <v>104</v>
      </c>
      <c r="C7227" s="10">
        <v>74</v>
      </c>
      <c r="D7227" s="10">
        <v>356</v>
      </c>
      <c r="E7227" s="10" t="s">
        <v>32</v>
      </c>
      <c r="F7227" s="10" t="s">
        <v>360</v>
      </c>
    </row>
    <row r="7228" spans="1:8" x14ac:dyDescent="0.35">
      <c r="A7228" s="2">
        <v>43222</v>
      </c>
      <c r="B7228" s="40" t="s">
        <v>104</v>
      </c>
      <c r="C7228" s="10">
        <v>66</v>
      </c>
      <c r="D7228" s="10">
        <v>256</v>
      </c>
      <c r="E7228" s="10" t="s">
        <v>34</v>
      </c>
      <c r="F7228" s="10" t="s">
        <v>360</v>
      </c>
    </row>
    <row r="7229" spans="1:8" x14ac:dyDescent="0.35">
      <c r="A7229" s="2">
        <v>43222</v>
      </c>
      <c r="B7229" s="40" t="s">
        <v>104</v>
      </c>
      <c r="C7229" s="10">
        <v>68</v>
      </c>
      <c r="D7229" s="10">
        <v>312</v>
      </c>
      <c r="E7229" s="10" t="s">
        <v>32</v>
      </c>
      <c r="F7229" s="10" t="s">
        <v>360</v>
      </c>
    </row>
    <row r="7230" spans="1:8" x14ac:dyDescent="0.35">
      <c r="A7230" s="2">
        <v>43222</v>
      </c>
      <c r="B7230" s="40" t="s">
        <v>104</v>
      </c>
      <c r="C7230" s="10">
        <v>66</v>
      </c>
      <c r="D7230" s="10">
        <v>237</v>
      </c>
      <c r="E7230" s="10" t="s">
        <v>32</v>
      </c>
      <c r="F7230" s="10" t="s">
        <v>360</v>
      </c>
    </row>
    <row r="7231" spans="1:8" x14ac:dyDescent="0.35">
      <c r="A7231" s="2">
        <v>43222</v>
      </c>
      <c r="B7231" s="40" t="s">
        <v>104</v>
      </c>
      <c r="C7231" s="10">
        <v>68</v>
      </c>
      <c r="D7231" s="10">
        <v>231</v>
      </c>
      <c r="E7231" s="10" t="s">
        <v>32</v>
      </c>
      <c r="F7231" s="10" t="s">
        <v>360</v>
      </c>
      <c r="G7231" t="s">
        <v>475</v>
      </c>
      <c r="H7231" t="s">
        <v>161</v>
      </c>
    </row>
    <row r="7232" spans="1:8" x14ac:dyDescent="0.35">
      <c r="A7232" s="2">
        <v>43222</v>
      </c>
      <c r="B7232" s="40" t="s">
        <v>104</v>
      </c>
      <c r="C7232" s="10">
        <v>71</v>
      </c>
      <c r="D7232" s="10">
        <v>355</v>
      </c>
      <c r="E7232" s="10" t="s">
        <v>32</v>
      </c>
      <c r="F7232" s="10" t="s">
        <v>198</v>
      </c>
    </row>
    <row r="7233" spans="1:8" x14ac:dyDescent="0.35">
      <c r="A7233" s="2">
        <v>43222</v>
      </c>
      <c r="B7233" s="40" t="s">
        <v>104</v>
      </c>
      <c r="C7233" s="10">
        <v>67</v>
      </c>
      <c r="D7233" s="10">
        <v>198</v>
      </c>
      <c r="E7233" s="10" t="s">
        <v>32</v>
      </c>
      <c r="F7233" s="10" t="s">
        <v>198</v>
      </c>
      <c r="H7233" t="s">
        <v>161</v>
      </c>
    </row>
    <row r="7234" spans="1:8" x14ac:dyDescent="0.35">
      <c r="A7234" s="2">
        <v>43222</v>
      </c>
      <c r="B7234" s="40" t="s">
        <v>104</v>
      </c>
      <c r="C7234" s="10">
        <v>63</v>
      </c>
      <c r="D7234" s="10">
        <v>224</v>
      </c>
      <c r="E7234" s="10" t="s">
        <v>32</v>
      </c>
      <c r="F7234" s="10" t="s">
        <v>360</v>
      </c>
      <c r="H7234" t="s">
        <v>161</v>
      </c>
    </row>
    <row r="7235" spans="1:8" x14ac:dyDescent="0.35">
      <c r="A7235" s="2">
        <v>43222</v>
      </c>
      <c r="B7235" s="40" t="s">
        <v>104</v>
      </c>
      <c r="C7235" s="10">
        <v>71</v>
      </c>
      <c r="D7235" s="10">
        <v>362</v>
      </c>
      <c r="E7235" s="10" t="s">
        <v>32</v>
      </c>
      <c r="F7235" s="10" t="s">
        <v>360</v>
      </c>
    </row>
    <row r="7236" spans="1:8" x14ac:dyDescent="0.35">
      <c r="A7236" s="2">
        <v>43222</v>
      </c>
      <c r="B7236" s="40" t="s">
        <v>104</v>
      </c>
      <c r="C7236" s="10">
        <v>66</v>
      </c>
      <c r="D7236" s="10">
        <v>233</v>
      </c>
      <c r="E7236" s="10" t="s">
        <v>32</v>
      </c>
      <c r="F7236" s="10" t="s">
        <v>293</v>
      </c>
    </row>
    <row r="7237" spans="1:8" x14ac:dyDescent="0.35">
      <c r="A7237" s="2">
        <v>43222</v>
      </c>
      <c r="B7237" s="40" t="s">
        <v>104</v>
      </c>
      <c r="C7237" s="10">
        <v>65</v>
      </c>
      <c r="D7237" s="10">
        <v>273</v>
      </c>
      <c r="E7237" s="10" t="s">
        <v>32</v>
      </c>
      <c r="F7237" s="10" t="s">
        <v>360</v>
      </c>
    </row>
    <row r="7238" spans="1:8" x14ac:dyDescent="0.35">
      <c r="A7238" s="2">
        <v>43222</v>
      </c>
      <c r="B7238" s="40" t="s">
        <v>104</v>
      </c>
      <c r="C7238" s="10">
        <v>70</v>
      </c>
      <c r="D7238" s="10">
        <v>306</v>
      </c>
      <c r="E7238" s="10" t="s">
        <v>32</v>
      </c>
      <c r="F7238" s="10" t="s">
        <v>198</v>
      </c>
    </row>
    <row r="7239" spans="1:8" x14ac:dyDescent="0.35">
      <c r="A7239" s="2">
        <v>43222</v>
      </c>
      <c r="B7239" s="40" t="s">
        <v>104</v>
      </c>
      <c r="C7239" s="10">
        <v>75</v>
      </c>
      <c r="D7239" s="10">
        <v>332</v>
      </c>
      <c r="E7239" s="10" t="s">
        <v>37</v>
      </c>
      <c r="F7239" s="10" t="s">
        <v>360</v>
      </c>
    </row>
    <row r="7240" spans="1:8" x14ac:dyDescent="0.35">
      <c r="A7240" s="2">
        <v>43222</v>
      </c>
      <c r="B7240" s="40" t="s">
        <v>104</v>
      </c>
      <c r="C7240" s="10">
        <v>72</v>
      </c>
      <c r="D7240" s="10">
        <v>351</v>
      </c>
      <c r="E7240" s="10" t="s">
        <v>32</v>
      </c>
      <c r="F7240" s="10" t="s">
        <v>360</v>
      </c>
    </row>
    <row r="7241" spans="1:8" x14ac:dyDescent="0.35">
      <c r="A7241" s="2">
        <v>43222</v>
      </c>
      <c r="B7241" s="40" t="s">
        <v>104</v>
      </c>
      <c r="C7241" s="10">
        <v>70</v>
      </c>
      <c r="D7241" s="10">
        <v>277</v>
      </c>
      <c r="E7241" s="10" t="s">
        <v>32</v>
      </c>
      <c r="F7241" s="10" t="s">
        <v>360</v>
      </c>
      <c r="H7241" t="s">
        <v>161</v>
      </c>
    </row>
    <row r="7242" spans="1:8" x14ac:dyDescent="0.35">
      <c r="A7242" s="2">
        <v>43222</v>
      </c>
      <c r="B7242" s="40" t="s">
        <v>104</v>
      </c>
      <c r="C7242" s="10">
        <v>58</v>
      </c>
      <c r="D7242" s="10">
        <v>131</v>
      </c>
      <c r="E7242" s="10" t="s">
        <v>32</v>
      </c>
      <c r="F7242" s="10" t="s">
        <v>360</v>
      </c>
      <c r="H7242" t="s">
        <v>161</v>
      </c>
    </row>
    <row r="7243" spans="1:8" x14ac:dyDescent="0.35">
      <c r="A7243" s="2">
        <v>43222</v>
      </c>
      <c r="B7243" s="40" t="s">
        <v>104</v>
      </c>
      <c r="C7243" s="10">
        <v>65</v>
      </c>
      <c r="D7243" s="10">
        <v>271</v>
      </c>
      <c r="E7243" s="10" t="s">
        <v>33</v>
      </c>
      <c r="F7243" s="10" t="s">
        <v>198</v>
      </c>
    </row>
    <row r="7244" spans="1:8" x14ac:dyDescent="0.35">
      <c r="A7244" s="2">
        <v>43222</v>
      </c>
      <c r="B7244" s="40" t="s">
        <v>104</v>
      </c>
      <c r="C7244" s="10">
        <v>70</v>
      </c>
      <c r="D7244" s="10">
        <v>283</v>
      </c>
      <c r="E7244" s="10" t="s">
        <v>32</v>
      </c>
      <c r="F7244" s="10" t="s">
        <v>293</v>
      </c>
      <c r="H7244" t="s">
        <v>161</v>
      </c>
    </row>
    <row r="7245" spans="1:8" x14ac:dyDescent="0.35">
      <c r="A7245" s="2">
        <v>43222</v>
      </c>
      <c r="B7245" s="40" t="s">
        <v>104</v>
      </c>
      <c r="C7245" s="10">
        <v>75</v>
      </c>
      <c r="D7245" s="10">
        <v>326</v>
      </c>
      <c r="E7245" s="10" t="s">
        <v>32</v>
      </c>
      <c r="F7245" s="10" t="s">
        <v>360</v>
      </c>
      <c r="H7245" t="s">
        <v>161</v>
      </c>
    </row>
    <row r="7246" spans="1:8" x14ac:dyDescent="0.35">
      <c r="A7246" s="2">
        <v>43222</v>
      </c>
      <c r="B7246" s="40" t="s">
        <v>104</v>
      </c>
      <c r="C7246" s="10">
        <v>74</v>
      </c>
      <c r="D7246" s="10">
        <v>397</v>
      </c>
      <c r="E7246" s="10" t="s">
        <v>32</v>
      </c>
      <c r="F7246" s="10" t="s">
        <v>360</v>
      </c>
      <c r="H7246" t="s">
        <v>161</v>
      </c>
    </row>
    <row r="7247" spans="1:8" x14ac:dyDescent="0.35">
      <c r="A7247" s="2">
        <v>43222</v>
      </c>
      <c r="B7247" s="40" t="s">
        <v>104</v>
      </c>
      <c r="C7247" s="10">
        <v>69</v>
      </c>
      <c r="D7247" s="10">
        <v>279</v>
      </c>
      <c r="E7247" s="10" t="s">
        <v>32</v>
      </c>
      <c r="F7247" s="10" t="s">
        <v>360</v>
      </c>
      <c r="H7247" t="s">
        <v>161</v>
      </c>
    </row>
    <row r="7248" spans="1:8" x14ac:dyDescent="0.35">
      <c r="A7248" s="2">
        <v>43222</v>
      </c>
      <c r="B7248" s="40" t="s">
        <v>104</v>
      </c>
      <c r="C7248" s="10">
        <v>67</v>
      </c>
      <c r="D7248" s="10">
        <v>211</v>
      </c>
      <c r="E7248" s="10" t="s">
        <v>37</v>
      </c>
      <c r="F7248" s="10" t="s">
        <v>360</v>
      </c>
    </row>
    <row r="7249" spans="1:22" x14ac:dyDescent="0.35">
      <c r="A7249" s="2">
        <v>43222</v>
      </c>
      <c r="B7249" s="40" t="s">
        <v>104</v>
      </c>
      <c r="C7249" s="10">
        <v>70</v>
      </c>
      <c r="D7249" s="10">
        <v>321</v>
      </c>
      <c r="E7249" s="10" t="s">
        <v>32</v>
      </c>
      <c r="F7249" s="10" t="s">
        <v>360</v>
      </c>
      <c r="H7249" t="s">
        <v>161</v>
      </c>
    </row>
    <row r="7250" spans="1:22" x14ac:dyDescent="0.35">
      <c r="A7250" s="2">
        <v>43222</v>
      </c>
      <c r="B7250" s="40" t="s">
        <v>104</v>
      </c>
      <c r="C7250" s="10">
        <v>66</v>
      </c>
      <c r="D7250" s="10">
        <v>225</v>
      </c>
      <c r="E7250" s="10" t="s">
        <v>32</v>
      </c>
      <c r="F7250" s="10" t="s">
        <v>360</v>
      </c>
    </row>
    <row r="7251" spans="1:22" x14ac:dyDescent="0.35">
      <c r="A7251" s="2">
        <v>43222</v>
      </c>
      <c r="B7251" s="40" t="s">
        <v>104</v>
      </c>
      <c r="C7251" s="10">
        <v>62</v>
      </c>
      <c r="D7251" s="10">
        <v>168</v>
      </c>
      <c r="E7251" s="10" t="s">
        <v>32</v>
      </c>
      <c r="F7251" s="10" t="s">
        <v>360</v>
      </c>
    </row>
    <row r="7252" spans="1:22" x14ac:dyDescent="0.35">
      <c r="A7252" s="2">
        <v>43222</v>
      </c>
      <c r="B7252" s="40" t="s">
        <v>104</v>
      </c>
      <c r="C7252" s="10">
        <v>66</v>
      </c>
      <c r="D7252" s="10">
        <v>235</v>
      </c>
      <c r="E7252" s="10" t="s">
        <v>32</v>
      </c>
      <c r="F7252" s="10" t="s">
        <v>360</v>
      </c>
      <c r="H7252" t="s">
        <v>161</v>
      </c>
    </row>
    <row r="7253" spans="1:22" x14ac:dyDescent="0.35">
      <c r="A7253" s="2">
        <v>43222</v>
      </c>
      <c r="B7253" s="40" t="s">
        <v>104</v>
      </c>
      <c r="C7253" s="10">
        <v>65</v>
      </c>
      <c r="D7253" s="10">
        <v>313</v>
      </c>
      <c r="E7253" s="10" t="s">
        <v>34</v>
      </c>
      <c r="F7253" s="10" t="s">
        <v>360</v>
      </c>
    </row>
    <row r="7254" spans="1:22" x14ac:dyDescent="0.35">
      <c r="A7254" s="2">
        <v>43222</v>
      </c>
      <c r="B7254" s="40" t="s">
        <v>104</v>
      </c>
      <c r="C7254" s="10">
        <v>69</v>
      </c>
      <c r="D7254" s="10">
        <v>269</v>
      </c>
      <c r="E7254" s="10" t="s">
        <v>34</v>
      </c>
      <c r="F7254" s="10" t="s">
        <v>476</v>
      </c>
      <c r="I7254" t="s">
        <v>804</v>
      </c>
    </row>
    <row r="7255" spans="1:22" x14ac:dyDescent="0.35">
      <c r="A7255" s="2">
        <v>43222</v>
      </c>
      <c r="B7255" s="40" t="s">
        <v>104</v>
      </c>
      <c r="C7255" s="10">
        <v>75</v>
      </c>
      <c r="D7255" s="10">
        <v>411</v>
      </c>
      <c r="E7255" s="10" t="s">
        <v>37</v>
      </c>
      <c r="F7255" s="10" t="s">
        <v>360</v>
      </c>
      <c r="N7255" t="s">
        <v>42</v>
      </c>
      <c r="O7255" t="s">
        <v>39</v>
      </c>
      <c r="P7255" t="s">
        <v>40</v>
      </c>
      <c r="Q7255" t="s">
        <v>36</v>
      </c>
      <c r="R7255" t="s">
        <v>33</v>
      </c>
      <c r="S7255" t="s">
        <v>34</v>
      </c>
      <c r="T7255" t="s">
        <v>32</v>
      </c>
      <c r="U7255" t="s">
        <v>37</v>
      </c>
      <c r="V7255" t="s">
        <v>159</v>
      </c>
    </row>
    <row r="7256" spans="1:22" x14ac:dyDescent="0.35">
      <c r="A7256" s="2">
        <v>43222</v>
      </c>
      <c r="B7256" s="40" t="s">
        <v>104</v>
      </c>
      <c r="C7256" s="10">
        <v>60</v>
      </c>
      <c r="D7256" s="10">
        <v>235</v>
      </c>
      <c r="E7256" s="10" t="s">
        <v>32</v>
      </c>
      <c r="F7256" s="10" t="s">
        <v>360</v>
      </c>
      <c r="H7256" t="s">
        <v>161</v>
      </c>
      <c r="N7256" s="5">
        <f>COUNTIF(E7170:E7257,"VA")</f>
        <v>0</v>
      </c>
      <c r="O7256" s="5">
        <f>COUNTIF(E7170:E7257,"VB")</f>
        <v>0</v>
      </c>
      <c r="P7256" s="5">
        <f>COUNTIF(E7170:E7257,"VIA0")</f>
        <v>0</v>
      </c>
      <c r="Q7256" s="5">
        <f>COUNTIF(E7170:E7257,"VIA1")</f>
        <v>0</v>
      </c>
      <c r="R7256" s="5">
        <f>COUNTIF(E7170:E7257,"VIA2")</f>
        <v>2</v>
      </c>
      <c r="S7256" s="5">
        <f>COUNTIF(E7170:E7257,"VIA3")</f>
        <v>9</v>
      </c>
      <c r="T7256" s="5">
        <f>COUNTIF(E7170:E7257,"VIA4")</f>
        <v>70</v>
      </c>
      <c r="U7256" s="5">
        <f>COUNTIF(E7170:E7257,"VIB")</f>
        <v>4</v>
      </c>
      <c r="V7256" s="5">
        <f>COUNTIF(E7170:E7257,"VII")</f>
        <v>0</v>
      </c>
    </row>
    <row r="7257" spans="1:22" s="4" customFormat="1" x14ac:dyDescent="0.35">
      <c r="A7257" s="3">
        <v>43222</v>
      </c>
      <c r="B7257" s="44" t="s">
        <v>104</v>
      </c>
      <c r="C7257" s="11">
        <v>62</v>
      </c>
      <c r="D7257" s="4">
        <v>148</v>
      </c>
      <c r="E7257" s="11" t="s">
        <v>32</v>
      </c>
      <c r="F7257" s="11" t="s">
        <v>646</v>
      </c>
    </row>
    <row r="7258" spans="1:22" x14ac:dyDescent="0.35">
      <c r="A7258" s="2">
        <v>43222</v>
      </c>
      <c r="B7258" s="40" t="s">
        <v>102</v>
      </c>
      <c r="C7258" s="10">
        <v>89</v>
      </c>
      <c r="D7258" s="10">
        <v>783</v>
      </c>
      <c r="E7258" s="10" t="s">
        <v>59</v>
      </c>
    </row>
    <row r="7259" spans="1:22" x14ac:dyDescent="0.35">
      <c r="A7259" s="2">
        <v>43222</v>
      </c>
      <c r="B7259" s="40" t="s">
        <v>102</v>
      </c>
      <c r="C7259" s="10">
        <v>90</v>
      </c>
      <c r="D7259" s="10">
        <v>993</v>
      </c>
      <c r="E7259" s="10" t="s">
        <v>59</v>
      </c>
    </row>
    <row r="7260" spans="1:22" x14ac:dyDescent="0.35">
      <c r="A7260" s="2">
        <v>43222</v>
      </c>
      <c r="B7260" s="40" t="s">
        <v>102</v>
      </c>
      <c r="C7260" s="10">
        <v>68</v>
      </c>
      <c r="D7260" s="10">
        <v>323</v>
      </c>
      <c r="E7260" s="10" t="s">
        <v>32</v>
      </c>
      <c r="F7260" t="s">
        <v>360</v>
      </c>
      <c r="H7260" t="s">
        <v>161</v>
      </c>
    </row>
    <row r="7261" spans="1:22" x14ac:dyDescent="0.35">
      <c r="A7261" s="2">
        <v>43222</v>
      </c>
      <c r="B7261" s="40" t="s">
        <v>102</v>
      </c>
      <c r="C7261" s="10">
        <v>66</v>
      </c>
      <c r="D7261" s="10">
        <v>238</v>
      </c>
      <c r="E7261" s="10" t="s">
        <v>32</v>
      </c>
      <c r="F7261" t="s">
        <v>360</v>
      </c>
    </row>
    <row r="7262" spans="1:22" x14ac:dyDescent="0.35">
      <c r="A7262" s="2">
        <v>43222</v>
      </c>
      <c r="B7262" s="40" t="s">
        <v>102</v>
      </c>
      <c r="C7262" s="10">
        <v>63</v>
      </c>
      <c r="D7262" s="10">
        <v>274</v>
      </c>
      <c r="E7262" s="10" t="s">
        <v>40</v>
      </c>
      <c r="F7262" t="s">
        <v>476</v>
      </c>
    </row>
    <row r="7263" spans="1:22" x14ac:dyDescent="0.35">
      <c r="A7263" s="2">
        <v>43222</v>
      </c>
      <c r="B7263" s="40" t="s">
        <v>102</v>
      </c>
      <c r="C7263" s="10">
        <v>74</v>
      </c>
      <c r="D7263" s="10">
        <v>416</v>
      </c>
      <c r="E7263" s="10" t="s">
        <v>32</v>
      </c>
      <c r="F7263" t="s">
        <v>360</v>
      </c>
      <c r="G7263" t="s">
        <v>475</v>
      </c>
      <c r="H7263" t="s">
        <v>161</v>
      </c>
    </row>
    <row r="7264" spans="1:22" x14ac:dyDescent="0.35">
      <c r="A7264" s="2">
        <v>43222</v>
      </c>
      <c r="B7264" s="40" t="s">
        <v>102</v>
      </c>
      <c r="C7264" s="10">
        <v>69</v>
      </c>
      <c r="D7264" s="10">
        <v>331</v>
      </c>
      <c r="E7264" s="10" t="s">
        <v>32</v>
      </c>
      <c r="F7264" t="s">
        <v>198</v>
      </c>
      <c r="H7264" t="s">
        <v>161</v>
      </c>
    </row>
    <row r="7265" spans="1:8" x14ac:dyDescent="0.35">
      <c r="A7265" s="2">
        <v>43222</v>
      </c>
      <c r="B7265" s="40" t="s">
        <v>102</v>
      </c>
      <c r="C7265" s="10">
        <v>73</v>
      </c>
      <c r="D7265" s="10">
        <v>300</v>
      </c>
      <c r="E7265" s="10" t="s">
        <v>32</v>
      </c>
      <c r="F7265" t="s">
        <v>360</v>
      </c>
      <c r="H7265" t="s">
        <v>161</v>
      </c>
    </row>
    <row r="7266" spans="1:8" x14ac:dyDescent="0.35">
      <c r="A7266" s="2">
        <v>43222</v>
      </c>
      <c r="B7266" s="40" t="s">
        <v>102</v>
      </c>
      <c r="C7266" s="10">
        <v>67</v>
      </c>
      <c r="D7266" s="10">
        <v>303</v>
      </c>
      <c r="E7266" s="10" t="s">
        <v>32</v>
      </c>
      <c r="F7266" t="s">
        <v>783</v>
      </c>
      <c r="H7266" t="s">
        <v>161</v>
      </c>
    </row>
    <row r="7267" spans="1:8" x14ac:dyDescent="0.35">
      <c r="A7267" s="2">
        <v>43222</v>
      </c>
      <c r="B7267" s="40" t="s">
        <v>102</v>
      </c>
      <c r="C7267" s="10">
        <v>76</v>
      </c>
      <c r="D7267" s="10">
        <v>349</v>
      </c>
      <c r="E7267" s="10" t="s">
        <v>32</v>
      </c>
      <c r="F7267" t="s">
        <v>360</v>
      </c>
    </row>
    <row r="7268" spans="1:8" x14ac:dyDescent="0.35">
      <c r="A7268" s="2">
        <v>43222</v>
      </c>
      <c r="B7268" s="40" t="s">
        <v>102</v>
      </c>
      <c r="C7268" s="10">
        <v>63</v>
      </c>
      <c r="D7268" s="10">
        <v>201</v>
      </c>
      <c r="E7268" s="10" t="s">
        <v>32</v>
      </c>
      <c r="F7268" t="s">
        <v>360</v>
      </c>
    </row>
    <row r="7269" spans="1:8" x14ac:dyDescent="0.35">
      <c r="A7269" s="2">
        <v>43222</v>
      </c>
      <c r="B7269" s="40" t="s">
        <v>102</v>
      </c>
      <c r="C7269" s="10">
        <v>68</v>
      </c>
      <c r="D7269" s="10">
        <v>271</v>
      </c>
      <c r="E7269" s="10" t="s">
        <v>32</v>
      </c>
      <c r="F7269" t="s">
        <v>360</v>
      </c>
    </row>
    <row r="7270" spans="1:8" x14ac:dyDescent="0.35">
      <c r="A7270" s="2">
        <v>43222</v>
      </c>
      <c r="B7270" s="40" t="s">
        <v>102</v>
      </c>
      <c r="C7270" s="10">
        <v>68</v>
      </c>
      <c r="D7270" s="10">
        <v>301</v>
      </c>
      <c r="E7270" s="10" t="s">
        <v>32</v>
      </c>
      <c r="F7270" t="s">
        <v>360</v>
      </c>
      <c r="H7270" t="s">
        <v>161</v>
      </c>
    </row>
    <row r="7271" spans="1:8" x14ac:dyDescent="0.35">
      <c r="A7271" s="2">
        <v>43222</v>
      </c>
      <c r="B7271" s="40" t="s">
        <v>102</v>
      </c>
      <c r="C7271" s="10">
        <v>72</v>
      </c>
      <c r="D7271" s="10">
        <v>307</v>
      </c>
      <c r="E7271" s="10" t="s">
        <v>32</v>
      </c>
      <c r="F7271" t="s">
        <v>360</v>
      </c>
    </row>
    <row r="7272" spans="1:8" x14ac:dyDescent="0.35">
      <c r="A7272" s="2">
        <v>43222</v>
      </c>
      <c r="B7272" s="40" t="s">
        <v>102</v>
      </c>
      <c r="C7272" s="10">
        <v>68</v>
      </c>
      <c r="D7272" s="10">
        <v>242</v>
      </c>
      <c r="E7272" s="10" t="s">
        <v>32</v>
      </c>
      <c r="F7272" t="s">
        <v>360</v>
      </c>
      <c r="H7272" t="s">
        <v>161</v>
      </c>
    </row>
    <row r="7273" spans="1:8" x14ac:dyDescent="0.35">
      <c r="A7273" s="2">
        <v>43222</v>
      </c>
      <c r="B7273" s="40" t="s">
        <v>102</v>
      </c>
      <c r="C7273" s="10">
        <v>65</v>
      </c>
      <c r="D7273" s="10">
        <v>228</v>
      </c>
      <c r="E7273" s="10" t="s">
        <v>32</v>
      </c>
      <c r="F7273" t="s">
        <v>360</v>
      </c>
      <c r="H7273" t="s">
        <v>161</v>
      </c>
    </row>
    <row r="7274" spans="1:8" x14ac:dyDescent="0.35">
      <c r="A7274" s="2">
        <v>43222</v>
      </c>
      <c r="B7274" s="40" t="s">
        <v>102</v>
      </c>
      <c r="C7274" s="10">
        <v>65</v>
      </c>
      <c r="D7274" s="10">
        <v>284</v>
      </c>
      <c r="E7274" s="10" t="s">
        <v>32</v>
      </c>
      <c r="F7274" t="s">
        <v>360</v>
      </c>
    </row>
    <row r="7275" spans="1:8" x14ac:dyDescent="0.35">
      <c r="A7275" s="2">
        <v>43222</v>
      </c>
      <c r="B7275" s="40" t="s">
        <v>102</v>
      </c>
      <c r="C7275" s="10">
        <v>66</v>
      </c>
      <c r="D7275" s="10">
        <v>233</v>
      </c>
      <c r="E7275" s="10" t="s">
        <v>32</v>
      </c>
      <c r="F7275" t="s">
        <v>360</v>
      </c>
    </row>
    <row r="7276" spans="1:8" x14ac:dyDescent="0.35">
      <c r="A7276" s="2">
        <v>43222</v>
      </c>
      <c r="B7276" s="40" t="s">
        <v>102</v>
      </c>
      <c r="C7276" s="10">
        <v>70</v>
      </c>
      <c r="D7276" s="10">
        <v>351</v>
      </c>
      <c r="E7276" s="10" t="s">
        <v>32</v>
      </c>
      <c r="F7276" t="s">
        <v>360</v>
      </c>
      <c r="H7276" t="s">
        <v>161</v>
      </c>
    </row>
    <row r="7277" spans="1:8" x14ac:dyDescent="0.35">
      <c r="A7277" s="2">
        <v>43222</v>
      </c>
      <c r="B7277" s="40" t="s">
        <v>102</v>
      </c>
      <c r="C7277" s="10">
        <v>70</v>
      </c>
      <c r="D7277" s="10">
        <v>362</v>
      </c>
      <c r="E7277" s="10" t="s">
        <v>32</v>
      </c>
      <c r="F7277" t="s">
        <v>476</v>
      </c>
    </row>
    <row r="7278" spans="1:8" x14ac:dyDescent="0.35">
      <c r="A7278" s="2">
        <v>43222</v>
      </c>
      <c r="B7278" s="40" t="s">
        <v>102</v>
      </c>
      <c r="C7278" s="10">
        <v>72</v>
      </c>
      <c r="D7278" s="10">
        <v>352</v>
      </c>
      <c r="E7278" s="10" t="s">
        <v>32</v>
      </c>
      <c r="F7278" t="s">
        <v>360</v>
      </c>
      <c r="H7278" t="s">
        <v>161</v>
      </c>
    </row>
    <row r="7279" spans="1:8" x14ac:dyDescent="0.35">
      <c r="A7279" s="2">
        <v>43222</v>
      </c>
      <c r="B7279" s="40" t="s">
        <v>102</v>
      </c>
      <c r="C7279" s="10">
        <v>74</v>
      </c>
      <c r="D7279" s="10">
        <v>369</v>
      </c>
      <c r="E7279" s="10" t="s">
        <v>32</v>
      </c>
      <c r="F7279" t="s">
        <v>293</v>
      </c>
      <c r="G7279" t="s">
        <v>475</v>
      </c>
    </row>
    <row r="7280" spans="1:8" x14ac:dyDescent="0.35">
      <c r="A7280" s="2">
        <v>43222</v>
      </c>
      <c r="B7280" s="40" t="s">
        <v>102</v>
      </c>
      <c r="C7280" s="10">
        <v>65</v>
      </c>
      <c r="D7280" s="10">
        <v>257</v>
      </c>
      <c r="E7280" s="10" t="s">
        <v>32</v>
      </c>
      <c r="F7280" t="s">
        <v>360</v>
      </c>
    </row>
    <row r="7281" spans="1:8" x14ac:dyDescent="0.35">
      <c r="A7281" s="2">
        <v>43222</v>
      </c>
      <c r="B7281" s="40" t="s">
        <v>102</v>
      </c>
      <c r="C7281" s="10">
        <v>71</v>
      </c>
      <c r="D7281" s="10">
        <v>363</v>
      </c>
      <c r="E7281" s="10" t="s">
        <v>32</v>
      </c>
      <c r="F7281" t="s">
        <v>360</v>
      </c>
      <c r="H7281" t="s">
        <v>161</v>
      </c>
    </row>
    <row r="7282" spans="1:8" x14ac:dyDescent="0.35">
      <c r="A7282" s="2">
        <v>43222</v>
      </c>
      <c r="B7282" s="40" t="s">
        <v>102</v>
      </c>
      <c r="C7282" s="10">
        <v>60</v>
      </c>
      <c r="D7282" s="10">
        <v>154</v>
      </c>
      <c r="E7282" s="10" t="s">
        <v>34</v>
      </c>
      <c r="F7282" t="s">
        <v>198</v>
      </c>
      <c r="G7282" t="s">
        <v>475</v>
      </c>
    </row>
    <row r="7283" spans="1:8" x14ac:dyDescent="0.35">
      <c r="A7283" s="2">
        <v>43222</v>
      </c>
      <c r="B7283" s="40" t="s">
        <v>102</v>
      </c>
      <c r="C7283" s="10">
        <v>70</v>
      </c>
      <c r="D7283" s="10">
        <v>350</v>
      </c>
      <c r="E7283" s="10" t="s">
        <v>32</v>
      </c>
      <c r="F7283" t="s">
        <v>198</v>
      </c>
      <c r="G7283" t="s">
        <v>475</v>
      </c>
    </row>
    <row r="7284" spans="1:8" x14ac:dyDescent="0.35">
      <c r="A7284" s="2">
        <v>43222</v>
      </c>
      <c r="B7284" s="40" t="s">
        <v>102</v>
      </c>
      <c r="C7284" s="10">
        <v>65</v>
      </c>
      <c r="D7284" s="10">
        <v>259</v>
      </c>
      <c r="E7284" s="10" t="s">
        <v>32</v>
      </c>
      <c r="F7284" t="s">
        <v>198</v>
      </c>
      <c r="G7284" t="s">
        <v>475</v>
      </c>
    </row>
    <row r="7285" spans="1:8" x14ac:dyDescent="0.35">
      <c r="A7285" s="2">
        <v>43222</v>
      </c>
      <c r="B7285" s="40" t="s">
        <v>102</v>
      </c>
      <c r="C7285" s="10">
        <v>66</v>
      </c>
      <c r="D7285" s="10">
        <v>244</v>
      </c>
      <c r="E7285" s="10" t="s">
        <v>32</v>
      </c>
      <c r="F7285" t="s">
        <v>360</v>
      </c>
      <c r="G7285" t="s">
        <v>475</v>
      </c>
    </row>
    <row r="7286" spans="1:8" x14ac:dyDescent="0.35">
      <c r="A7286" s="2">
        <v>43222</v>
      </c>
      <c r="B7286" s="40" t="s">
        <v>102</v>
      </c>
      <c r="C7286" s="10">
        <v>65</v>
      </c>
      <c r="D7286" s="10">
        <v>245</v>
      </c>
      <c r="E7286" s="10" t="s">
        <v>32</v>
      </c>
      <c r="F7286" t="s">
        <v>198</v>
      </c>
      <c r="H7286" t="s">
        <v>161</v>
      </c>
    </row>
    <row r="7287" spans="1:8" s="4" customFormat="1" x14ac:dyDescent="0.35">
      <c r="A7287" s="3">
        <v>43222</v>
      </c>
      <c r="B7287" s="44" t="s">
        <v>102</v>
      </c>
      <c r="C7287" s="11">
        <v>72</v>
      </c>
      <c r="D7287" s="11">
        <v>274</v>
      </c>
      <c r="E7287" s="11" t="s">
        <v>32</v>
      </c>
      <c r="F7287" s="4" t="s">
        <v>360</v>
      </c>
    </row>
    <row r="7288" spans="1:8" s="5" customFormat="1" x14ac:dyDescent="0.35">
      <c r="A7288" s="2">
        <v>43222</v>
      </c>
      <c r="B7288" s="40" t="s">
        <v>66</v>
      </c>
      <c r="C7288" s="10">
        <v>139</v>
      </c>
      <c r="D7288" s="10">
        <v>3204</v>
      </c>
      <c r="E7288" s="10" t="s">
        <v>59</v>
      </c>
    </row>
    <row r="7289" spans="1:8" x14ac:dyDescent="0.35">
      <c r="A7289" s="2">
        <v>43222</v>
      </c>
      <c r="B7289" s="40" t="s">
        <v>66</v>
      </c>
      <c r="C7289" s="10">
        <v>68</v>
      </c>
      <c r="D7289" s="10">
        <v>275</v>
      </c>
      <c r="E7289" s="10" t="s">
        <v>32</v>
      </c>
      <c r="F7289" s="10" t="s">
        <v>198</v>
      </c>
      <c r="H7289" t="s">
        <v>161</v>
      </c>
    </row>
    <row r="7290" spans="1:8" x14ac:dyDescent="0.35">
      <c r="A7290" s="2">
        <v>43222</v>
      </c>
      <c r="B7290" s="40" t="s">
        <v>66</v>
      </c>
      <c r="C7290" s="10">
        <v>70</v>
      </c>
      <c r="D7290" s="10">
        <v>254</v>
      </c>
      <c r="E7290" s="10" t="s">
        <v>32</v>
      </c>
      <c r="F7290" s="10" t="s">
        <v>198</v>
      </c>
    </row>
    <row r="7291" spans="1:8" x14ac:dyDescent="0.35">
      <c r="A7291" s="2">
        <v>43222</v>
      </c>
      <c r="B7291" s="40" t="s">
        <v>66</v>
      </c>
      <c r="C7291" s="10">
        <v>74</v>
      </c>
      <c r="D7291" s="10">
        <v>294</v>
      </c>
      <c r="E7291" s="10" t="s">
        <v>34</v>
      </c>
      <c r="F7291" s="10" t="s">
        <v>198</v>
      </c>
      <c r="G7291" t="s">
        <v>475</v>
      </c>
      <c r="H7291" t="s">
        <v>161</v>
      </c>
    </row>
    <row r="7292" spans="1:8" x14ac:dyDescent="0.35">
      <c r="A7292" s="2">
        <v>43222</v>
      </c>
      <c r="B7292" s="40" t="s">
        <v>66</v>
      </c>
      <c r="C7292" s="10">
        <v>66</v>
      </c>
      <c r="D7292" s="10">
        <v>238</v>
      </c>
      <c r="E7292" s="10" t="s">
        <v>37</v>
      </c>
      <c r="F7292" s="10" t="s">
        <v>198</v>
      </c>
    </row>
    <row r="7293" spans="1:8" x14ac:dyDescent="0.35">
      <c r="A7293" s="2">
        <v>43222</v>
      </c>
      <c r="B7293" s="40" t="s">
        <v>66</v>
      </c>
      <c r="C7293" s="10">
        <v>73</v>
      </c>
      <c r="D7293" s="10">
        <v>292</v>
      </c>
      <c r="E7293" s="10" t="s">
        <v>32</v>
      </c>
      <c r="F7293" s="10" t="s">
        <v>198</v>
      </c>
      <c r="H7293" t="s">
        <v>161</v>
      </c>
    </row>
    <row r="7294" spans="1:8" x14ac:dyDescent="0.35">
      <c r="A7294" s="2">
        <v>43222</v>
      </c>
      <c r="B7294" s="40" t="s">
        <v>66</v>
      </c>
      <c r="C7294" s="10">
        <v>66</v>
      </c>
      <c r="D7294" s="10">
        <v>235</v>
      </c>
      <c r="E7294" s="10" t="s">
        <v>34</v>
      </c>
      <c r="F7294" s="10" t="s">
        <v>646</v>
      </c>
      <c r="H7294" t="s">
        <v>161</v>
      </c>
    </row>
    <row r="7295" spans="1:8" x14ac:dyDescent="0.35">
      <c r="A7295" s="2">
        <v>43222</v>
      </c>
      <c r="B7295" s="40" t="s">
        <v>66</v>
      </c>
      <c r="C7295" s="10">
        <v>65</v>
      </c>
      <c r="D7295" s="10">
        <v>187</v>
      </c>
      <c r="E7295" s="10" t="s">
        <v>34</v>
      </c>
      <c r="F7295" s="10" t="s">
        <v>646</v>
      </c>
    </row>
    <row r="7296" spans="1:8" x14ac:dyDescent="0.35">
      <c r="A7296" s="2">
        <v>43222</v>
      </c>
      <c r="B7296" s="40" t="s">
        <v>66</v>
      </c>
      <c r="C7296" s="10">
        <v>71</v>
      </c>
      <c r="D7296" s="10">
        <v>300</v>
      </c>
      <c r="E7296" s="10" t="s">
        <v>37</v>
      </c>
      <c r="F7296" s="10" t="s">
        <v>476</v>
      </c>
    </row>
    <row r="7297" spans="1:8" x14ac:dyDescent="0.35">
      <c r="A7297" s="2">
        <v>43222</v>
      </c>
      <c r="B7297" s="40" t="s">
        <v>66</v>
      </c>
      <c r="C7297" s="10">
        <v>67</v>
      </c>
      <c r="D7297" s="10">
        <v>249</v>
      </c>
      <c r="E7297" s="10" t="s">
        <v>32</v>
      </c>
      <c r="F7297" s="10" t="s">
        <v>293</v>
      </c>
      <c r="H7297" t="s">
        <v>161</v>
      </c>
    </row>
    <row r="7298" spans="1:8" x14ac:dyDescent="0.35">
      <c r="A7298" s="2">
        <v>43222</v>
      </c>
      <c r="B7298" s="40" t="s">
        <v>66</v>
      </c>
      <c r="C7298" s="10">
        <v>75</v>
      </c>
      <c r="D7298" s="10">
        <v>260</v>
      </c>
      <c r="E7298" s="10" t="s">
        <v>34</v>
      </c>
      <c r="F7298" s="10" t="s">
        <v>476</v>
      </c>
    </row>
    <row r="7299" spans="1:8" x14ac:dyDescent="0.35">
      <c r="A7299" s="2">
        <v>43222</v>
      </c>
      <c r="B7299" s="40" t="s">
        <v>66</v>
      </c>
      <c r="C7299" s="10">
        <v>72</v>
      </c>
      <c r="D7299" s="10">
        <v>309</v>
      </c>
      <c r="E7299" s="10" t="s">
        <v>34</v>
      </c>
      <c r="F7299" s="10" t="s">
        <v>198</v>
      </c>
    </row>
    <row r="7300" spans="1:8" x14ac:dyDescent="0.35">
      <c r="A7300" s="2">
        <v>43222</v>
      </c>
      <c r="B7300" s="40" t="s">
        <v>66</v>
      </c>
      <c r="C7300" s="10">
        <v>66</v>
      </c>
      <c r="D7300" s="10">
        <v>233</v>
      </c>
      <c r="E7300" s="10" t="s">
        <v>32</v>
      </c>
      <c r="F7300" s="10" t="s">
        <v>293</v>
      </c>
      <c r="G7300" t="s">
        <v>475</v>
      </c>
      <c r="H7300" t="s">
        <v>161</v>
      </c>
    </row>
    <row r="7301" spans="1:8" x14ac:dyDescent="0.35">
      <c r="A7301" s="2">
        <v>43222</v>
      </c>
      <c r="B7301" s="40" t="s">
        <v>66</v>
      </c>
      <c r="C7301" s="10">
        <v>68</v>
      </c>
      <c r="D7301" s="10">
        <v>202</v>
      </c>
      <c r="E7301" s="10" t="s">
        <v>36</v>
      </c>
      <c r="F7301" s="10" t="s">
        <v>646</v>
      </c>
    </row>
    <row r="7302" spans="1:8" x14ac:dyDescent="0.35">
      <c r="A7302" s="2">
        <v>43222</v>
      </c>
      <c r="B7302" s="40" t="s">
        <v>66</v>
      </c>
      <c r="C7302" s="10">
        <v>71</v>
      </c>
      <c r="D7302" s="10">
        <v>283</v>
      </c>
      <c r="E7302" s="10" t="s">
        <v>32</v>
      </c>
      <c r="F7302" s="10" t="s">
        <v>198</v>
      </c>
      <c r="G7302" t="s">
        <v>475</v>
      </c>
      <c r="H7302" t="s">
        <v>161</v>
      </c>
    </row>
    <row r="7303" spans="1:8" x14ac:dyDescent="0.35">
      <c r="A7303" s="2">
        <v>43222</v>
      </c>
      <c r="B7303" s="40" t="s">
        <v>66</v>
      </c>
      <c r="C7303" s="10">
        <v>67</v>
      </c>
      <c r="D7303" s="10">
        <v>182</v>
      </c>
      <c r="E7303" s="10" t="s">
        <v>32</v>
      </c>
      <c r="F7303" s="10" t="s">
        <v>476</v>
      </c>
    </row>
    <row r="7304" spans="1:8" x14ac:dyDescent="0.35">
      <c r="A7304" s="2">
        <v>43222</v>
      </c>
      <c r="B7304" s="40" t="s">
        <v>66</v>
      </c>
      <c r="C7304" s="10">
        <v>65</v>
      </c>
      <c r="D7304" s="10">
        <v>256</v>
      </c>
      <c r="E7304" s="10" t="s">
        <v>32</v>
      </c>
      <c r="F7304" s="10" t="s">
        <v>198</v>
      </c>
      <c r="G7304" t="s">
        <v>475</v>
      </c>
    </row>
    <row r="7305" spans="1:8" x14ac:dyDescent="0.35">
      <c r="A7305" s="2">
        <v>43222</v>
      </c>
      <c r="B7305" s="40" t="s">
        <v>66</v>
      </c>
      <c r="C7305" s="10">
        <v>70</v>
      </c>
      <c r="D7305" s="10">
        <v>306</v>
      </c>
      <c r="E7305" s="10" t="s">
        <v>32</v>
      </c>
      <c r="F7305" s="10" t="s">
        <v>476</v>
      </c>
      <c r="H7305" t="s">
        <v>161</v>
      </c>
    </row>
    <row r="7306" spans="1:8" x14ac:dyDescent="0.35">
      <c r="A7306" s="2">
        <v>43222</v>
      </c>
      <c r="B7306" s="40" t="s">
        <v>66</v>
      </c>
      <c r="C7306" s="10">
        <v>61</v>
      </c>
      <c r="D7306" s="10">
        <v>202</v>
      </c>
      <c r="E7306" s="10" t="s">
        <v>32</v>
      </c>
      <c r="F7306" s="10" t="s">
        <v>198</v>
      </c>
      <c r="H7306" t="s">
        <v>161</v>
      </c>
    </row>
    <row r="7307" spans="1:8" x14ac:dyDescent="0.35">
      <c r="A7307" s="2">
        <v>43222</v>
      </c>
      <c r="B7307" s="40" t="s">
        <v>66</v>
      </c>
      <c r="C7307" s="10">
        <v>73</v>
      </c>
      <c r="D7307" s="10">
        <v>336</v>
      </c>
      <c r="E7307" s="10" t="s">
        <v>37</v>
      </c>
      <c r="F7307" s="10" t="s">
        <v>360</v>
      </c>
      <c r="H7307" t="s">
        <v>161</v>
      </c>
    </row>
    <row r="7308" spans="1:8" x14ac:dyDescent="0.35">
      <c r="A7308" s="2">
        <v>43222</v>
      </c>
      <c r="B7308" s="40" t="s">
        <v>66</v>
      </c>
      <c r="C7308" s="10">
        <v>63</v>
      </c>
      <c r="D7308" s="10">
        <v>216</v>
      </c>
      <c r="E7308" s="10" t="s">
        <v>32</v>
      </c>
      <c r="F7308" s="10" t="s">
        <v>360</v>
      </c>
      <c r="H7308" t="s">
        <v>161</v>
      </c>
    </row>
    <row r="7309" spans="1:8" x14ac:dyDescent="0.35">
      <c r="A7309" s="2">
        <v>43222</v>
      </c>
      <c r="B7309" s="40" t="s">
        <v>66</v>
      </c>
      <c r="C7309" s="10">
        <v>65</v>
      </c>
      <c r="D7309" s="10">
        <v>245</v>
      </c>
      <c r="E7309" s="10" t="s">
        <v>32</v>
      </c>
      <c r="F7309" s="10" t="s">
        <v>198</v>
      </c>
    </row>
    <row r="7310" spans="1:8" x14ac:dyDescent="0.35">
      <c r="A7310" s="2">
        <v>43222</v>
      </c>
      <c r="B7310" s="40" t="s">
        <v>66</v>
      </c>
      <c r="C7310" s="10">
        <v>71</v>
      </c>
      <c r="D7310" s="10">
        <v>279</v>
      </c>
      <c r="E7310" s="10" t="s">
        <v>34</v>
      </c>
      <c r="F7310" s="10" t="s">
        <v>646</v>
      </c>
    </row>
    <row r="7311" spans="1:8" x14ac:dyDescent="0.35">
      <c r="A7311" s="2">
        <v>43222</v>
      </c>
      <c r="B7311" s="40" t="s">
        <v>66</v>
      </c>
      <c r="C7311" s="10">
        <v>59</v>
      </c>
      <c r="D7311" s="10">
        <v>129</v>
      </c>
      <c r="E7311" s="10" t="s">
        <v>34</v>
      </c>
      <c r="F7311" s="10" t="s">
        <v>476</v>
      </c>
    </row>
    <row r="7312" spans="1:8" x14ac:dyDescent="0.35">
      <c r="A7312" s="2">
        <v>43222</v>
      </c>
      <c r="B7312" s="40" t="s">
        <v>66</v>
      </c>
      <c r="C7312" s="10">
        <v>70</v>
      </c>
      <c r="D7312" s="10">
        <v>301</v>
      </c>
      <c r="E7312" s="10" t="s">
        <v>32</v>
      </c>
      <c r="F7312" s="10" t="s">
        <v>198</v>
      </c>
    </row>
    <row r="7313" spans="1:9" x14ac:dyDescent="0.35">
      <c r="A7313" s="2">
        <v>43222</v>
      </c>
      <c r="B7313" s="40" t="s">
        <v>66</v>
      </c>
      <c r="C7313" s="10">
        <v>68</v>
      </c>
      <c r="D7313" s="10">
        <v>256</v>
      </c>
      <c r="E7313" s="10" t="s">
        <v>32</v>
      </c>
      <c r="F7313" s="10" t="s">
        <v>360</v>
      </c>
      <c r="H7313" t="s">
        <v>161</v>
      </c>
    </row>
    <row r="7314" spans="1:9" x14ac:dyDescent="0.35">
      <c r="A7314" s="2">
        <v>43222</v>
      </c>
      <c r="B7314" s="40" t="s">
        <v>66</v>
      </c>
      <c r="C7314" s="10">
        <v>64</v>
      </c>
      <c r="D7314" s="10">
        <v>206</v>
      </c>
      <c r="E7314" s="10" t="s">
        <v>32</v>
      </c>
      <c r="F7314" s="10" t="s">
        <v>360</v>
      </c>
    </row>
    <row r="7315" spans="1:9" x14ac:dyDescent="0.35">
      <c r="A7315" s="2">
        <v>43222</v>
      </c>
      <c r="B7315" s="40" t="s">
        <v>66</v>
      </c>
      <c r="C7315" s="10">
        <v>68</v>
      </c>
      <c r="D7315" s="10">
        <v>248</v>
      </c>
      <c r="E7315" s="10" t="s">
        <v>32</v>
      </c>
      <c r="F7315" s="10" t="s">
        <v>293</v>
      </c>
      <c r="H7315" t="s">
        <v>161</v>
      </c>
    </row>
    <row r="7316" spans="1:9" x14ac:dyDescent="0.35">
      <c r="A7316" s="2">
        <v>43222</v>
      </c>
      <c r="B7316" s="40" t="s">
        <v>66</v>
      </c>
      <c r="C7316" s="10">
        <v>76</v>
      </c>
      <c r="D7316" s="10">
        <v>360</v>
      </c>
      <c r="E7316" s="10" t="s">
        <v>34</v>
      </c>
      <c r="F7316" s="10" t="s">
        <v>293</v>
      </c>
      <c r="H7316" t="s">
        <v>161</v>
      </c>
    </row>
    <row r="7317" spans="1:9" x14ac:dyDescent="0.35">
      <c r="A7317" s="2">
        <v>43222</v>
      </c>
      <c r="B7317" s="40" t="s">
        <v>66</v>
      </c>
      <c r="C7317" s="10">
        <v>67</v>
      </c>
      <c r="D7317" s="10">
        <v>320</v>
      </c>
      <c r="E7317" s="10" t="s">
        <v>32</v>
      </c>
      <c r="F7317" s="10" t="s">
        <v>360</v>
      </c>
    </row>
    <row r="7318" spans="1:9" x14ac:dyDescent="0.35">
      <c r="A7318" s="2">
        <v>43222</v>
      </c>
      <c r="B7318" s="40" t="s">
        <v>66</v>
      </c>
      <c r="C7318" s="10">
        <v>67</v>
      </c>
      <c r="D7318" s="10">
        <v>261</v>
      </c>
      <c r="E7318" s="10" t="s">
        <v>34</v>
      </c>
      <c r="F7318" s="10" t="s">
        <v>646</v>
      </c>
    </row>
    <row r="7319" spans="1:9" x14ac:dyDescent="0.35">
      <c r="A7319" s="2">
        <v>43222</v>
      </c>
      <c r="B7319" s="40" t="s">
        <v>66</v>
      </c>
      <c r="C7319" s="10">
        <v>70</v>
      </c>
      <c r="D7319" s="10">
        <v>297</v>
      </c>
      <c r="E7319" s="10" t="s">
        <v>32</v>
      </c>
      <c r="F7319" s="10" t="s">
        <v>198</v>
      </c>
    </row>
    <row r="7320" spans="1:9" x14ac:dyDescent="0.35">
      <c r="A7320" s="2">
        <v>43222</v>
      </c>
      <c r="B7320" s="40" t="s">
        <v>66</v>
      </c>
      <c r="C7320" s="10">
        <v>75</v>
      </c>
      <c r="D7320" s="10">
        <v>371</v>
      </c>
      <c r="E7320" s="10" t="s">
        <v>32</v>
      </c>
      <c r="F7320" s="10" t="s">
        <v>198</v>
      </c>
    </row>
    <row r="7321" spans="1:9" x14ac:dyDescent="0.35">
      <c r="A7321" s="2">
        <v>43222</v>
      </c>
      <c r="B7321" s="40" t="s">
        <v>66</v>
      </c>
      <c r="C7321" s="10">
        <v>68</v>
      </c>
      <c r="D7321" s="10">
        <v>201</v>
      </c>
      <c r="E7321" s="10" t="s">
        <v>32</v>
      </c>
      <c r="F7321" s="10" t="s">
        <v>360</v>
      </c>
    </row>
    <row r="7322" spans="1:9" x14ac:dyDescent="0.35">
      <c r="A7322" s="2">
        <v>43222</v>
      </c>
      <c r="B7322" s="40" t="s">
        <v>66</v>
      </c>
      <c r="C7322" s="10">
        <v>69</v>
      </c>
      <c r="D7322" s="10">
        <v>280</v>
      </c>
      <c r="E7322" s="10" t="s">
        <v>32</v>
      </c>
      <c r="F7322" s="10" t="s">
        <v>360</v>
      </c>
      <c r="H7322" t="s">
        <v>161</v>
      </c>
    </row>
    <row r="7323" spans="1:9" x14ac:dyDescent="0.35">
      <c r="A7323" s="2">
        <v>43222</v>
      </c>
      <c r="B7323" s="40" t="s">
        <v>66</v>
      </c>
      <c r="C7323" s="10">
        <v>68</v>
      </c>
      <c r="D7323" s="10">
        <v>208</v>
      </c>
      <c r="E7323" s="10" t="s">
        <v>32</v>
      </c>
      <c r="F7323" s="10" t="s">
        <v>198</v>
      </c>
      <c r="H7323" t="s">
        <v>161</v>
      </c>
    </row>
    <row r="7324" spans="1:9" x14ac:dyDescent="0.35">
      <c r="A7324" s="2">
        <v>43222</v>
      </c>
      <c r="B7324" s="40" t="s">
        <v>66</v>
      </c>
      <c r="C7324" s="10">
        <v>66</v>
      </c>
      <c r="D7324" s="10">
        <v>214</v>
      </c>
      <c r="E7324" s="10" t="s">
        <v>32</v>
      </c>
      <c r="F7324" s="10" t="s">
        <v>293</v>
      </c>
      <c r="G7324" t="s">
        <v>475</v>
      </c>
      <c r="H7324" t="s">
        <v>161</v>
      </c>
    </row>
    <row r="7325" spans="1:9" x14ac:dyDescent="0.35">
      <c r="A7325" s="2">
        <v>43222</v>
      </c>
      <c r="B7325" s="40" t="s">
        <v>66</v>
      </c>
      <c r="C7325" s="10">
        <v>74</v>
      </c>
      <c r="D7325" s="10">
        <v>334</v>
      </c>
      <c r="E7325" s="10" t="s">
        <v>32</v>
      </c>
      <c r="F7325" s="10" t="s">
        <v>293</v>
      </c>
      <c r="H7325" t="s">
        <v>161</v>
      </c>
      <c r="I7325" t="s">
        <v>801</v>
      </c>
    </row>
    <row r="7326" spans="1:9" x14ac:dyDescent="0.35">
      <c r="A7326" s="2">
        <v>43222</v>
      </c>
      <c r="B7326" s="40" t="s">
        <v>66</v>
      </c>
      <c r="C7326" s="10">
        <v>71</v>
      </c>
      <c r="D7326" s="10">
        <v>323</v>
      </c>
      <c r="E7326" s="10" t="s">
        <v>32</v>
      </c>
      <c r="F7326" s="10" t="s">
        <v>476</v>
      </c>
    </row>
    <row r="7327" spans="1:9" x14ac:dyDescent="0.35">
      <c r="A7327" s="2">
        <v>43222</v>
      </c>
      <c r="B7327" s="40" t="s">
        <v>66</v>
      </c>
      <c r="C7327" s="10">
        <v>71</v>
      </c>
      <c r="D7327" s="10">
        <v>330</v>
      </c>
      <c r="E7327" s="10" t="s">
        <v>32</v>
      </c>
      <c r="F7327" s="10" t="s">
        <v>293</v>
      </c>
      <c r="H7327" t="s">
        <v>161</v>
      </c>
    </row>
    <row r="7328" spans="1:9" x14ac:dyDescent="0.35">
      <c r="A7328" s="2">
        <v>43222</v>
      </c>
      <c r="B7328" s="40" t="s">
        <v>66</v>
      </c>
      <c r="C7328" s="10">
        <v>65</v>
      </c>
      <c r="D7328" s="10">
        <v>216</v>
      </c>
      <c r="E7328" s="10" t="s">
        <v>32</v>
      </c>
      <c r="F7328" s="10" t="s">
        <v>360</v>
      </c>
      <c r="H7328" t="s">
        <v>161</v>
      </c>
    </row>
    <row r="7329" spans="1:25" x14ac:dyDescent="0.35">
      <c r="A7329" s="2">
        <v>43222</v>
      </c>
      <c r="B7329" s="40" t="s">
        <v>66</v>
      </c>
      <c r="C7329" s="10">
        <v>75</v>
      </c>
      <c r="D7329" s="10">
        <v>358</v>
      </c>
      <c r="E7329" s="10" t="s">
        <v>37</v>
      </c>
      <c r="F7329" s="10" t="s">
        <v>198</v>
      </c>
      <c r="H7329" t="s">
        <v>161</v>
      </c>
    </row>
    <row r="7330" spans="1:25" x14ac:dyDescent="0.35">
      <c r="A7330" s="2">
        <v>43222</v>
      </c>
      <c r="B7330" s="40" t="s">
        <v>66</v>
      </c>
      <c r="C7330" s="10">
        <v>65</v>
      </c>
      <c r="D7330" s="10">
        <v>230</v>
      </c>
      <c r="E7330" s="10" t="s">
        <v>32</v>
      </c>
      <c r="F7330" s="10" t="s">
        <v>476</v>
      </c>
    </row>
    <row r="7331" spans="1:25" x14ac:dyDescent="0.35">
      <c r="A7331" s="2">
        <v>43222</v>
      </c>
      <c r="B7331" s="40" t="s">
        <v>66</v>
      </c>
      <c r="C7331" s="10">
        <v>68</v>
      </c>
      <c r="D7331" s="10">
        <v>269</v>
      </c>
      <c r="E7331" s="10" t="s">
        <v>34</v>
      </c>
      <c r="F7331" s="10" t="s">
        <v>293</v>
      </c>
    </row>
    <row r="7332" spans="1:25" x14ac:dyDescent="0.35">
      <c r="A7332" s="2">
        <v>43222</v>
      </c>
      <c r="B7332" s="40" t="s">
        <v>66</v>
      </c>
      <c r="C7332" s="10">
        <v>73</v>
      </c>
      <c r="D7332" s="10">
        <v>322</v>
      </c>
      <c r="E7332" s="10" t="s">
        <v>34</v>
      </c>
      <c r="F7332" s="10" t="s">
        <v>646</v>
      </c>
    </row>
    <row r="7333" spans="1:25" x14ac:dyDescent="0.35">
      <c r="A7333" s="2">
        <v>43222</v>
      </c>
      <c r="B7333" s="40" t="s">
        <v>66</v>
      </c>
      <c r="C7333" s="10">
        <v>69</v>
      </c>
      <c r="D7333" s="10">
        <v>282</v>
      </c>
      <c r="E7333" s="10" t="s">
        <v>32</v>
      </c>
      <c r="F7333" s="10" t="s">
        <v>293</v>
      </c>
    </row>
    <row r="7334" spans="1:25" x14ac:dyDescent="0.35">
      <c r="A7334" s="2">
        <v>43222</v>
      </c>
      <c r="B7334" s="40" t="s">
        <v>66</v>
      </c>
      <c r="C7334" s="10">
        <v>70</v>
      </c>
      <c r="D7334" s="10">
        <v>236</v>
      </c>
      <c r="E7334" s="10" t="s">
        <v>32</v>
      </c>
      <c r="F7334" s="10" t="s">
        <v>360</v>
      </c>
      <c r="H7334" t="s">
        <v>161</v>
      </c>
    </row>
    <row r="7335" spans="1:25" x14ac:dyDescent="0.35">
      <c r="A7335" s="2">
        <v>43222</v>
      </c>
      <c r="B7335" s="40" t="s">
        <v>66</v>
      </c>
      <c r="C7335" s="10">
        <v>75</v>
      </c>
      <c r="D7335" s="10">
        <v>326</v>
      </c>
      <c r="E7335" s="10" t="s">
        <v>32</v>
      </c>
      <c r="F7335" s="10" t="s">
        <v>198</v>
      </c>
    </row>
    <row r="7336" spans="1:25" x14ac:dyDescent="0.35">
      <c r="A7336" s="2">
        <v>43222</v>
      </c>
      <c r="B7336" s="40" t="s">
        <v>66</v>
      </c>
      <c r="C7336" s="10">
        <v>71</v>
      </c>
      <c r="D7336" s="10">
        <v>262</v>
      </c>
      <c r="E7336" s="10" t="s">
        <v>37</v>
      </c>
      <c r="F7336" s="10" t="s">
        <v>476</v>
      </c>
      <c r="H7336" t="s">
        <v>161</v>
      </c>
    </row>
    <row r="7337" spans="1:25" x14ac:dyDescent="0.35">
      <c r="A7337" s="2">
        <v>43222</v>
      </c>
      <c r="B7337" s="40" t="s">
        <v>66</v>
      </c>
      <c r="C7337" s="10">
        <v>62</v>
      </c>
      <c r="D7337" s="10">
        <v>169</v>
      </c>
      <c r="E7337" s="10" t="s">
        <v>34</v>
      </c>
      <c r="F7337" s="10" t="s">
        <v>476</v>
      </c>
      <c r="N7337" t="s">
        <v>42</v>
      </c>
      <c r="O7337" t="s">
        <v>39</v>
      </c>
      <c r="P7337" t="s">
        <v>40</v>
      </c>
      <c r="Q7337" t="s">
        <v>36</v>
      </c>
      <c r="R7337" t="s">
        <v>33</v>
      </c>
      <c r="S7337" t="s">
        <v>34</v>
      </c>
      <c r="T7337" t="s">
        <v>32</v>
      </c>
      <c r="U7337" t="s">
        <v>37</v>
      </c>
      <c r="V7337" t="s">
        <v>159</v>
      </c>
    </row>
    <row r="7338" spans="1:25" x14ac:dyDescent="0.35">
      <c r="A7338" s="2">
        <v>43222</v>
      </c>
      <c r="B7338" s="40" t="s">
        <v>66</v>
      </c>
      <c r="C7338" s="10">
        <v>65</v>
      </c>
      <c r="D7338" s="10">
        <v>236</v>
      </c>
      <c r="E7338" s="10" t="s">
        <v>32</v>
      </c>
      <c r="F7338" s="10" t="s">
        <v>476</v>
      </c>
      <c r="N7338" s="5">
        <f>COUNTIF(E7258:E7339,"VA")</f>
        <v>0</v>
      </c>
      <c r="O7338" s="5">
        <f>COUNTIF(E7258:E7339,"VB")</f>
        <v>0</v>
      </c>
      <c r="P7338" s="5">
        <f>COUNTIF(E7258:E7339,"VIA0")</f>
        <v>1</v>
      </c>
      <c r="Q7338" s="5">
        <f>COUNTIF(E7258:E7339,"VIA1")</f>
        <v>1</v>
      </c>
      <c r="R7338" s="5">
        <f>COUNTIF(E7258:E7339,"VIA2")</f>
        <v>0</v>
      </c>
      <c r="S7338" s="5">
        <f>COUNTIF(E7258:E7339,"VIA3")</f>
        <v>13</v>
      </c>
      <c r="T7338" s="5">
        <f>COUNTIF(E7258:E7339,"VIA4")</f>
        <v>59</v>
      </c>
      <c r="U7338" s="5">
        <f>COUNTIF(E7258:E7339,"VIB")</f>
        <v>5</v>
      </c>
      <c r="V7338" s="5">
        <f>COUNTIF(E7258:E7339,"VII")</f>
        <v>0</v>
      </c>
    </row>
    <row r="7339" spans="1:25" s="4" customFormat="1" x14ac:dyDescent="0.35">
      <c r="A7339" s="3">
        <v>43222</v>
      </c>
      <c r="B7339" s="44" t="s">
        <v>66</v>
      </c>
      <c r="C7339" s="11">
        <v>69</v>
      </c>
      <c r="D7339" s="4">
        <v>174</v>
      </c>
      <c r="E7339" s="11" t="s">
        <v>32</v>
      </c>
      <c r="F7339" s="11" t="s">
        <v>360</v>
      </c>
      <c r="G7339" s="4" t="s">
        <v>805</v>
      </c>
      <c r="N7339" s="6"/>
      <c r="O7339" s="6"/>
      <c r="P7339" s="6"/>
      <c r="Q7339" s="6"/>
      <c r="R7339" s="6"/>
      <c r="S7339" s="6"/>
      <c r="T7339" s="6"/>
      <c r="U7339" s="6"/>
      <c r="V7339" s="6"/>
    </row>
    <row r="7340" spans="1:25" x14ac:dyDescent="0.35">
      <c r="A7340" s="2">
        <v>43222</v>
      </c>
      <c r="B7340" s="36" t="s">
        <v>667</v>
      </c>
      <c r="C7340" s="10">
        <v>72</v>
      </c>
      <c r="D7340" s="10">
        <v>302</v>
      </c>
      <c r="E7340" s="10" t="s">
        <v>32</v>
      </c>
      <c r="F7340" s="10" t="s">
        <v>646</v>
      </c>
      <c r="H7340" t="s">
        <v>161</v>
      </c>
      <c r="M7340">
        <f>COUNTIF(F7340:F7397,"F++")</f>
        <v>0</v>
      </c>
    </row>
    <row r="7341" spans="1:25" x14ac:dyDescent="0.35">
      <c r="A7341" s="2">
        <v>43222</v>
      </c>
      <c r="B7341" s="36" t="s">
        <v>667</v>
      </c>
      <c r="C7341" s="10">
        <v>78</v>
      </c>
      <c r="D7341" s="10">
        <v>443</v>
      </c>
      <c r="E7341" s="10" t="s">
        <v>32</v>
      </c>
      <c r="F7341" s="10" t="s">
        <v>293</v>
      </c>
      <c r="N7341">
        <f t="shared" ref="N7341:V7341" si="243">N7256+N7168</f>
        <v>0</v>
      </c>
      <c r="O7341">
        <f t="shared" si="243"/>
        <v>0</v>
      </c>
      <c r="P7341">
        <f t="shared" si="243"/>
        <v>0</v>
      </c>
      <c r="Q7341">
        <f t="shared" si="243"/>
        <v>0</v>
      </c>
      <c r="R7341">
        <f t="shared" si="243"/>
        <v>2</v>
      </c>
      <c r="S7341">
        <f t="shared" si="243"/>
        <v>9</v>
      </c>
      <c r="T7341">
        <f t="shared" si="243"/>
        <v>78</v>
      </c>
      <c r="U7341">
        <f t="shared" si="243"/>
        <v>4</v>
      </c>
      <c r="V7341">
        <f t="shared" si="243"/>
        <v>0</v>
      </c>
    </row>
    <row r="7342" spans="1:25" x14ac:dyDescent="0.35">
      <c r="A7342" s="2">
        <v>43222</v>
      </c>
      <c r="B7342" s="36" t="s">
        <v>667</v>
      </c>
      <c r="C7342" s="10">
        <v>72</v>
      </c>
      <c r="D7342" s="10">
        <v>286</v>
      </c>
      <c r="E7342" s="10" t="s">
        <v>34</v>
      </c>
      <c r="F7342" s="10" t="s">
        <v>646</v>
      </c>
    </row>
    <row r="7343" spans="1:25" x14ac:dyDescent="0.35">
      <c r="A7343" s="2">
        <v>43222</v>
      </c>
      <c r="B7343" s="36" t="s">
        <v>667</v>
      </c>
      <c r="C7343" s="10">
        <v>72</v>
      </c>
      <c r="D7343" s="10">
        <v>281</v>
      </c>
      <c r="E7343" s="10" t="s">
        <v>34</v>
      </c>
      <c r="F7343" s="10" t="s">
        <v>646</v>
      </c>
      <c r="N7343">
        <f t="shared" ref="N7343:V7343" si="244">N7341/93*100</f>
        <v>0</v>
      </c>
      <c r="O7343">
        <f t="shared" si="244"/>
        <v>0</v>
      </c>
      <c r="P7343">
        <f t="shared" si="244"/>
        <v>0</v>
      </c>
      <c r="Q7343">
        <f t="shared" si="244"/>
        <v>0</v>
      </c>
      <c r="R7343">
        <f t="shared" si="244"/>
        <v>2.1505376344086025</v>
      </c>
      <c r="S7343">
        <f t="shared" si="244"/>
        <v>9.67741935483871</v>
      </c>
      <c r="T7343">
        <f t="shared" si="244"/>
        <v>83.870967741935488</v>
      </c>
      <c r="U7343">
        <f t="shared" si="244"/>
        <v>4.3010752688172049</v>
      </c>
      <c r="V7343">
        <f t="shared" si="244"/>
        <v>0</v>
      </c>
      <c r="X7343">
        <f>AVERAGE(C7182:C7257,C7172:C7180,C7160:C7167)</f>
        <v>68.709677419354833</v>
      </c>
      <c r="Y7343">
        <f>AVERAGE(D7182:D7257,D7172:D7180,D7160:D7167)</f>
        <v>283.8279569892473</v>
      </c>
    </row>
    <row r="7344" spans="1:25" x14ac:dyDescent="0.35">
      <c r="A7344" s="2">
        <v>43222</v>
      </c>
      <c r="B7344" s="36" t="s">
        <v>667</v>
      </c>
      <c r="C7344" s="10">
        <v>67</v>
      </c>
      <c r="D7344" s="10">
        <v>233</v>
      </c>
      <c r="E7344" s="10" t="s">
        <v>33</v>
      </c>
      <c r="F7344" s="10" t="s">
        <v>646</v>
      </c>
    </row>
    <row r="7345" spans="1:8" x14ac:dyDescent="0.35">
      <c r="A7345" s="2">
        <v>43222</v>
      </c>
      <c r="B7345" s="36" t="s">
        <v>667</v>
      </c>
      <c r="C7345" s="10">
        <v>68</v>
      </c>
      <c r="D7345" s="10">
        <v>286</v>
      </c>
      <c r="E7345" s="10" t="s">
        <v>33</v>
      </c>
      <c r="F7345" s="10" t="s">
        <v>476</v>
      </c>
    </row>
    <row r="7346" spans="1:8" x14ac:dyDescent="0.35">
      <c r="A7346" s="2">
        <v>43222</v>
      </c>
      <c r="B7346" s="36" t="s">
        <v>667</v>
      </c>
      <c r="C7346" s="10">
        <v>70</v>
      </c>
      <c r="D7346" s="10">
        <v>333</v>
      </c>
      <c r="E7346" s="10" t="s">
        <v>32</v>
      </c>
      <c r="F7346" s="10" t="s">
        <v>476</v>
      </c>
    </row>
    <row r="7347" spans="1:8" x14ac:dyDescent="0.35">
      <c r="A7347" s="2">
        <v>43222</v>
      </c>
      <c r="B7347" s="36" t="s">
        <v>667</v>
      </c>
      <c r="C7347" s="10">
        <v>71</v>
      </c>
      <c r="D7347" s="10">
        <v>296</v>
      </c>
      <c r="E7347" s="10" t="s">
        <v>32</v>
      </c>
      <c r="F7347" s="10" t="s">
        <v>293</v>
      </c>
    </row>
    <row r="7348" spans="1:8" x14ac:dyDescent="0.35">
      <c r="A7348" s="2">
        <v>43222</v>
      </c>
      <c r="B7348" s="36" t="s">
        <v>667</v>
      </c>
      <c r="C7348" s="10">
        <v>70</v>
      </c>
      <c r="D7348" s="10">
        <v>308</v>
      </c>
      <c r="E7348" s="10" t="s">
        <v>40</v>
      </c>
      <c r="F7348" s="10" t="s">
        <v>476</v>
      </c>
    </row>
    <row r="7349" spans="1:8" x14ac:dyDescent="0.35">
      <c r="A7349" s="2">
        <v>43222</v>
      </c>
      <c r="B7349" s="36" t="s">
        <v>667</v>
      </c>
      <c r="C7349" s="10">
        <v>71</v>
      </c>
      <c r="D7349" s="10">
        <v>339</v>
      </c>
      <c r="E7349" s="10" t="s">
        <v>33</v>
      </c>
      <c r="F7349" s="10" t="s">
        <v>476</v>
      </c>
    </row>
    <row r="7350" spans="1:8" x14ac:dyDescent="0.35">
      <c r="A7350" s="2">
        <v>43222</v>
      </c>
      <c r="B7350" s="36" t="s">
        <v>667</v>
      </c>
      <c r="C7350" s="10">
        <v>62</v>
      </c>
      <c r="D7350" s="10">
        <v>125</v>
      </c>
      <c r="E7350" s="10" t="s">
        <v>34</v>
      </c>
      <c r="F7350" s="10" t="s">
        <v>646</v>
      </c>
    </row>
    <row r="7351" spans="1:8" x14ac:dyDescent="0.35">
      <c r="A7351" s="2">
        <v>43222</v>
      </c>
      <c r="B7351" s="36" t="s">
        <v>667</v>
      </c>
      <c r="C7351" s="10">
        <v>75</v>
      </c>
      <c r="D7351" s="10">
        <v>291</v>
      </c>
      <c r="E7351" s="10" t="s">
        <v>34</v>
      </c>
      <c r="F7351" s="10" t="s">
        <v>646</v>
      </c>
    </row>
    <row r="7352" spans="1:8" x14ac:dyDescent="0.35">
      <c r="A7352" s="2">
        <v>43222</v>
      </c>
      <c r="B7352" s="36" t="s">
        <v>667</v>
      </c>
      <c r="C7352" s="10">
        <v>68</v>
      </c>
      <c r="D7352" s="10">
        <v>257</v>
      </c>
      <c r="E7352" s="10" t="s">
        <v>32</v>
      </c>
      <c r="F7352" s="10" t="s">
        <v>293</v>
      </c>
    </row>
    <row r="7353" spans="1:8" x14ac:dyDescent="0.35">
      <c r="A7353" s="2">
        <v>43222</v>
      </c>
      <c r="B7353" s="36" t="s">
        <v>667</v>
      </c>
      <c r="C7353" s="10">
        <v>75</v>
      </c>
      <c r="D7353" s="10">
        <v>352</v>
      </c>
      <c r="E7353" s="10" t="s">
        <v>33</v>
      </c>
      <c r="F7353" s="10" t="s">
        <v>476</v>
      </c>
    </row>
    <row r="7354" spans="1:8" x14ac:dyDescent="0.35">
      <c r="A7354" s="2">
        <v>43222</v>
      </c>
      <c r="B7354" s="36" t="s">
        <v>667</v>
      </c>
      <c r="C7354" s="10">
        <v>72</v>
      </c>
      <c r="D7354" s="10">
        <v>282</v>
      </c>
      <c r="E7354" s="10" t="s">
        <v>32</v>
      </c>
      <c r="F7354" s="10" t="s">
        <v>198</v>
      </c>
      <c r="G7354" t="s">
        <v>475</v>
      </c>
    </row>
    <row r="7355" spans="1:8" x14ac:dyDescent="0.35">
      <c r="A7355" s="2">
        <v>43222</v>
      </c>
      <c r="B7355" s="36" t="s">
        <v>667</v>
      </c>
      <c r="C7355" s="10">
        <v>61</v>
      </c>
      <c r="D7355" s="10">
        <v>238</v>
      </c>
      <c r="E7355" s="10" t="s">
        <v>32</v>
      </c>
      <c r="F7355" s="10" t="s">
        <v>198</v>
      </c>
      <c r="G7355" t="s">
        <v>475</v>
      </c>
    </row>
    <row r="7356" spans="1:8" x14ac:dyDescent="0.35">
      <c r="A7356" s="2">
        <v>43222</v>
      </c>
      <c r="B7356" s="36" t="s">
        <v>667</v>
      </c>
      <c r="C7356" s="10">
        <v>69</v>
      </c>
      <c r="D7356" s="10">
        <v>237</v>
      </c>
      <c r="E7356" s="10" t="s">
        <v>34</v>
      </c>
      <c r="F7356" s="10" t="s">
        <v>476</v>
      </c>
    </row>
    <row r="7357" spans="1:8" x14ac:dyDescent="0.35">
      <c r="A7357" s="2">
        <v>43222</v>
      </c>
      <c r="B7357" s="36" t="s">
        <v>667</v>
      </c>
      <c r="C7357" s="10">
        <v>69</v>
      </c>
      <c r="D7357" s="10">
        <v>321</v>
      </c>
      <c r="E7357" s="10" t="s">
        <v>32</v>
      </c>
      <c r="F7357" s="10" t="s">
        <v>360</v>
      </c>
      <c r="H7357" t="s">
        <v>161</v>
      </c>
    </row>
    <row r="7358" spans="1:8" x14ac:dyDescent="0.35">
      <c r="A7358" s="2">
        <v>43222</v>
      </c>
      <c r="B7358" s="36" t="s">
        <v>667</v>
      </c>
      <c r="C7358" s="10">
        <v>69</v>
      </c>
      <c r="D7358" s="10">
        <v>321</v>
      </c>
      <c r="E7358" s="10" t="s">
        <v>34</v>
      </c>
      <c r="F7358" s="10" t="s">
        <v>198</v>
      </c>
      <c r="G7358" t="s">
        <v>475</v>
      </c>
    </row>
    <row r="7359" spans="1:8" x14ac:dyDescent="0.35">
      <c r="A7359" s="2">
        <v>43222</v>
      </c>
      <c r="B7359" s="36" t="s">
        <v>667</v>
      </c>
      <c r="C7359" s="10">
        <v>73</v>
      </c>
      <c r="D7359" s="10">
        <v>288</v>
      </c>
      <c r="E7359" s="10" t="s">
        <v>33</v>
      </c>
      <c r="F7359" s="10" t="s">
        <v>476</v>
      </c>
    </row>
    <row r="7360" spans="1:8" x14ac:dyDescent="0.35">
      <c r="A7360" s="2">
        <v>43222</v>
      </c>
      <c r="B7360" s="36" t="s">
        <v>667</v>
      </c>
      <c r="C7360" s="10">
        <v>70</v>
      </c>
      <c r="D7360" s="10">
        <v>252</v>
      </c>
      <c r="E7360" s="10" t="s">
        <v>32</v>
      </c>
      <c r="F7360" s="10" t="s">
        <v>360</v>
      </c>
      <c r="H7360" t="s">
        <v>161</v>
      </c>
    </row>
    <row r="7361" spans="1:8" x14ac:dyDescent="0.35">
      <c r="A7361" s="2">
        <v>43222</v>
      </c>
      <c r="B7361" s="36" t="s">
        <v>667</v>
      </c>
      <c r="C7361" s="10">
        <v>75</v>
      </c>
      <c r="D7361" s="10">
        <v>360</v>
      </c>
      <c r="E7361" s="10" t="s">
        <v>34</v>
      </c>
      <c r="F7361" s="10" t="s">
        <v>646</v>
      </c>
    </row>
    <row r="7362" spans="1:8" x14ac:dyDescent="0.35">
      <c r="A7362" s="2">
        <v>43222</v>
      </c>
      <c r="B7362" s="36" t="s">
        <v>667</v>
      </c>
      <c r="C7362" s="10">
        <v>70</v>
      </c>
      <c r="D7362" s="10">
        <v>312</v>
      </c>
      <c r="E7362" s="10" t="s">
        <v>34</v>
      </c>
      <c r="F7362" s="10" t="s">
        <v>293</v>
      </c>
    </row>
    <row r="7363" spans="1:8" x14ac:dyDescent="0.35">
      <c r="A7363" s="2">
        <v>43222</v>
      </c>
      <c r="B7363" s="36" t="s">
        <v>667</v>
      </c>
      <c r="C7363" s="10">
        <v>71</v>
      </c>
      <c r="D7363" s="10">
        <v>289</v>
      </c>
      <c r="E7363" s="10" t="s">
        <v>34</v>
      </c>
      <c r="F7363" s="10" t="s">
        <v>360</v>
      </c>
      <c r="G7363" t="s">
        <v>475</v>
      </c>
    </row>
    <row r="7364" spans="1:8" x14ac:dyDescent="0.35">
      <c r="A7364" s="2">
        <v>43222</v>
      </c>
      <c r="B7364" s="36" t="s">
        <v>667</v>
      </c>
      <c r="C7364" s="10">
        <v>75</v>
      </c>
      <c r="D7364" s="10">
        <v>375</v>
      </c>
      <c r="E7364" s="10" t="s">
        <v>33</v>
      </c>
      <c r="F7364" s="10" t="s">
        <v>476</v>
      </c>
    </row>
    <row r="7365" spans="1:8" x14ac:dyDescent="0.35">
      <c r="A7365" s="2">
        <v>43222</v>
      </c>
      <c r="B7365" s="36" t="s">
        <v>667</v>
      </c>
      <c r="C7365" s="10">
        <v>62</v>
      </c>
      <c r="D7365" s="10">
        <v>243</v>
      </c>
      <c r="E7365" s="10" t="s">
        <v>40</v>
      </c>
      <c r="F7365" s="10" t="s">
        <v>476</v>
      </c>
    </row>
    <row r="7366" spans="1:8" x14ac:dyDescent="0.35">
      <c r="A7366" s="2">
        <v>43222</v>
      </c>
      <c r="B7366" s="36" t="s">
        <v>667</v>
      </c>
      <c r="C7366" s="10">
        <v>75</v>
      </c>
      <c r="D7366" s="10">
        <v>298</v>
      </c>
      <c r="E7366" s="10" t="s">
        <v>40</v>
      </c>
      <c r="F7366" s="10" t="s">
        <v>476</v>
      </c>
    </row>
    <row r="7367" spans="1:8" x14ac:dyDescent="0.35">
      <c r="A7367" s="2">
        <v>43222</v>
      </c>
      <c r="B7367" s="36" t="s">
        <v>667</v>
      </c>
      <c r="C7367" s="10">
        <v>67</v>
      </c>
      <c r="D7367" s="10">
        <v>281</v>
      </c>
      <c r="E7367" s="10" t="s">
        <v>34</v>
      </c>
      <c r="F7367" s="10" t="s">
        <v>646</v>
      </c>
    </row>
    <row r="7368" spans="1:8" x14ac:dyDescent="0.35">
      <c r="A7368" s="2">
        <v>43222</v>
      </c>
      <c r="B7368" s="36" t="s">
        <v>667</v>
      </c>
      <c r="C7368" s="10">
        <v>70</v>
      </c>
      <c r="D7368" s="10">
        <v>226</v>
      </c>
      <c r="E7368" s="10" t="s">
        <v>34</v>
      </c>
      <c r="F7368" s="10" t="s">
        <v>476</v>
      </c>
    </row>
    <row r="7369" spans="1:8" x14ac:dyDescent="0.35">
      <c r="A7369" s="2">
        <v>43222</v>
      </c>
      <c r="B7369" s="36" t="s">
        <v>667</v>
      </c>
      <c r="C7369" s="10">
        <v>65</v>
      </c>
      <c r="D7369" s="10">
        <v>241</v>
      </c>
      <c r="E7369" s="10" t="s">
        <v>32</v>
      </c>
      <c r="F7369" s="10" t="s">
        <v>476</v>
      </c>
    </row>
    <row r="7370" spans="1:8" x14ac:dyDescent="0.35">
      <c r="A7370" s="2">
        <v>43222</v>
      </c>
      <c r="B7370" s="36" t="s">
        <v>667</v>
      </c>
      <c r="C7370" s="10">
        <v>68</v>
      </c>
      <c r="D7370" s="10">
        <v>305</v>
      </c>
      <c r="E7370" s="10" t="s">
        <v>34</v>
      </c>
      <c r="F7370" s="10" t="s">
        <v>360</v>
      </c>
      <c r="G7370" t="s">
        <v>475</v>
      </c>
    </row>
    <row r="7371" spans="1:8" x14ac:dyDescent="0.35">
      <c r="A7371" s="2">
        <v>43222</v>
      </c>
      <c r="B7371" s="36" t="s">
        <v>667</v>
      </c>
      <c r="C7371" s="10">
        <v>68</v>
      </c>
      <c r="D7371" s="10">
        <v>183</v>
      </c>
      <c r="E7371" s="10" t="s">
        <v>37</v>
      </c>
      <c r="F7371" s="10" t="s">
        <v>360</v>
      </c>
      <c r="H7371" t="s">
        <v>161</v>
      </c>
    </row>
    <row r="7372" spans="1:8" x14ac:dyDescent="0.35">
      <c r="A7372" s="2">
        <v>43222</v>
      </c>
      <c r="B7372" s="36" t="s">
        <v>667</v>
      </c>
      <c r="C7372" s="10">
        <v>71</v>
      </c>
      <c r="D7372" s="10">
        <v>255</v>
      </c>
      <c r="E7372" s="10" t="s">
        <v>34</v>
      </c>
      <c r="F7372" s="10" t="s">
        <v>646</v>
      </c>
    </row>
    <row r="7373" spans="1:8" x14ac:dyDescent="0.35">
      <c r="A7373" s="2">
        <v>43222</v>
      </c>
      <c r="B7373" s="36" t="s">
        <v>667</v>
      </c>
      <c r="C7373" s="10">
        <v>68</v>
      </c>
      <c r="D7373" s="10">
        <v>226</v>
      </c>
      <c r="E7373" s="10" t="s">
        <v>32</v>
      </c>
      <c r="F7373" s="10" t="s">
        <v>293</v>
      </c>
    </row>
    <row r="7374" spans="1:8" x14ac:dyDescent="0.35">
      <c r="A7374" s="2">
        <v>43222</v>
      </c>
      <c r="B7374" s="36" t="s">
        <v>667</v>
      </c>
      <c r="C7374" s="10">
        <v>69</v>
      </c>
      <c r="D7374" s="10">
        <v>279</v>
      </c>
      <c r="E7374" s="10" t="s">
        <v>34</v>
      </c>
      <c r="F7374" s="10" t="s">
        <v>293</v>
      </c>
      <c r="G7374" t="s">
        <v>475</v>
      </c>
    </row>
    <row r="7375" spans="1:8" x14ac:dyDescent="0.35">
      <c r="A7375" s="2">
        <v>43222</v>
      </c>
      <c r="B7375" s="36" t="s">
        <v>667</v>
      </c>
      <c r="C7375" s="10">
        <v>70</v>
      </c>
      <c r="D7375" s="10">
        <v>298</v>
      </c>
      <c r="E7375" s="10" t="s">
        <v>32</v>
      </c>
      <c r="F7375" s="10" t="s">
        <v>360</v>
      </c>
    </row>
    <row r="7376" spans="1:8" x14ac:dyDescent="0.35">
      <c r="A7376" s="2">
        <v>43222</v>
      </c>
      <c r="B7376" s="36" t="s">
        <v>667</v>
      </c>
      <c r="C7376" s="10">
        <v>70</v>
      </c>
      <c r="D7376" s="10">
        <v>238</v>
      </c>
      <c r="E7376" s="10" t="s">
        <v>33</v>
      </c>
      <c r="F7376" s="10" t="s">
        <v>476</v>
      </c>
    </row>
    <row r="7377" spans="1:7" x14ac:dyDescent="0.35">
      <c r="A7377" s="2">
        <v>43222</v>
      </c>
      <c r="B7377" s="36" t="s">
        <v>667</v>
      </c>
      <c r="C7377" s="10">
        <v>64</v>
      </c>
      <c r="D7377" s="10">
        <v>237</v>
      </c>
      <c r="E7377" s="10" t="s">
        <v>32</v>
      </c>
      <c r="F7377" s="10" t="s">
        <v>360</v>
      </c>
      <c r="G7377" t="s">
        <v>475</v>
      </c>
    </row>
    <row r="7378" spans="1:7" x14ac:dyDescent="0.35">
      <c r="A7378" s="2">
        <v>43222</v>
      </c>
      <c r="B7378" s="36" t="s">
        <v>667</v>
      </c>
      <c r="C7378" s="10">
        <v>71</v>
      </c>
      <c r="D7378" s="10">
        <v>324</v>
      </c>
      <c r="E7378" s="10" t="s">
        <v>32</v>
      </c>
      <c r="F7378" s="10" t="s">
        <v>476</v>
      </c>
    </row>
    <row r="7379" spans="1:7" x14ac:dyDescent="0.35">
      <c r="A7379" s="2">
        <v>43222</v>
      </c>
      <c r="B7379" s="36" t="s">
        <v>667</v>
      </c>
      <c r="C7379" s="10">
        <v>64</v>
      </c>
      <c r="D7379" s="10">
        <v>252</v>
      </c>
      <c r="E7379" s="10" t="s">
        <v>33</v>
      </c>
      <c r="F7379" s="10" t="s">
        <v>476</v>
      </c>
    </row>
    <row r="7380" spans="1:7" x14ac:dyDescent="0.35">
      <c r="A7380" s="2">
        <v>43222</v>
      </c>
      <c r="B7380" s="36" t="s">
        <v>667</v>
      </c>
      <c r="C7380" s="10">
        <v>70</v>
      </c>
      <c r="D7380" s="10">
        <v>272</v>
      </c>
      <c r="E7380" s="10" t="s">
        <v>33</v>
      </c>
      <c r="F7380" s="10" t="s">
        <v>476</v>
      </c>
    </row>
    <row r="7381" spans="1:7" x14ac:dyDescent="0.35">
      <c r="A7381" s="2">
        <v>43222</v>
      </c>
      <c r="B7381" s="36" t="s">
        <v>667</v>
      </c>
      <c r="C7381" s="10">
        <v>70</v>
      </c>
      <c r="D7381" s="10">
        <v>294</v>
      </c>
      <c r="E7381" s="10" t="s">
        <v>34</v>
      </c>
      <c r="F7381" s="10" t="s">
        <v>360</v>
      </c>
    </row>
    <row r="7382" spans="1:7" x14ac:dyDescent="0.35">
      <c r="A7382" s="2">
        <v>43222</v>
      </c>
      <c r="B7382" s="36" t="s">
        <v>667</v>
      </c>
      <c r="C7382" s="10">
        <v>67</v>
      </c>
      <c r="D7382" s="10">
        <v>250</v>
      </c>
      <c r="E7382" s="10" t="s">
        <v>40</v>
      </c>
      <c r="F7382" s="10" t="s">
        <v>476</v>
      </c>
    </row>
    <row r="7383" spans="1:7" x14ac:dyDescent="0.35">
      <c r="A7383" s="2">
        <v>43222</v>
      </c>
      <c r="B7383" s="36" t="s">
        <v>667</v>
      </c>
      <c r="C7383" s="10">
        <v>73</v>
      </c>
      <c r="D7383" s="10">
        <v>331</v>
      </c>
      <c r="E7383" s="10" t="s">
        <v>32</v>
      </c>
      <c r="F7383" s="10" t="s">
        <v>293</v>
      </c>
    </row>
    <row r="7384" spans="1:7" x14ac:dyDescent="0.35">
      <c r="A7384" s="2">
        <v>43222</v>
      </c>
      <c r="B7384" s="36" t="s">
        <v>667</v>
      </c>
      <c r="C7384" s="10">
        <v>66</v>
      </c>
      <c r="D7384" s="10">
        <v>284</v>
      </c>
      <c r="E7384" s="10" t="s">
        <v>33</v>
      </c>
      <c r="F7384" s="10" t="s">
        <v>476</v>
      </c>
    </row>
    <row r="7385" spans="1:7" x14ac:dyDescent="0.35">
      <c r="A7385" s="2">
        <v>43222</v>
      </c>
      <c r="B7385" s="36" t="s">
        <v>667</v>
      </c>
      <c r="C7385" s="10">
        <v>75</v>
      </c>
      <c r="D7385" s="10">
        <v>236</v>
      </c>
      <c r="E7385" s="10" t="s">
        <v>32</v>
      </c>
      <c r="F7385" s="10" t="s">
        <v>646</v>
      </c>
    </row>
    <row r="7386" spans="1:7" x14ac:dyDescent="0.35">
      <c r="A7386" s="2">
        <v>43222</v>
      </c>
      <c r="B7386" s="36" t="s">
        <v>667</v>
      </c>
      <c r="C7386" s="10">
        <v>73</v>
      </c>
      <c r="D7386" s="10">
        <v>323</v>
      </c>
      <c r="E7386" s="10" t="s">
        <v>34</v>
      </c>
      <c r="F7386" s="10" t="s">
        <v>646</v>
      </c>
    </row>
    <row r="7387" spans="1:7" x14ac:dyDescent="0.35">
      <c r="A7387" s="2">
        <v>43222</v>
      </c>
      <c r="B7387" s="36" t="s">
        <v>667</v>
      </c>
      <c r="C7387" s="10">
        <v>65</v>
      </c>
      <c r="D7387" s="10">
        <v>195</v>
      </c>
      <c r="E7387" s="10" t="s">
        <v>34</v>
      </c>
      <c r="F7387" s="10" t="s">
        <v>476</v>
      </c>
    </row>
    <row r="7388" spans="1:7" x14ac:dyDescent="0.35">
      <c r="A7388" s="2">
        <v>43222</v>
      </c>
      <c r="B7388" s="36" t="s">
        <v>667</v>
      </c>
      <c r="C7388" s="10">
        <v>70</v>
      </c>
      <c r="D7388" s="10">
        <v>231</v>
      </c>
      <c r="E7388" s="10" t="s">
        <v>32</v>
      </c>
      <c r="F7388" s="10" t="s">
        <v>646</v>
      </c>
    </row>
    <row r="7389" spans="1:7" x14ac:dyDescent="0.35">
      <c r="A7389" s="2">
        <v>43222</v>
      </c>
      <c r="B7389" s="36" t="s">
        <v>667</v>
      </c>
      <c r="C7389" s="10">
        <v>59</v>
      </c>
      <c r="D7389" s="10">
        <v>185</v>
      </c>
      <c r="E7389" s="10" t="s">
        <v>40</v>
      </c>
      <c r="F7389" s="10" t="s">
        <v>476</v>
      </c>
    </row>
    <row r="7390" spans="1:7" x14ac:dyDescent="0.35">
      <c r="A7390" s="2">
        <v>43222</v>
      </c>
      <c r="B7390" s="36" t="s">
        <v>667</v>
      </c>
      <c r="C7390" s="10">
        <v>67</v>
      </c>
      <c r="D7390" s="10">
        <v>256</v>
      </c>
      <c r="E7390" s="10" t="s">
        <v>33</v>
      </c>
      <c r="F7390" s="10" t="s">
        <v>646</v>
      </c>
    </row>
    <row r="7391" spans="1:7" x14ac:dyDescent="0.35">
      <c r="A7391" s="2">
        <v>43222</v>
      </c>
      <c r="B7391" s="36" t="s">
        <v>667</v>
      </c>
      <c r="C7391" s="10">
        <v>71</v>
      </c>
      <c r="D7391" s="10">
        <v>334</v>
      </c>
      <c r="E7391" s="10" t="s">
        <v>33</v>
      </c>
      <c r="F7391" s="10" t="s">
        <v>476</v>
      </c>
    </row>
    <row r="7392" spans="1:7" x14ac:dyDescent="0.35">
      <c r="A7392" s="2">
        <v>43222</v>
      </c>
      <c r="B7392" s="36" t="s">
        <v>667</v>
      </c>
      <c r="C7392" s="10">
        <v>64</v>
      </c>
      <c r="D7392" s="10">
        <v>252</v>
      </c>
      <c r="E7392" s="10" t="s">
        <v>33</v>
      </c>
      <c r="F7392" s="10" t="s">
        <v>476</v>
      </c>
    </row>
    <row r="7393" spans="1:25" x14ac:dyDescent="0.35">
      <c r="A7393" s="2">
        <v>43222</v>
      </c>
      <c r="B7393" s="36" t="s">
        <v>667</v>
      </c>
      <c r="C7393" s="10">
        <v>72</v>
      </c>
      <c r="D7393" s="10">
        <v>304</v>
      </c>
      <c r="E7393" s="10" t="s">
        <v>40</v>
      </c>
      <c r="F7393" s="10" t="s">
        <v>476</v>
      </c>
    </row>
    <row r="7394" spans="1:25" x14ac:dyDescent="0.35">
      <c r="A7394" s="2">
        <v>43222</v>
      </c>
      <c r="B7394" s="36" t="s">
        <v>667</v>
      </c>
      <c r="C7394" s="10">
        <v>70</v>
      </c>
      <c r="D7394" s="10">
        <v>305</v>
      </c>
      <c r="E7394" s="10" t="s">
        <v>32</v>
      </c>
      <c r="F7394" s="10" t="s">
        <v>198</v>
      </c>
      <c r="G7394" t="s">
        <v>475</v>
      </c>
    </row>
    <row r="7395" spans="1:25" x14ac:dyDescent="0.35">
      <c r="A7395" s="2">
        <v>43222</v>
      </c>
      <c r="B7395" s="36" t="s">
        <v>667</v>
      </c>
      <c r="C7395" s="10">
        <v>68</v>
      </c>
      <c r="D7395" s="10">
        <v>266</v>
      </c>
      <c r="E7395" s="10" t="s">
        <v>34</v>
      </c>
      <c r="F7395" s="10" t="s">
        <v>198</v>
      </c>
      <c r="G7395" t="s">
        <v>475</v>
      </c>
      <c r="N7395" t="s">
        <v>42</v>
      </c>
      <c r="O7395" t="s">
        <v>39</v>
      </c>
      <c r="P7395" t="s">
        <v>40</v>
      </c>
      <c r="Q7395" t="s">
        <v>36</v>
      </c>
      <c r="R7395" t="s">
        <v>33</v>
      </c>
      <c r="S7395" t="s">
        <v>34</v>
      </c>
      <c r="T7395" t="s">
        <v>32</v>
      </c>
      <c r="U7395" t="s">
        <v>37</v>
      </c>
      <c r="V7395" t="s">
        <v>159</v>
      </c>
    </row>
    <row r="7396" spans="1:25" x14ac:dyDescent="0.35">
      <c r="A7396" s="2">
        <v>43222</v>
      </c>
      <c r="B7396" s="36" t="s">
        <v>667</v>
      </c>
      <c r="C7396" s="10">
        <v>68</v>
      </c>
      <c r="D7396" s="10">
        <v>297</v>
      </c>
      <c r="E7396" s="10" t="s">
        <v>34</v>
      </c>
      <c r="F7396" s="10" t="s">
        <v>646</v>
      </c>
      <c r="N7396" s="5">
        <f>COUNTIF(E7340:E7397,"VA")</f>
        <v>0</v>
      </c>
      <c r="O7396" s="5">
        <f>COUNTIF(E7347:E7397,"VB")</f>
        <v>0</v>
      </c>
      <c r="P7396" s="5">
        <f>COUNTIF(E7347:E7397,"VIA0")</f>
        <v>6</v>
      </c>
      <c r="Q7396" s="5">
        <f>COUNTIF(E7347:E7397,"VIA1")</f>
        <v>0</v>
      </c>
      <c r="R7396" s="5">
        <f>COUNTIF(E7340:E7397,"VIA2")</f>
        <v>13</v>
      </c>
      <c r="S7396" s="5">
        <f>COUNTIF(E7340:E7397,"VIA3")</f>
        <v>20</v>
      </c>
      <c r="T7396" s="5">
        <f>COUNTIF(E7340:E7397,"VIA4")</f>
        <v>18</v>
      </c>
      <c r="U7396" s="5">
        <f>COUNTIF(E7347:E7397,"VIB")</f>
        <v>1</v>
      </c>
      <c r="V7396" s="5">
        <f>COUNTIF(E7347:E7397,"VII")</f>
        <v>0</v>
      </c>
      <c r="W7396">
        <f>AVERAGE(C7340:C7397)</f>
        <v>69.275862068965523</v>
      </c>
      <c r="X7396">
        <f>AVERAGE(D7340:D7397)</f>
        <v>278.5344827586207</v>
      </c>
    </row>
    <row r="7397" spans="1:25" s="4" customFormat="1" x14ac:dyDescent="0.35">
      <c r="A7397" s="3">
        <v>43222</v>
      </c>
      <c r="B7397" s="26" t="s">
        <v>667</v>
      </c>
      <c r="C7397" s="11">
        <v>63</v>
      </c>
      <c r="D7397" s="11">
        <v>247</v>
      </c>
      <c r="E7397" s="11" t="s">
        <v>34</v>
      </c>
      <c r="F7397" s="11" t="s">
        <v>476</v>
      </c>
      <c r="N7397" s="6">
        <f t="shared" ref="N7397:V7397" si="245">N7396/58*100</f>
        <v>0</v>
      </c>
      <c r="O7397" s="6">
        <f t="shared" si="245"/>
        <v>0</v>
      </c>
      <c r="P7397" s="6">
        <f t="shared" si="245"/>
        <v>10.344827586206897</v>
      </c>
      <c r="Q7397" s="6">
        <f t="shared" si="245"/>
        <v>0</v>
      </c>
      <c r="R7397" s="6">
        <f t="shared" si="245"/>
        <v>22.413793103448278</v>
      </c>
      <c r="S7397" s="6">
        <f t="shared" si="245"/>
        <v>34.482758620689658</v>
      </c>
      <c r="T7397" s="6">
        <f t="shared" si="245"/>
        <v>31.03448275862069</v>
      </c>
      <c r="U7397" s="6">
        <f t="shared" si="245"/>
        <v>1.7241379310344827</v>
      </c>
      <c r="V7397" s="6">
        <f t="shared" si="245"/>
        <v>0</v>
      </c>
    </row>
    <row r="7398" spans="1:25" x14ac:dyDescent="0.35">
      <c r="A7398" s="2">
        <v>43227</v>
      </c>
      <c r="B7398" s="40" t="s">
        <v>38</v>
      </c>
      <c r="C7398" s="10">
        <v>77</v>
      </c>
      <c r="D7398" s="10">
        <v>398</v>
      </c>
      <c r="E7398" s="10" t="s">
        <v>33</v>
      </c>
      <c r="F7398" s="10" t="s">
        <v>646</v>
      </c>
      <c r="H7398" t="s">
        <v>161</v>
      </c>
      <c r="M7398">
        <f>COUNTIF(F7398:F7500,"F++")</f>
        <v>0</v>
      </c>
    </row>
    <row r="7399" spans="1:25" x14ac:dyDescent="0.35">
      <c r="A7399" s="2">
        <v>43227</v>
      </c>
      <c r="B7399" s="40" t="s">
        <v>38</v>
      </c>
      <c r="C7399" s="10">
        <v>63</v>
      </c>
      <c r="D7399" s="10">
        <v>198</v>
      </c>
      <c r="E7399" s="10" t="s">
        <v>32</v>
      </c>
      <c r="F7399" s="10" t="s">
        <v>476</v>
      </c>
      <c r="N7399">
        <f t="shared" ref="N7399:V7399" si="246">N7338+N7341</f>
        <v>0</v>
      </c>
      <c r="O7399">
        <f t="shared" si="246"/>
        <v>0</v>
      </c>
      <c r="P7399">
        <f t="shared" si="246"/>
        <v>1</v>
      </c>
      <c r="Q7399">
        <f t="shared" si="246"/>
        <v>1</v>
      </c>
      <c r="R7399">
        <f t="shared" si="246"/>
        <v>2</v>
      </c>
      <c r="S7399">
        <f t="shared" si="246"/>
        <v>22</v>
      </c>
      <c r="T7399">
        <f t="shared" si="246"/>
        <v>137</v>
      </c>
      <c r="U7399">
        <f t="shared" si="246"/>
        <v>9</v>
      </c>
      <c r="V7399">
        <f t="shared" si="246"/>
        <v>0</v>
      </c>
    </row>
    <row r="7400" spans="1:25" x14ac:dyDescent="0.35">
      <c r="A7400" s="2">
        <v>43227</v>
      </c>
      <c r="B7400" s="40" t="s">
        <v>38</v>
      </c>
      <c r="C7400" s="10">
        <v>71</v>
      </c>
      <c r="D7400" s="10">
        <v>300</v>
      </c>
      <c r="E7400" s="10" t="s">
        <v>34</v>
      </c>
      <c r="F7400" s="10" t="s">
        <v>646</v>
      </c>
      <c r="N7400">
        <f>N7399/172*100</f>
        <v>0</v>
      </c>
      <c r="O7400">
        <f t="shared" ref="O7400:V7400" si="247">O7399/172*100</f>
        <v>0</v>
      </c>
      <c r="P7400">
        <f t="shared" si="247"/>
        <v>0.58139534883720934</v>
      </c>
      <c r="Q7400">
        <f t="shared" si="247"/>
        <v>0.58139534883720934</v>
      </c>
      <c r="R7400">
        <f t="shared" si="247"/>
        <v>1.1627906976744187</v>
      </c>
      <c r="S7400">
        <f t="shared" si="247"/>
        <v>12.790697674418606</v>
      </c>
      <c r="T7400">
        <f t="shared" si="247"/>
        <v>79.651162790697668</v>
      </c>
      <c r="U7400">
        <f t="shared" si="247"/>
        <v>5.2325581395348841</v>
      </c>
      <c r="V7400">
        <f t="shared" si="247"/>
        <v>0</v>
      </c>
      <c r="X7400">
        <f>AVERAGE(C7289:C7339,C7260:C7287,C7182:C7257,C7172:C7180,C7160:C7167)</f>
        <v>68.639534883720927</v>
      </c>
      <c r="Y7400">
        <f>AVERAGE(D7289:D7339,D7260:D7287,D7182:D7257,D7172:D7180,D7160:D7167)</f>
        <v>278.65697674418607</v>
      </c>
    </row>
    <row r="7401" spans="1:25" x14ac:dyDescent="0.35">
      <c r="A7401" s="2">
        <v>43227</v>
      </c>
      <c r="B7401" s="40" t="s">
        <v>38</v>
      </c>
      <c r="C7401" s="10">
        <v>67</v>
      </c>
      <c r="D7401" s="10">
        <v>190</v>
      </c>
      <c r="E7401" s="10" t="s">
        <v>32</v>
      </c>
      <c r="F7401" s="10" t="s">
        <v>198</v>
      </c>
    </row>
    <row r="7402" spans="1:25" x14ac:dyDescent="0.35">
      <c r="A7402" s="2">
        <v>43227</v>
      </c>
      <c r="B7402" s="40" t="s">
        <v>38</v>
      </c>
      <c r="C7402" s="10">
        <v>73</v>
      </c>
      <c r="D7402" s="10">
        <v>242</v>
      </c>
      <c r="E7402" s="10" t="s">
        <v>37</v>
      </c>
      <c r="F7402" s="10" t="s">
        <v>293</v>
      </c>
    </row>
    <row r="7403" spans="1:25" x14ac:dyDescent="0.35">
      <c r="A7403" s="2">
        <v>43227</v>
      </c>
      <c r="B7403" s="40" t="s">
        <v>38</v>
      </c>
      <c r="C7403" s="10">
        <v>68</v>
      </c>
      <c r="D7403" s="10">
        <v>299</v>
      </c>
      <c r="E7403" s="10" t="s">
        <v>34</v>
      </c>
      <c r="F7403" s="10" t="s">
        <v>646</v>
      </c>
    </row>
    <row r="7404" spans="1:25" x14ac:dyDescent="0.35">
      <c r="A7404" s="2">
        <v>43227</v>
      </c>
      <c r="B7404" s="40" t="s">
        <v>38</v>
      </c>
      <c r="C7404" s="10">
        <v>73</v>
      </c>
      <c r="D7404" s="10">
        <v>314</v>
      </c>
      <c r="E7404" s="10" t="s">
        <v>32</v>
      </c>
      <c r="F7404" s="10" t="s">
        <v>360</v>
      </c>
      <c r="H7404" t="s">
        <v>161</v>
      </c>
    </row>
    <row r="7405" spans="1:25" x14ac:dyDescent="0.35">
      <c r="A7405" s="2">
        <v>43227</v>
      </c>
      <c r="B7405" s="40" t="s">
        <v>38</v>
      </c>
      <c r="C7405" s="10">
        <v>65</v>
      </c>
      <c r="D7405" s="10">
        <v>181</v>
      </c>
      <c r="E7405" s="10" t="s">
        <v>32</v>
      </c>
      <c r="F7405" s="10" t="s">
        <v>360</v>
      </c>
      <c r="G7405" t="s">
        <v>475</v>
      </c>
      <c r="H7405" t="s">
        <v>161</v>
      </c>
      <c r="Q7405">
        <f>79+93</f>
        <v>172</v>
      </c>
    </row>
    <row r="7406" spans="1:25" x14ac:dyDescent="0.35">
      <c r="A7406" s="2">
        <v>43227</v>
      </c>
      <c r="B7406" s="40" t="s">
        <v>38</v>
      </c>
      <c r="C7406" s="10">
        <v>73</v>
      </c>
      <c r="D7406" s="10">
        <v>168</v>
      </c>
      <c r="E7406" s="10" t="s">
        <v>32</v>
      </c>
      <c r="F7406" s="10" t="s">
        <v>360</v>
      </c>
      <c r="G7406" t="s">
        <v>475</v>
      </c>
    </row>
    <row r="7407" spans="1:25" x14ac:dyDescent="0.35">
      <c r="A7407" s="2">
        <v>43227</v>
      </c>
      <c r="B7407" s="40" t="s">
        <v>38</v>
      </c>
      <c r="C7407" s="10">
        <v>74</v>
      </c>
      <c r="D7407" s="10">
        <v>325</v>
      </c>
      <c r="E7407" s="10" t="s">
        <v>34</v>
      </c>
      <c r="F7407" s="10" t="s">
        <v>476</v>
      </c>
      <c r="H7407" t="s">
        <v>161</v>
      </c>
    </row>
    <row r="7408" spans="1:25" x14ac:dyDescent="0.35">
      <c r="A7408" s="2">
        <v>43227</v>
      </c>
      <c r="B7408" s="40" t="s">
        <v>38</v>
      </c>
      <c r="C7408" s="10">
        <v>68</v>
      </c>
      <c r="D7408" s="10">
        <v>282</v>
      </c>
      <c r="E7408" s="10" t="s">
        <v>32</v>
      </c>
      <c r="F7408" s="10" t="s">
        <v>293</v>
      </c>
      <c r="H7408" t="s">
        <v>161</v>
      </c>
    </row>
    <row r="7409" spans="1:8" x14ac:dyDescent="0.35">
      <c r="A7409" s="2">
        <v>43227</v>
      </c>
      <c r="B7409" s="40" t="s">
        <v>38</v>
      </c>
      <c r="C7409" s="10">
        <v>75</v>
      </c>
      <c r="D7409" s="10">
        <v>302</v>
      </c>
      <c r="E7409" s="10" t="s">
        <v>33</v>
      </c>
      <c r="F7409" s="10" t="s">
        <v>476</v>
      </c>
    </row>
    <row r="7410" spans="1:8" x14ac:dyDescent="0.35">
      <c r="A7410" s="2">
        <v>43227</v>
      </c>
      <c r="B7410" s="40" t="s">
        <v>38</v>
      </c>
      <c r="C7410" s="10">
        <v>69</v>
      </c>
      <c r="D7410" s="10">
        <v>254</v>
      </c>
      <c r="E7410" s="10" t="s">
        <v>32</v>
      </c>
      <c r="F7410" s="10" t="s">
        <v>360</v>
      </c>
      <c r="G7410" t="s">
        <v>475</v>
      </c>
      <c r="H7410" t="s">
        <v>161</v>
      </c>
    </row>
    <row r="7411" spans="1:8" x14ac:dyDescent="0.35">
      <c r="A7411" s="2">
        <v>43227</v>
      </c>
      <c r="B7411" s="40" t="s">
        <v>38</v>
      </c>
      <c r="C7411" s="10">
        <v>68</v>
      </c>
      <c r="D7411" s="10">
        <v>233</v>
      </c>
      <c r="E7411" s="10" t="s">
        <v>33</v>
      </c>
      <c r="F7411" s="10" t="s">
        <v>646</v>
      </c>
    </row>
    <row r="7412" spans="1:8" x14ac:dyDescent="0.35">
      <c r="A7412" s="2">
        <v>43227</v>
      </c>
      <c r="B7412" s="40" t="s">
        <v>38</v>
      </c>
      <c r="C7412" s="10">
        <v>69</v>
      </c>
      <c r="D7412" s="10">
        <v>221</v>
      </c>
      <c r="E7412" s="10" t="s">
        <v>32</v>
      </c>
      <c r="F7412" s="10" t="s">
        <v>646</v>
      </c>
    </row>
    <row r="7413" spans="1:8" x14ac:dyDescent="0.35">
      <c r="A7413" s="2">
        <v>43227</v>
      </c>
      <c r="B7413" s="40" t="s">
        <v>38</v>
      </c>
      <c r="C7413" s="10">
        <v>76</v>
      </c>
      <c r="D7413" s="10">
        <v>349</v>
      </c>
      <c r="E7413" s="10" t="s">
        <v>32</v>
      </c>
      <c r="F7413" s="10" t="s">
        <v>198</v>
      </c>
      <c r="G7413" t="s">
        <v>475</v>
      </c>
      <c r="H7413" t="s">
        <v>161</v>
      </c>
    </row>
    <row r="7414" spans="1:8" x14ac:dyDescent="0.35">
      <c r="A7414" s="2">
        <v>43227</v>
      </c>
      <c r="B7414" s="40" t="s">
        <v>38</v>
      </c>
      <c r="C7414" s="10">
        <v>68</v>
      </c>
      <c r="D7414" s="10">
        <v>262</v>
      </c>
      <c r="E7414" s="10" t="s">
        <v>32</v>
      </c>
      <c r="F7414" s="10" t="s">
        <v>360</v>
      </c>
      <c r="H7414" t="s">
        <v>161</v>
      </c>
    </row>
    <row r="7415" spans="1:8" x14ac:dyDescent="0.35">
      <c r="A7415" s="2">
        <v>43227</v>
      </c>
      <c r="B7415" s="40" t="s">
        <v>38</v>
      </c>
      <c r="C7415" s="10">
        <v>75</v>
      </c>
      <c r="D7415" s="10">
        <v>443</v>
      </c>
      <c r="E7415" s="10" t="s">
        <v>34</v>
      </c>
      <c r="F7415" s="10" t="s">
        <v>476</v>
      </c>
    </row>
    <row r="7416" spans="1:8" x14ac:dyDescent="0.35">
      <c r="A7416" s="2">
        <v>43227</v>
      </c>
      <c r="B7416" s="40" t="s">
        <v>38</v>
      </c>
      <c r="C7416" s="10">
        <v>72</v>
      </c>
      <c r="D7416" s="10">
        <v>293</v>
      </c>
      <c r="E7416" s="10" t="s">
        <v>34</v>
      </c>
      <c r="F7416" s="10" t="s">
        <v>476</v>
      </c>
    </row>
    <row r="7417" spans="1:8" x14ac:dyDescent="0.35">
      <c r="A7417" s="2">
        <v>43227</v>
      </c>
      <c r="B7417" s="40" t="s">
        <v>38</v>
      </c>
      <c r="C7417" s="10">
        <v>71</v>
      </c>
      <c r="D7417" s="10">
        <v>288</v>
      </c>
      <c r="E7417" s="10" t="s">
        <v>36</v>
      </c>
      <c r="F7417" s="10" t="s">
        <v>476</v>
      </c>
    </row>
    <row r="7418" spans="1:8" x14ac:dyDescent="0.35">
      <c r="A7418" s="2">
        <v>43227</v>
      </c>
      <c r="B7418" s="40" t="s">
        <v>38</v>
      </c>
      <c r="C7418" s="10">
        <v>78</v>
      </c>
      <c r="D7418" s="10">
        <v>343</v>
      </c>
      <c r="E7418" s="10" t="s">
        <v>32</v>
      </c>
      <c r="F7418" s="10" t="s">
        <v>360</v>
      </c>
      <c r="G7418" t="s">
        <v>475</v>
      </c>
      <c r="H7418" t="s">
        <v>161</v>
      </c>
    </row>
    <row r="7419" spans="1:8" x14ac:dyDescent="0.35">
      <c r="A7419" s="2">
        <v>43227</v>
      </c>
      <c r="B7419" s="40" t="s">
        <v>38</v>
      </c>
      <c r="C7419" s="10">
        <v>74</v>
      </c>
      <c r="D7419" s="10">
        <v>330</v>
      </c>
      <c r="E7419" s="10" t="s">
        <v>32</v>
      </c>
      <c r="F7419" s="10" t="s">
        <v>293</v>
      </c>
      <c r="H7419" t="s">
        <v>161</v>
      </c>
    </row>
    <row r="7420" spans="1:8" x14ac:dyDescent="0.35">
      <c r="A7420" s="2">
        <v>43227</v>
      </c>
      <c r="B7420" s="40" t="s">
        <v>38</v>
      </c>
      <c r="C7420" s="10">
        <v>73</v>
      </c>
      <c r="D7420" s="10">
        <v>290</v>
      </c>
      <c r="E7420" s="10" t="s">
        <v>32</v>
      </c>
      <c r="F7420" s="10" t="s">
        <v>476</v>
      </c>
      <c r="H7420" t="s">
        <v>161</v>
      </c>
    </row>
    <row r="7421" spans="1:8" x14ac:dyDescent="0.35">
      <c r="A7421" s="2">
        <v>43227</v>
      </c>
      <c r="B7421" s="40" t="s">
        <v>38</v>
      </c>
      <c r="C7421" s="10">
        <v>70</v>
      </c>
      <c r="D7421" s="10">
        <v>278</v>
      </c>
      <c r="E7421" s="10" t="s">
        <v>32</v>
      </c>
      <c r="F7421" s="10" t="s">
        <v>646</v>
      </c>
    </row>
    <row r="7422" spans="1:8" x14ac:dyDescent="0.35">
      <c r="A7422" s="2">
        <v>43227</v>
      </c>
      <c r="B7422" s="40" t="s">
        <v>38</v>
      </c>
      <c r="C7422" s="10">
        <v>79</v>
      </c>
      <c r="D7422" s="10">
        <v>377</v>
      </c>
      <c r="E7422" s="10" t="s">
        <v>34</v>
      </c>
      <c r="F7422" s="10" t="s">
        <v>476</v>
      </c>
    </row>
    <row r="7423" spans="1:8" x14ac:dyDescent="0.35">
      <c r="A7423" s="2">
        <v>43227</v>
      </c>
      <c r="B7423" s="40" t="s">
        <v>38</v>
      </c>
      <c r="C7423" s="10">
        <v>76</v>
      </c>
      <c r="D7423" s="10">
        <v>317</v>
      </c>
      <c r="E7423" s="10" t="s">
        <v>32</v>
      </c>
      <c r="F7423" s="10" t="s">
        <v>646</v>
      </c>
    </row>
    <row r="7424" spans="1:8" x14ac:dyDescent="0.35">
      <c r="A7424" s="2">
        <v>43227</v>
      </c>
      <c r="B7424" s="40" t="s">
        <v>38</v>
      </c>
      <c r="C7424" s="10">
        <v>66</v>
      </c>
      <c r="D7424" s="10">
        <v>238</v>
      </c>
      <c r="E7424" s="10" t="s">
        <v>32</v>
      </c>
      <c r="F7424" s="10" t="s">
        <v>476</v>
      </c>
    </row>
    <row r="7425" spans="1:9" x14ac:dyDescent="0.35">
      <c r="A7425" s="2">
        <v>43227</v>
      </c>
      <c r="B7425" s="40" t="s">
        <v>38</v>
      </c>
      <c r="C7425" s="10">
        <v>70</v>
      </c>
      <c r="D7425" s="10">
        <v>301</v>
      </c>
      <c r="E7425" s="10" t="s">
        <v>32</v>
      </c>
      <c r="F7425" s="10" t="s">
        <v>360</v>
      </c>
      <c r="H7425" t="s">
        <v>161</v>
      </c>
    </row>
    <row r="7426" spans="1:9" x14ac:dyDescent="0.35">
      <c r="A7426" s="2">
        <v>43227</v>
      </c>
      <c r="B7426" s="40" t="s">
        <v>38</v>
      </c>
      <c r="C7426" s="10">
        <v>68</v>
      </c>
      <c r="D7426" s="10">
        <v>262</v>
      </c>
      <c r="E7426" s="10" t="s">
        <v>34</v>
      </c>
      <c r="F7426" s="10" t="s">
        <v>646</v>
      </c>
    </row>
    <row r="7427" spans="1:9" x14ac:dyDescent="0.35">
      <c r="A7427" s="2">
        <v>43227</v>
      </c>
      <c r="B7427" s="40" t="s">
        <v>38</v>
      </c>
      <c r="C7427" s="10">
        <v>76</v>
      </c>
      <c r="D7427" s="10">
        <v>376</v>
      </c>
      <c r="E7427" s="10" t="s">
        <v>34</v>
      </c>
      <c r="F7427" s="10" t="s">
        <v>476</v>
      </c>
    </row>
    <row r="7428" spans="1:9" x14ac:dyDescent="0.35">
      <c r="A7428" s="2">
        <v>43227</v>
      </c>
      <c r="B7428" s="40" t="s">
        <v>38</v>
      </c>
      <c r="C7428" s="10">
        <v>62</v>
      </c>
      <c r="D7428" s="10">
        <v>201</v>
      </c>
      <c r="E7428" s="10" t="s">
        <v>32</v>
      </c>
      <c r="F7428" s="10" t="s">
        <v>360</v>
      </c>
      <c r="G7428" t="s">
        <v>475</v>
      </c>
      <c r="H7428" t="s">
        <v>161</v>
      </c>
    </row>
    <row r="7429" spans="1:9" x14ac:dyDescent="0.35">
      <c r="A7429" s="2">
        <v>43227</v>
      </c>
      <c r="B7429" s="40" t="s">
        <v>38</v>
      </c>
      <c r="C7429" s="10">
        <v>76</v>
      </c>
      <c r="D7429" s="10">
        <v>353</v>
      </c>
      <c r="E7429" s="10" t="s">
        <v>34</v>
      </c>
      <c r="F7429" s="10" t="s">
        <v>476</v>
      </c>
    </row>
    <row r="7430" spans="1:9" x14ac:dyDescent="0.35">
      <c r="A7430" s="2">
        <v>43227</v>
      </c>
      <c r="B7430" s="40" t="s">
        <v>38</v>
      </c>
      <c r="E7430" s="10" t="s">
        <v>32</v>
      </c>
      <c r="F7430" s="10" t="s">
        <v>198</v>
      </c>
      <c r="G7430" t="s">
        <v>475</v>
      </c>
      <c r="H7430" t="s">
        <v>161</v>
      </c>
      <c r="I7430" t="s">
        <v>801</v>
      </c>
    </row>
    <row r="7431" spans="1:9" x14ac:dyDescent="0.35">
      <c r="A7431" s="2">
        <v>43227</v>
      </c>
      <c r="B7431" s="40" t="s">
        <v>38</v>
      </c>
      <c r="C7431">
        <v>73</v>
      </c>
      <c r="D7431">
        <v>328</v>
      </c>
      <c r="E7431" s="10" t="s">
        <v>32</v>
      </c>
      <c r="F7431" s="10" t="s">
        <v>198</v>
      </c>
    </row>
    <row r="7432" spans="1:9" x14ac:dyDescent="0.35">
      <c r="A7432" s="2">
        <v>43227</v>
      </c>
      <c r="B7432" s="40" t="s">
        <v>38</v>
      </c>
      <c r="C7432">
        <v>71</v>
      </c>
      <c r="D7432">
        <v>198</v>
      </c>
      <c r="E7432" s="10" t="s">
        <v>32</v>
      </c>
      <c r="F7432" s="10" t="s">
        <v>293</v>
      </c>
    </row>
    <row r="7433" spans="1:9" x14ac:dyDescent="0.35">
      <c r="A7433" s="2">
        <v>43227</v>
      </c>
      <c r="B7433" s="40" t="s">
        <v>38</v>
      </c>
      <c r="C7433">
        <v>73</v>
      </c>
      <c r="D7433">
        <v>331</v>
      </c>
      <c r="E7433" s="10" t="s">
        <v>32</v>
      </c>
      <c r="F7433" s="10" t="s">
        <v>360</v>
      </c>
    </row>
    <row r="7434" spans="1:9" x14ac:dyDescent="0.35">
      <c r="A7434" s="2">
        <v>43227</v>
      </c>
      <c r="B7434" s="40" t="s">
        <v>38</v>
      </c>
      <c r="C7434">
        <v>71</v>
      </c>
      <c r="D7434">
        <v>292</v>
      </c>
      <c r="E7434" s="10" t="s">
        <v>32</v>
      </c>
      <c r="F7434" s="10" t="s">
        <v>646</v>
      </c>
    </row>
    <row r="7435" spans="1:9" x14ac:dyDescent="0.35">
      <c r="A7435" s="2">
        <v>43227</v>
      </c>
      <c r="B7435" s="40" t="s">
        <v>38</v>
      </c>
      <c r="C7435">
        <v>75</v>
      </c>
      <c r="D7435">
        <v>346</v>
      </c>
      <c r="E7435" s="10" t="s">
        <v>32</v>
      </c>
      <c r="F7435" s="10" t="s">
        <v>198</v>
      </c>
      <c r="H7435" t="s">
        <v>161</v>
      </c>
    </row>
    <row r="7436" spans="1:9" x14ac:dyDescent="0.35">
      <c r="A7436" s="2">
        <v>43227</v>
      </c>
      <c r="B7436" s="40" t="s">
        <v>38</v>
      </c>
      <c r="C7436">
        <v>63</v>
      </c>
      <c r="D7436">
        <v>157</v>
      </c>
      <c r="E7436" s="10" t="s">
        <v>32</v>
      </c>
      <c r="F7436" s="10" t="s">
        <v>198</v>
      </c>
    </row>
    <row r="7437" spans="1:9" x14ac:dyDescent="0.35">
      <c r="A7437" s="2">
        <v>43227</v>
      </c>
      <c r="B7437" s="40" t="s">
        <v>38</v>
      </c>
      <c r="C7437">
        <v>69</v>
      </c>
      <c r="D7437">
        <v>265</v>
      </c>
      <c r="E7437" s="10" t="s">
        <v>32</v>
      </c>
      <c r="F7437" s="10" t="s">
        <v>198</v>
      </c>
      <c r="H7437" t="s">
        <v>161</v>
      </c>
    </row>
    <row r="7438" spans="1:9" x14ac:dyDescent="0.35">
      <c r="A7438" s="2">
        <v>43227</v>
      </c>
      <c r="B7438" s="40" t="s">
        <v>38</v>
      </c>
      <c r="C7438">
        <v>70</v>
      </c>
      <c r="D7438">
        <v>296</v>
      </c>
      <c r="E7438" s="10" t="s">
        <v>32</v>
      </c>
      <c r="F7438" s="10" t="s">
        <v>293</v>
      </c>
    </row>
    <row r="7439" spans="1:9" x14ac:dyDescent="0.35">
      <c r="A7439" s="2">
        <v>43227</v>
      </c>
      <c r="B7439" s="40" t="s">
        <v>38</v>
      </c>
      <c r="C7439">
        <v>71</v>
      </c>
      <c r="D7439">
        <v>295</v>
      </c>
      <c r="E7439" s="10" t="s">
        <v>32</v>
      </c>
      <c r="F7439" s="10" t="s">
        <v>293</v>
      </c>
      <c r="H7439" t="s">
        <v>161</v>
      </c>
    </row>
    <row r="7440" spans="1:9" x14ac:dyDescent="0.35">
      <c r="A7440" s="2">
        <v>43227</v>
      </c>
      <c r="B7440" s="40" t="s">
        <v>38</v>
      </c>
      <c r="C7440">
        <v>70</v>
      </c>
      <c r="D7440">
        <v>292</v>
      </c>
      <c r="E7440" s="10" t="s">
        <v>33</v>
      </c>
      <c r="F7440" s="10" t="s">
        <v>646</v>
      </c>
    </row>
    <row r="7441" spans="1:24" x14ac:dyDescent="0.35">
      <c r="A7441" s="2">
        <v>43227</v>
      </c>
      <c r="B7441" s="40" t="s">
        <v>38</v>
      </c>
      <c r="C7441">
        <v>71</v>
      </c>
      <c r="D7441">
        <v>296</v>
      </c>
      <c r="E7441" s="10" t="s">
        <v>37</v>
      </c>
      <c r="F7441" s="10" t="s">
        <v>293</v>
      </c>
      <c r="H7441" t="s">
        <v>161</v>
      </c>
    </row>
    <row r="7442" spans="1:24" x14ac:dyDescent="0.35">
      <c r="A7442" s="2">
        <v>43227</v>
      </c>
      <c r="B7442" s="40" t="s">
        <v>38</v>
      </c>
      <c r="C7442">
        <v>70</v>
      </c>
      <c r="D7442">
        <v>321</v>
      </c>
      <c r="E7442" s="10" t="s">
        <v>33</v>
      </c>
      <c r="F7442" s="10" t="s">
        <v>476</v>
      </c>
    </row>
    <row r="7443" spans="1:24" x14ac:dyDescent="0.35">
      <c r="A7443" s="2">
        <v>43227</v>
      </c>
      <c r="B7443" s="40" t="s">
        <v>38</v>
      </c>
      <c r="C7443">
        <v>65</v>
      </c>
      <c r="D7443">
        <v>226</v>
      </c>
      <c r="E7443" s="10" t="s">
        <v>33</v>
      </c>
      <c r="F7443" s="10" t="s">
        <v>476</v>
      </c>
    </row>
    <row r="7444" spans="1:24" x14ac:dyDescent="0.35">
      <c r="A7444" s="2">
        <v>43227</v>
      </c>
      <c r="B7444" s="40" t="s">
        <v>38</v>
      </c>
      <c r="C7444">
        <v>70</v>
      </c>
      <c r="D7444">
        <v>312</v>
      </c>
      <c r="E7444" s="10" t="s">
        <v>34</v>
      </c>
      <c r="F7444" s="10" t="s">
        <v>476</v>
      </c>
    </row>
    <row r="7445" spans="1:24" x14ac:dyDescent="0.35">
      <c r="A7445" s="2">
        <v>43227</v>
      </c>
      <c r="B7445" s="40" t="s">
        <v>38</v>
      </c>
      <c r="C7445">
        <v>73</v>
      </c>
      <c r="D7445">
        <v>302</v>
      </c>
      <c r="E7445" s="10" t="s">
        <v>34</v>
      </c>
      <c r="F7445" s="10" t="s">
        <v>476</v>
      </c>
    </row>
    <row r="7446" spans="1:24" x14ac:dyDescent="0.35">
      <c r="A7446" s="2">
        <v>43227</v>
      </c>
      <c r="B7446" s="40" t="s">
        <v>38</v>
      </c>
      <c r="C7446">
        <v>67</v>
      </c>
      <c r="D7446">
        <v>289</v>
      </c>
      <c r="E7446" s="10" t="s">
        <v>32</v>
      </c>
      <c r="F7446" s="10" t="s">
        <v>198</v>
      </c>
      <c r="G7446" t="s">
        <v>475</v>
      </c>
      <c r="H7446" t="s">
        <v>161</v>
      </c>
      <c r="L7446">
        <f>AVERAGE(D7398:D7448)</f>
        <v>286.89999999999998</v>
      </c>
      <c r="N7446" t="s">
        <v>42</v>
      </c>
      <c r="O7446" t="s">
        <v>39</v>
      </c>
      <c r="P7446" t="s">
        <v>40</v>
      </c>
      <c r="Q7446" t="s">
        <v>36</v>
      </c>
      <c r="R7446" t="s">
        <v>33</v>
      </c>
      <c r="S7446" t="s">
        <v>34</v>
      </c>
      <c r="T7446" t="s">
        <v>32</v>
      </c>
      <c r="U7446" t="s">
        <v>37</v>
      </c>
      <c r="V7446" t="s">
        <v>159</v>
      </c>
    </row>
    <row r="7447" spans="1:24" x14ac:dyDescent="0.35">
      <c r="A7447" s="2">
        <v>43227</v>
      </c>
      <c r="B7447" s="40" t="s">
        <v>38</v>
      </c>
      <c r="C7447">
        <v>71</v>
      </c>
      <c r="D7447">
        <v>326</v>
      </c>
      <c r="E7447" s="10" t="s">
        <v>32</v>
      </c>
      <c r="F7447" s="10" t="s">
        <v>646</v>
      </c>
      <c r="N7447" s="5">
        <f>COUNTIF(E7398:E7448,"VA")</f>
        <v>0</v>
      </c>
      <c r="O7447" s="5">
        <f>COUNTIF(E7398:E7448,"VB")</f>
        <v>0</v>
      </c>
      <c r="P7447" s="5">
        <f>COUNTIF(E7398:E7448,"VIA0")</f>
        <v>0</v>
      </c>
      <c r="Q7447" s="5">
        <f>COUNTIF(E7398:E7448,"VIA1")</f>
        <v>1</v>
      </c>
      <c r="R7447" s="5">
        <f>COUNTIF(E7398:E7448,"VIA2")</f>
        <v>6</v>
      </c>
      <c r="S7447" s="5">
        <f>COUNTIF(E7398:E7448,"VIA3")</f>
        <v>12</v>
      </c>
      <c r="T7447" s="5">
        <f>COUNTIF(E7398:E7448,"VIA4")</f>
        <v>30</v>
      </c>
      <c r="U7447" s="5">
        <f>COUNTIF(E7398:E7448,"VIB")</f>
        <v>2</v>
      </c>
      <c r="V7447" s="5">
        <f>COUNTIF(E7398:E7448,"VII")</f>
        <v>0</v>
      </c>
      <c r="W7447">
        <f>AVERAGE(C7398:C7448)</f>
        <v>70.92</v>
      </c>
      <c r="X7447">
        <f>AVERAGE(D7398:D7448)</f>
        <v>286.89999999999998</v>
      </c>
    </row>
    <row r="7448" spans="1:24" s="4" customFormat="1" x14ac:dyDescent="0.35">
      <c r="A7448" s="3">
        <v>43227</v>
      </c>
      <c r="B7448" s="44" t="s">
        <v>38</v>
      </c>
      <c r="C7448" s="4">
        <v>70</v>
      </c>
      <c r="D7448" s="4">
        <v>265</v>
      </c>
      <c r="E7448" s="11" t="s">
        <v>34</v>
      </c>
      <c r="F7448" s="11" t="s">
        <v>293</v>
      </c>
      <c r="N7448" s="6">
        <f>N7447/51*100</f>
        <v>0</v>
      </c>
      <c r="O7448" s="6">
        <f t="shared" ref="O7448:V7448" si="248">O7447/51*100</f>
        <v>0</v>
      </c>
      <c r="P7448" s="6">
        <f t="shared" si="248"/>
        <v>0</v>
      </c>
      <c r="Q7448" s="6">
        <f t="shared" si="248"/>
        <v>1.9607843137254901</v>
      </c>
      <c r="R7448" s="6">
        <f t="shared" si="248"/>
        <v>11.76470588235294</v>
      </c>
      <c r="S7448" s="6">
        <f t="shared" si="248"/>
        <v>23.52941176470588</v>
      </c>
      <c r="T7448" s="6">
        <f t="shared" si="248"/>
        <v>58.82352941176471</v>
      </c>
      <c r="U7448" s="6">
        <f t="shared" si="248"/>
        <v>3.9215686274509802</v>
      </c>
      <c r="V7448" s="6">
        <f t="shared" si="248"/>
        <v>0</v>
      </c>
    </row>
    <row r="7449" spans="1:24" x14ac:dyDescent="0.35">
      <c r="A7449" s="2">
        <v>43227</v>
      </c>
      <c r="B7449" s="40" t="s">
        <v>29</v>
      </c>
      <c r="C7449" s="10">
        <v>70</v>
      </c>
      <c r="D7449" s="10">
        <v>259</v>
      </c>
      <c r="E7449" s="10" t="s">
        <v>33</v>
      </c>
      <c r="F7449" s="10" t="s">
        <v>476</v>
      </c>
    </row>
    <row r="7450" spans="1:24" x14ac:dyDescent="0.35">
      <c r="A7450" s="2">
        <v>43227</v>
      </c>
      <c r="B7450" s="40" t="s">
        <v>29</v>
      </c>
      <c r="C7450" s="10">
        <v>67</v>
      </c>
      <c r="D7450" s="10">
        <v>259</v>
      </c>
      <c r="E7450" s="10" t="s">
        <v>34</v>
      </c>
      <c r="F7450" s="10" t="s">
        <v>476</v>
      </c>
    </row>
    <row r="7451" spans="1:24" x14ac:dyDescent="0.35">
      <c r="A7451" s="2">
        <v>43227</v>
      </c>
      <c r="B7451" s="40" t="s">
        <v>29</v>
      </c>
      <c r="C7451" s="10">
        <v>70</v>
      </c>
      <c r="D7451" s="10">
        <v>224</v>
      </c>
      <c r="E7451" s="10" t="s">
        <v>32</v>
      </c>
      <c r="F7451" s="10" t="s">
        <v>476</v>
      </c>
    </row>
    <row r="7452" spans="1:24" x14ac:dyDescent="0.35">
      <c r="A7452" s="2">
        <v>43227</v>
      </c>
      <c r="B7452" s="40" t="s">
        <v>29</v>
      </c>
      <c r="C7452" s="10">
        <v>68</v>
      </c>
      <c r="D7452" s="10">
        <v>244</v>
      </c>
      <c r="E7452" s="10" t="s">
        <v>32</v>
      </c>
      <c r="F7452" s="10" t="s">
        <v>360</v>
      </c>
      <c r="G7452" t="s">
        <v>475</v>
      </c>
      <c r="H7452" t="s">
        <v>161</v>
      </c>
    </row>
    <row r="7453" spans="1:24" x14ac:dyDescent="0.35">
      <c r="A7453" s="2">
        <v>43227</v>
      </c>
      <c r="B7453" s="40" t="s">
        <v>29</v>
      </c>
      <c r="C7453" s="10">
        <v>73</v>
      </c>
      <c r="D7453" s="10">
        <v>306</v>
      </c>
      <c r="E7453" s="10" t="s">
        <v>32</v>
      </c>
      <c r="F7453" s="10" t="s">
        <v>646</v>
      </c>
    </row>
    <row r="7454" spans="1:24" x14ac:dyDescent="0.35">
      <c r="A7454" s="2">
        <v>43227</v>
      </c>
      <c r="B7454" s="40" t="s">
        <v>29</v>
      </c>
      <c r="C7454" s="10">
        <v>70</v>
      </c>
      <c r="D7454" s="10">
        <v>276</v>
      </c>
      <c r="E7454" s="10" t="s">
        <v>32</v>
      </c>
      <c r="F7454" s="10" t="s">
        <v>360</v>
      </c>
      <c r="G7454" t="s">
        <v>475</v>
      </c>
      <c r="H7454" t="s">
        <v>161</v>
      </c>
    </row>
    <row r="7455" spans="1:24" x14ac:dyDescent="0.35">
      <c r="A7455" s="2">
        <v>43227</v>
      </c>
      <c r="B7455" s="40" t="s">
        <v>29</v>
      </c>
      <c r="C7455" s="10">
        <v>71</v>
      </c>
      <c r="D7455" s="10">
        <v>325</v>
      </c>
      <c r="E7455" s="10" t="s">
        <v>37</v>
      </c>
      <c r="F7455" s="10" t="s">
        <v>646</v>
      </c>
      <c r="H7455" t="s">
        <v>161</v>
      </c>
    </row>
    <row r="7456" spans="1:24" x14ac:dyDescent="0.35">
      <c r="A7456" s="2">
        <v>43227</v>
      </c>
      <c r="B7456" s="40" t="s">
        <v>29</v>
      </c>
      <c r="C7456" s="10">
        <v>65</v>
      </c>
      <c r="D7456" s="10">
        <v>208</v>
      </c>
      <c r="E7456" s="10" t="s">
        <v>32</v>
      </c>
      <c r="F7456" s="10" t="s">
        <v>476</v>
      </c>
    </row>
    <row r="7457" spans="1:8" x14ac:dyDescent="0.35">
      <c r="A7457" s="2">
        <v>43227</v>
      </c>
      <c r="B7457" s="40" t="s">
        <v>29</v>
      </c>
      <c r="C7457" s="10">
        <v>68</v>
      </c>
      <c r="D7457" s="10">
        <v>215</v>
      </c>
      <c r="E7457" s="10" t="s">
        <v>32</v>
      </c>
      <c r="F7457" s="10" t="s">
        <v>360</v>
      </c>
      <c r="H7457" t="s">
        <v>161</v>
      </c>
    </row>
    <row r="7458" spans="1:8" x14ac:dyDescent="0.35">
      <c r="A7458" s="2">
        <v>43227</v>
      </c>
      <c r="B7458" s="40" t="s">
        <v>29</v>
      </c>
      <c r="C7458" s="10">
        <v>73</v>
      </c>
      <c r="D7458" s="10">
        <v>369</v>
      </c>
      <c r="E7458" s="10" t="s">
        <v>34</v>
      </c>
      <c r="F7458" s="10" t="s">
        <v>646</v>
      </c>
      <c r="H7458" t="s">
        <v>161</v>
      </c>
    </row>
    <row r="7459" spans="1:8" x14ac:dyDescent="0.35">
      <c r="A7459" s="2">
        <v>43227</v>
      </c>
      <c r="B7459" s="40" t="s">
        <v>29</v>
      </c>
      <c r="C7459" s="10">
        <v>70</v>
      </c>
      <c r="D7459" s="10">
        <v>274</v>
      </c>
      <c r="E7459" s="10" t="s">
        <v>32</v>
      </c>
      <c r="F7459" s="10" t="s">
        <v>293</v>
      </c>
      <c r="H7459" t="s">
        <v>161</v>
      </c>
    </row>
    <row r="7460" spans="1:8" x14ac:dyDescent="0.35">
      <c r="A7460" s="2">
        <v>43227</v>
      </c>
      <c r="B7460" s="40" t="s">
        <v>29</v>
      </c>
      <c r="C7460" s="10">
        <v>71</v>
      </c>
      <c r="D7460" s="10">
        <v>338</v>
      </c>
      <c r="E7460" s="10" t="s">
        <v>32</v>
      </c>
      <c r="F7460" s="10" t="s">
        <v>198</v>
      </c>
      <c r="G7460" t="s">
        <v>475</v>
      </c>
      <c r="H7460" t="s">
        <v>161</v>
      </c>
    </row>
    <row r="7461" spans="1:8" x14ac:dyDescent="0.35">
      <c r="A7461" s="2">
        <v>43227</v>
      </c>
      <c r="B7461" s="40" t="s">
        <v>29</v>
      </c>
      <c r="C7461" s="10">
        <v>64</v>
      </c>
      <c r="D7461" s="10">
        <v>222</v>
      </c>
      <c r="E7461" s="10" t="s">
        <v>32</v>
      </c>
      <c r="F7461" s="10" t="s">
        <v>198</v>
      </c>
      <c r="H7461" t="s">
        <v>161</v>
      </c>
    </row>
    <row r="7462" spans="1:8" x14ac:dyDescent="0.35">
      <c r="A7462" s="2">
        <v>43227</v>
      </c>
      <c r="B7462" s="40" t="s">
        <v>29</v>
      </c>
      <c r="C7462" s="10">
        <v>78</v>
      </c>
      <c r="D7462" s="10">
        <v>380</v>
      </c>
      <c r="E7462" s="10" t="s">
        <v>33</v>
      </c>
      <c r="F7462" s="10" t="s">
        <v>476</v>
      </c>
    </row>
    <row r="7463" spans="1:8" x14ac:dyDescent="0.35">
      <c r="A7463" s="2">
        <v>43227</v>
      </c>
      <c r="B7463" s="40" t="s">
        <v>29</v>
      </c>
      <c r="C7463" s="10">
        <v>76</v>
      </c>
      <c r="D7463" s="10">
        <v>339</v>
      </c>
      <c r="E7463" s="10" t="s">
        <v>32</v>
      </c>
      <c r="F7463" s="10" t="s">
        <v>293</v>
      </c>
      <c r="H7463" t="s">
        <v>161</v>
      </c>
    </row>
    <row r="7464" spans="1:8" x14ac:dyDescent="0.35">
      <c r="A7464" s="2">
        <v>43227</v>
      </c>
      <c r="B7464" s="40" t="s">
        <v>29</v>
      </c>
      <c r="C7464" s="10">
        <v>70</v>
      </c>
      <c r="D7464" s="10">
        <v>300</v>
      </c>
      <c r="E7464" s="10" t="s">
        <v>34</v>
      </c>
      <c r="F7464" s="10" t="s">
        <v>646</v>
      </c>
    </row>
    <row r="7465" spans="1:8" x14ac:dyDescent="0.35">
      <c r="A7465" s="2">
        <v>43227</v>
      </c>
      <c r="B7465" s="40" t="s">
        <v>29</v>
      </c>
      <c r="C7465" s="10">
        <v>70</v>
      </c>
      <c r="D7465" s="10">
        <v>320</v>
      </c>
      <c r="E7465" s="10" t="s">
        <v>32</v>
      </c>
      <c r="F7465" s="10" t="s">
        <v>293</v>
      </c>
      <c r="G7465" t="s">
        <v>475</v>
      </c>
    </row>
    <row r="7466" spans="1:8" x14ac:dyDescent="0.35">
      <c r="A7466" s="2">
        <v>43227</v>
      </c>
      <c r="B7466" s="40" t="s">
        <v>29</v>
      </c>
      <c r="C7466" s="10">
        <v>65</v>
      </c>
      <c r="D7466" s="10">
        <v>216</v>
      </c>
      <c r="E7466" s="10" t="s">
        <v>33</v>
      </c>
      <c r="F7466" s="10" t="s">
        <v>646</v>
      </c>
    </row>
    <row r="7467" spans="1:8" x14ac:dyDescent="0.35">
      <c r="A7467" s="2">
        <v>43227</v>
      </c>
      <c r="B7467" s="40" t="s">
        <v>29</v>
      </c>
      <c r="C7467" s="10">
        <v>74</v>
      </c>
      <c r="D7467" s="10">
        <v>303</v>
      </c>
      <c r="E7467" s="10" t="s">
        <v>32</v>
      </c>
      <c r="F7467" s="10" t="s">
        <v>476</v>
      </c>
      <c r="H7467" t="s">
        <v>161</v>
      </c>
    </row>
    <row r="7468" spans="1:8" x14ac:dyDescent="0.35">
      <c r="A7468" s="2">
        <v>43227</v>
      </c>
      <c r="B7468" s="40" t="s">
        <v>29</v>
      </c>
      <c r="C7468" s="10">
        <v>70</v>
      </c>
      <c r="D7468" s="10">
        <v>322</v>
      </c>
      <c r="E7468" s="10" t="s">
        <v>33</v>
      </c>
      <c r="F7468" s="10" t="s">
        <v>646</v>
      </c>
    </row>
    <row r="7469" spans="1:8" x14ac:dyDescent="0.35">
      <c r="A7469" s="2">
        <v>43227</v>
      </c>
      <c r="B7469" s="40" t="s">
        <v>29</v>
      </c>
      <c r="C7469" s="10">
        <v>65</v>
      </c>
      <c r="D7469" s="10">
        <v>234</v>
      </c>
      <c r="E7469" s="10" t="s">
        <v>32</v>
      </c>
      <c r="F7469" s="10" t="s">
        <v>646</v>
      </c>
    </row>
    <row r="7470" spans="1:8" x14ac:dyDescent="0.35">
      <c r="A7470" s="2">
        <v>43227</v>
      </c>
      <c r="B7470" s="40" t="s">
        <v>29</v>
      </c>
      <c r="C7470" s="10">
        <v>68</v>
      </c>
      <c r="D7470" s="10">
        <v>280</v>
      </c>
      <c r="E7470" s="10" t="s">
        <v>34</v>
      </c>
      <c r="F7470" s="10" t="s">
        <v>646</v>
      </c>
    </row>
    <row r="7471" spans="1:8" x14ac:dyDescent="0.35">
      <c r="A7471" s="2">
        <v>43227</v>
      </c>
      <c r="B7471" s="40" t="s">
        <v>29</v>
      </c>
      <c r="C7471" s="10">
        <v>75</v>
      </c>
      <c r="D7471" s="10">
        <v>305</v>
      </c>
      <c r="E7471" s="10" t="s">
        <v>34</v>
      </c>
      <c r="F7471" s="10" t="s">
        <v>476</v>
      </c>
    </row>
    <row r="7472" spans="1:8" x14ac:dyDescent="0.35">
      <c r="A7472" s="2">
        <v>43227</v>
      </c>
      <c r="B7472" s="40" t="s">
        <v>29</v>
      </c>
      <c r="C7472" s="10">
        <v>71</v>
      </c>
      <c r="D7472" s="10">
        <v>301</v>
      </c>
      <c r="E7472" s="10" t="s">
        <v>34</v>
      </c>
      <c r="F7472" s="10" t="s">
        <v>646</v>
      </c>
      <c r="G7472" t="s">
        <v>475</v>
      </c>
    </row>
    <row r="7473" spans="1:9" x14ac:dyDescent="0.35">
      <c r="A7473" s="2">
        <v>43227</v>
      </c>
      <c r="B7473" s="40" t="s">
        <v>29</v>
      </c>
      <c r="C7473" s="10">
        <v>70</v>
      </c>
      <c r="D7473" s="10">
        <v>271</v>
      </c>
      <c r="E7473" s="10" t="s">
        <v>32</v>
      </c>
      <c r="F7473" s="10" t="s">
        <v>476</v>
      </c>
      <c r="H7473" t="s">
        <v>161</v>
      </c>
    </row>
    <row r="7474" spans="1:9" x14ac:dyDescent="0.35">
      <c r="A7474" s="2">
        <v>43227</v>
      </c>
      <c r="B7474" s="40" t="s">
        <v>29</v>
      </c>
      <c r="C7474" s="10">
        <v>75</v>
      </c>
      <c r="D7474" s="10">
        <v>371</v>
      </c>
      <c r="E7474" s="10" t="s">
        <v>32</v>
      </c>
      <c r="F7474" s="10" t="s">
        <v>646</v>
      </c>
    </row>
    <row r="7475" spans="1:9" x14ac:dyDescent="0.35">
      <c r="A7475" s="2">
        <v>43227</v>
      </c>
      <c r="B7475" s="40" t="s">
        <v>29</v>
      </c>
      <c r="C7475" s="10">
        <v>66</v>
      </c>
      <c r="D7475" s="10">
        <v>233</v>
      </c>
      <c r="E7475" s="10" t="s">
        <v>37</v>
      </c>
      <c r="F7475" s="10" t="s">
        <v>198</v>
      </c>
      <c r="H7475" t="s">
        <v>161</v>
      </c>
    </row>
    <row r="7476" spans="1:9" x14ac:dyDescent="0.35">
      <c r="A7476" s="2">
        <v>43227</v>
      </c>
      <c r="B7476" s="40" t="s">
        <v>29</v>
      </c>
      <c r="C7476" s="10">
        <v>72</v>
      </c>
      <c r="D7476" s="10">
        <v>324</v>
      </c>
      <c r="E7476" s="10" t="s">
        <v>32</v>
      </c>
      <c r="F7476" s="10" t="s">
        <v>476</v>
      </c>
    </row>
    <row r="7477" spans="1:9" x14ac:dyDescent="0.35">
      <c r="A7477" s="2">
        <v>43227</v>
      </c>
      <c r="B7477" s="40" t="s">
        <v>29</v>
      </c>
      <c r="C7477" s="10">
        <v>67</v>
      </c>
      <c r="D7477" s="10">
        <v>223</v>
      </c>
      <c r="E7477" s="10" t="s">
        <v>32</v>
      </c>
      <c r="F7477" s="10" t="s">
        <v>198</v>
      </c>
      <c r="G7477" t="s">
        <v>475</v>
      </c>
      <c r="H7477" t="s">
        <v>161</v>
      </c>
    </row>
    <row r="7478" spans="1:9" x14ac:dyDescent="0.35">
      <c r="A7478" s="2">
        <v>43227</v>
      </c>
      <c r="B7478" s="40" t="s">
        <v>29</v>
      </c>
      <c r="C7478" s="10">
        <v>70</v>
      </c>
      <c r="D7478" s="10">
        <v>308</v>
      </c>
      <c r="E7478" s="10" t="s">
        <v>32</v>
      </c>
      <c r="F7478" s="10" t="s">
        <v>476</v>
      </c>
      <c r="H7478" t="s">
        <v>161</v>
      </c>
    </row>
    <row r="7479" spans="1:9" x14ac:dyDescent="0.35">
      <c r="A7479" s="2">
        <v>43227</v>
      </c>
      <c r="B7479" s="40" t="s">
        <v>29</v>
      </c>
      <c r="C7479" s="10">
        <v>71</v>
      </c>
      <c r="D7479" s="10">
        <v>292</v>
      </c>
      <c r="E7479" s="10" t="s">
        <v>34</v>
      </c>
      <c r="F7479" s="10" t="s">
        <v>476</v>
      </c>
    </row>
    <row r="7480" spans="1:9" x14ac:dyDescent="0.35">
      <c r="A7480" s="2">
        <v>43227</v>
      </c>
      <c r="B7480" s="40" t="s">
        <v>29</v>
      </c>
      <c r="C7480" s="10">
        <v>71</v>
      </c>
      <c r="D7480" s="10">
        <v>316</v>
      </c>
      <c r="E7480" s="10" t="s">
        <v>34</v>
      </c>
      <c r="F7480" s="10" t="s">
        <v>646</v>
      </c>
      <c r="H7480" t="s">
        <v>161</v>
      </c>
    </row>
    <row r="7481" spans="1:9" x14ac:dyDescent="0.35">
      <c r="A7481" s="2">
        <v>43227</v>
      </c>
      <c r="B7481" s="40" t="s">
        <v>29</v>
      </c>
      <c r="C7481" s="10">
        <v>70</v>
      </c>
      <c r="D7481" s="10">
        <v>224</v>
      </c>
      <c r="E7481" s="10" t="s">
        <v>32</v>
      </c>
      <c r="F7481" s="10" t="s">
        <v>646</v>
      </c>
    </row>
    <row r="7482" spans="1:9" x14ac:dyDescent="0.35">
      <c r="A7482" s="2">
        <v>43227</v>
      </c>
      <c r="B7482" s="40" t="s">
        <v>29</v>
      </c>
      <c r="C7482" s="10">
        <v>69</v>
      </c>
      <c r="D7482" s="10">
        <v>236</v>
      </c>
      <c r="E7482" s="10" t="s">
        <v>34</v>
      </c>
      <c r="F7482" s="10" t="s">
        <v>646</v>
      </c>
      <c r="H7482" t="s">
        <v>161</v>
      </c>
    </row>
    <row r="7483" spans="1:9" x14ac:dyDescent="0.35">
      <c r="A7483" s="2">
        <v>43227</v>
      </c>
      <c r="B7483" s="40" t="s">
        <v>29</v>
      </c>
      <c r="C7483" s="10"/>
      <c r="E7483" s="10" t="s">
        <v>34</v>
      </c>
      <c r="F7483" s="10" t="s">
        <v>476</v>
      </c>
      <c r="I7483" t="s">
        <v>801</v>
      </c>
    </row>
    <row r="7484" spans="1:9" x14ac:dyDescent="0.35">
      <c r="A7484" s="2">
        <v>43227</v>
      </c>
      <c r="B7484" s="40" t="s">
        <v>29</v>
      </c>
      <c r="C7484" s="10">
        <v>71</v>
      </c>
      <c r="D7484">
        <v>288</v>
      </c>
      <c r="E7484" s="10" t="s">
        <v>32</v>
      </c>
      <c r="F7484" s="10" t="s">
        <v>646</v>
      </c>
    </row>
    <row r="7485" spans="1:9" x14ac:dyDescent="0.35">
      <c r="A7485" s="2">
        <v>43227</v>
      </c>
      <c r="B7485" s="40" t="s">
        <v>29</v>
      </c>
      <c r="C7485" s="10">
        <v>78</v>
      </c>
      <c r="D7485">
        <v>269</v>
      </c>
      <c r="E7485" s="10" t="s">
        <v>34</v>
      </c>
      <c r="F7485" s="10" t="s">
        <v>476</v>
      </c>
      <c r="I7485" t="s">
        <v>857</v>
      </c>
    </row>
    <row r="7486" spans="1:9" x14ac:dyDescent="0.35">
      <c r="A7486" s="2">
        <v>43227</v>
      </c>
      <c r="B7486" s="40" t="s">
        <v>29</v>
      </c>
      <c r="C7486" s="10">
        <v>65</v>
      </c>
      <c r="D7486">
        <v>213</v>
      </c>
      <c r="E7486" s="10" t="s">
        <v>37</v>
      </c>
      <c r="F7486" s="10" t="s">
        <v>293</v>
      </c>
      <c r="G7486" t="s">
        <v>858</v>
      </c>
    </row>
    <row r="7487" spans="1:9" x14ac:dyDescent="0.35">
      <c r="A7487" s="2">
        <v>43227</v>
      </c>
      <c r="B7487" s="40" t="s">
        <v>29</v>
      </c>
      <c r="C7487" s="10">
        <v>71</v>
      </c>
      <c r="D7487">
        <v>244</v>
      </c>
      <c r="E7487" s="10" t="s">
        <v>33</v>
      </c>
      <c r="F7487" s="10" t="s">
        <v>476</v>
      </c>
    </row>
    <row r="7488" spans="1:9" x14ac:dyDescent="0.35">
      <c r="A7488" s="2">
        <v>43227</v>
      </c>
      <c r="B7488" s="40" t="s">
        <v>29</v>
      </c>
      <c r="E7488" s="10" t="s">
        <v>32</v>
      </c>
      <c r="F7488" s="10" t="s">
        <v>476</v>
      </c>
      <c r="H7488" t="s">
        <v>161</v>
      </c>
    </row>
    <row r="7489" spans="1:24" x14ac:dyDescent="0.35">
      <c r="A7489" s="2">
        <v>43227</v>
      </c>
      <c r="B7489" s="40" t="s">
        <v>29</v>
      </c>
      <c r="C7489">
        <v>72</v>
      </c>
      <c r="D7489">
        <v>326</v>
      </c>
      <c r="E7489" s="10" t="s">
        <v>34</v>
      </c>
      <c r="F7489" s="10" t="s">
        <v>476</v>
      </c>
    </row>
    <row r="7490" spans="1:24" x14ac:dyDescent="0.35">
      <c r="A7490" s="2">
        <v>43227</v>
      </c>
      <c r="B7490" s="40" t="s">
        <v>29</v>
      </c>
      <c r="C7490">
        <v>67</v>
      </c>
      <c r="D7490">
        <v>216</v>
      </c>
      <c r="E7490" s="10" t="s">
        <v>33</v>
      </c>
      <c r="F7490" s="10" t="s">
        <v>476</v>
      </c>
    </row>
    <row r="7491" spans="1:24" x14ac:dyDescent="0.35">
      <c r="A7491" s="2">
        <v>43227</v>
      </c>
      <c r="B7491" s="40" t="s">
        <v>29</v>
      </c>
      <c r="C7491">
        <v>67</v>
      </c>
      <c r="D7491">
        <v>248</v>
      </c>
      <c r="E7491" s="10" t="s">
        <v>32</v>
      </c>
      <c r="F7491" s="10" t="s">
        <v>476</v>
      </c>
    </row>
    <row r="7492" spans="1:24" x14ac:dyDescent="0.35">
      <c r="A7492" s="2">
        <v>43227</v>
      </c>
      <c r="B7492" s="40" t="s">
        <v>29</v>
      </c>
      <c r="C7492">
        <v>69</v>
      </c>
      <c r="D7492">
        <v>232</v>
      </c>
      <c r="E7492" s="10" t="s">
        <v>37</v>
      </c>
      <c r="F7492" s="10" t="s">
        <v>360</v>
      </c>
    </row>
    <row r="7493" spans="1:24" x14ac:dyDescent="0.35">
      <c r="A7493" s="2">
        <v>43227</v>
      </c>
      <c r="B7493" s="40" t="s">
        <v>29</v>
      </c>
      <c r="C7493">
        <v>68</v>
      </c>
      <c r="D7493">
        <v>221</v>
      </c>
      <c r="E7493" s="10" t="s">
        <v>33</v>
      </c>
      <c r="F7493" s="10" t="s">
        <v>476</v>
      </c>
    </row>
    <row r="7494" spans="1:24" x14ac:dyDescent="0.35">
      <c r="A7494" s="2">
        <v>43227</v>
      </c>
      <c r="B7494" s="40" t="s">
        <v>29</v>
      </c>
      <c r="C7494">
        <v>70</v>
      </c>
      <c r="D7494">
        <v>277</v>
      </c>
      <c r="E7494" s="10" t="s">
        <v>32</v>
      </c>
      <c r="F7494" s="10" t="s">
        <v>646</v>
      </c>
      <c r="H7494" t="s">
        <v>161</v>
      </c>
      <c r="N7494" t="s">
        <v>42</v>
      </c>
      <c r="O7494" t="s">
        <v>39</v>
      </c>
      <c r="P7494" t="s">
        <v>40</v>
      </c>
      <c r="Q7494" t="s">
        <v>36</v>
      </c>
      <c r="R7494" t="s">
        <v>33</v>
      </c>
      <c r="S7494" t="s">
        <v>34</v>
      </c>
      <c r="T7494" t="s">
        <v>32</v>
      </c>
      <c r="U7494" t="s">
        <v>37</v>
      </c>
      <c r="V7494" t="s">
        <v>159</v>
      </c>
    </row>
    <row r="7495" spans="1:24" x14ac:dyDescent="0.35">
      <c r="A7495" s="2">
        <v>43227</v>
      </c>
      <c r="B7495" s="40" t="s">
        <v>29</v>
      </c>
      <c r="C7495">
        <v>72</v>
      </c>
      <c r="D7495">
        <v>320</v>
      </c>
      <c r="E7495" s="10" t="s">
        <v>34</v>
      </c>
      <c r="F7495" s="10" t="s">
        <v>646</v>
      </c>
      <c r="N7495">
        <f>N7499+N7447</f>
        <v>0</v>
      </c>
      <c r="O7495">
        <f t="shared" ref="O7495:V7495" si="249">O7499+O7447</f>
        <v>0</v>
      </c>
      <c r="P7495">
        <f t="shared" si="249"/>
        <v>0</v>
      </c>
      <c r="Q7495">
        <f t="shared" si="249"/>
        <v>1</v>
      </c>
      <c r="R7495">
        <f t="shared" si="249"/>
        <v>15</v>
      </c>
      <c r="S7495">
        <f t="shared" si="249"/>
        <v>25</v>
      </c>
      <c r="T7495">
        <f t="shared" si="249"/>
        <v>55</v>
      </c>
      <c r="U7495">
        <f t="shared" si="249"/>
        <v>7</v>
      </c>
      <c r="V7495">
        <f t="shared" si="249"/>
        <v>0</v>
      </c>
    </row>
    <row r="7496" spans="1:24" x14ac:dyDescent="0.35">
      <c r="A7496" s="2">
        <v>43227</v>
      </c>
      <c r="B7496" s="40" t="s">
        <v>29</v>
      </c>
      <c r="C7496">
        <v>74</v>
      </c>
      <c r="D7496">
        <v>319</v>
      </c>
      <c r="E7496" s="10" t="s">
        <v>37</v>
      </c>
      <c r="F7496" s="10" t="s">
        <v>293</v>
      </c>
      <c r="H7496" t="s">
        <v>161</v>
      </c>
      <c r="N7496">
        <f>N7495/103*100</f>
        <v>0</v>
      </c>
      <c r="O7496">
        <f t="shared" ref="O7496:V7496" si="250">O7495/103*100</f>
        <v>0</v>
      </c>
      <c r="P7496">
        <f t="shared" si="250"/>
        <v>0</v>
      </c>
      <c r="Q7496">
        <f t="shared" si="250"/>
        <v>0.97087378640776689</v>
      </c>
      <c r="R7496">
        <f t="shared" si="250"/>
        <v>14.563106796116504</v>
      </c>
      <c r="S7496">
        <f t="shared" si="250"/>
        <v>24.271844660194176</v>
      </c>
      <c r="T7496">
        <f t="shared" si="250"/>
        <v>53.398058252427184</v>
      </c>
      <c r="U7496">
        <f t="shared" si="250"/>
        <v>6.7961165048543686</v>
      </c>
      <c r="V7496">
        <f t="shared" si="250"/>
        <v>0</v>
      </c>
      <c r="W7496">
        <f>AVERAGE(C7398:C7500)</f>
        <v>70.58</v>
      </c>
      <c r="X7496">
        <f>AVERAGE(D7398:D7500)</f>
        <v>282.31</v>
      </c>
    </row>
    <row r="7497" spans="1:24" x14ac:dyDescent="0.35">
      <c r="A7497" s="2">
        <v>43227</v>
      </c>
      <c r="B7497" s="40" t="s">
        <v>29</v>
      </c>
      <c r="C7497">
        <v>76</v>
      </c>
      <c r="D7497">
        <v>332</v>
      </c>
      <c r="E7497" s="10" t="s">
        <v>32</v>
      </c>
      <c r="F7497" s="10" t="s">
        <v>476</v>
      </c>
    </row>
    <row r="7498" spans="1:24" x14ac:dyDescent="0.35">
      <c r="A7498" s="2">
        <v>43227</v>
      </c>
      <c r="B7498" s="40" t="s">
        <v>29</v>
      </c>
      <c r="C7498">
        <v>66</v>
      </c>
      <c r="D7498">
        <v>223</v>
      </c>
      <c r="E7498" s="10" t="s">
        <v>33</v>
      </c>
      <c r="F7498" s="10" t="s">
        <v>198</v>
      </c>
      <c r="G7498" t="s">
        <v>475</v>
      </c>
      <c r="H7498" t="s">
        <v>161</v>
      </c>
      <c r="N7498" t="s">
        <v>42</v>
      </c>
      <c r="O7498" t="s">
        <v>39</v>
      </c>
      <c r="P7498" t="s">
        <v>40</v>
      </c>
      <c r="Q7498" t="s">
        <v>36</v>
      </c>
      <c r="R7498" t="s">
        <v>33</v>
      </c>
      <c r="S7498" t="s">
        <v>34</v>
      </c>
      <c r="T7498" t="s">
        <v>32</v>
      </c>
      <c r="U7498" t="s">
        <v>37</v>
      </c>
      <c r="V7498" t="s">
        <v>159</v>
      </c>
    </row>
    <row r="7499" spans="1:24" x14ac:dyDescent="0.35">
      <c r="A7499" s="2">
        <v>43227</v>
      </c>
      <c r="B7499" s="40" t="s">
        <v>29</v>
      </c>
      <c r="C7499">
        <v>70</v>
      </c>
      <c r="D7499">
        <v>300</v>
      </c>
      <c r="E7499" s="10" t="s">
        <v>33</v>
      </c>
      <c r="F7499" s="10" t="s">
        <v>476</v>
      </c>
      <c r="I7499" t="s">
        <v>859</v>
      </c>
      <c r="N7499" s="5">
        <f>COUNTIF(E7450:E7500,"VA")</f>
        <v>0</v>
      </c>
      <c r="O7499" s="5">
        <f>COUNTIF(E7450:E7500,"VB")</f>
        <v>0</v>
      </c>
      <c r="P7499" s="5">
        <f>COUNTIF(E7450:E7500,"VIA0")</f>
        <v>0</v>
      </c>
      <c r="Q7499" s="5">
        <f>COUNTIF(E7450:E7500,"VIA1")</f>
        <v>0</v>
      </c>
      <c r="R7499" s="5">
        <f>COUNTIF(E7449:E7500,"VIA2")</f>
        <v>9</v>
      </c>
      <c r="S7499" s="5">
        <f>COUNTIF(E7449:E7500,"VIA3")</f>
        <v>13</v>
      </c>
      <c r="T7499" s="5">
        <f>COUNTIF(E7449:E7500,"VIA4")</f>
        <v>25</v>
      </c>
      <c r="U7499" s="5">
        <f>COUNTIF(E7450:E7500,"VIB")</f>
        <v>5</v>
      </c>
      <c r="V7499" s="5">
        <f>COUNTIF(E7450:E7500,"VII")</f>
        <v>0</v>
      </c>
      <c r="W7499">
        <f>AVERAGE(C7449:C7500)</f>
        <v>70.239999999999995</v>
      </c>
      <c r="X7499">
        <f>AVERAGE(D7449:D7500)</f>
        <v>277.72000000000003</v>
      </c>
    </row>
    <row r="7500" spans="1:24" s="4" customFormat="1" x14ac:dyDescent="0.35">
      <c r="A7500" s="3">
        <v>43227</v>
      </c>
      <c r="B7500" s="44" t="s">
        <v>29</v>
      </c>
      <c r="C7500" s="4">
        <v>73</v>
      </c>
      <c r="D7500" s="4">
        <v>241</v>
      </c>
      <c r="E7500" s="4" t="s">
        <v>32</v>
      </c>
      <c r="F7500" s="11" t="s">
        <v>646</v>
      </c>
      <c r="N7500" s="6">
        <f>N7499/52*100</f>
        <v>0</v>
      </c>
      <c r="O7500" s="6">
        <f t="shared" ref="O7500:V7500" si="251">O7499/52*100</f>
        <v>0</v>
      </c>
      <c r="P7500" s="6">
        <f t="shared" si="251"/>
        <v>0</v>
      </c>
      <c r="Q7500" s="6">
        <f t="shared" si="251"/>
        <v>0</v>
      </c>
      <c r="R7500" s="6">
        <f t="shared" si="251"/>
        <v>17.307692307692307</v>
      </c>
      <c r="S7500" s="6">
        <f t="shared" si="251"/>
        <v>25</v>
      </c>
      <c r="T7500" s="6">
        <f t="shared" si="251"/>
        <v>48.07692307692308</v>
      </c>
      <c r="U7500" s="6">
        <f t="shared" si="251"/>
        <v>9.6153846153846168</v>
      </c>
      <c r="V7500" s="6">
        <f t="shared" si="251"/>
        <v>0</v>
      </c>
    </row>
    <row r="7501" spans="1:24" x14ac:dyDescent="0.35">
      <c r="A7501" s="2">
        <v>43227</v>
      </c>
      <c r="B7501" s="40" t="s">
        <v>114</v>
      </c>
      <c r="C7501" s="10">
        <v>216</v>
      </c>
      <c r="D7501" s="10">
        <v>15512</v>
      </c>
      <c r="E7501" s="10" t="s">
        <v>59</v>
      </c>
    </row>
    <row r="7502" spans="1:24" x14ac:dyDescent="0.35">
      <c r="A7502" s="2">
        <v>43227</v>
      </c>
      <c r="B7502" s="40" t="s">
        <v>114</v>
      </c>
      <c r="C7502" s="10">
        <v>140</v>
      </c>
      <c r="D7502" s="10">
        <v>3729</v>
      </c>
      <c r="E7502" s="10" t="s">
        <v>59</v>
      </c>
    </row>
    <row r="7503" spans="1:24" x14ac:dyDescent="0.35">
      <c r="A7503" s="2">
        <v>43227</v>
      </c>
      <c r="B7503" s="40" t="s">
        <v>114</v>
      </c>
      <c r="C7503" s="10">
        <v>70</v>
      </c>
      <c r="D7503" s="10">
        <v>292</v>
      </c>
      <c r="E7503" s="10" t="s">
        <v>32</v>
      </c>
      <c r="F7503" t="s">
        <v>360</v>
      </c>
      <c r="H7503" t="s">
        <v>161</v>
      </c>
    </row>
    <row r="7504" spans="1:24" x14ac:dyDescent="0.35">
      <c r="A7504" s="2">
        <v>43227</v>
      </c>
      <c r="B7504" s="40" t="s">
        <v>114</v>
      </c>
      <c r="C7504" s="10">
        <v>72</v>
      </c>
      <c r="D7504" s="10">
        <v>336</v>
      </c>
      <c r="E7504" s="10" t="s">
        <v>34</v>
      </c>
      <c r="F7504" t="s">
        <v>476</v>
      </c>
    </row>
    <row r="7505" spans="1:12" x14ac:dyDescent="0.35">
      <c r="A7505" s="2">
        <v>43227</v>
      </c>
      <c r="B7505" s="40" t="s">
        <v>114</v>
      </c>
      <c r="C7505" s="10">
        <v>75</v>
      </c>
      <c r="D7505" s="10">
        <v>435</v>
      </c>
      <c r="E7505" s="10" t="s">
        <v>37</v>
      </c>
      <c r="F7505" t="s">
        <v>360</v>
      </c>
      <c r="H7505" t="s">
        <v>161</v>
      </c>
    </row>
    <row r="7506" spans="1:12" s="4" customFormat="1" x14ac:dyDescent="0.35">
      <c r="A7506" s="3">
        <v>43227</v>
      </c>
      <c r="B7506" s="44" t="s">
        <v>114</v>
      </c>
      <c r="C7506" s="11">
        <v>71</v>
      </c>
      <c r="D7506" s="11">
        <v>413</v>
      </c>
      <c r="E7506" s="11" t="s">
        <v>32</v>
      </c>
      <c r="F7506" s="4" t="s">
        <v>360</v>
      </c>
      <c r="H7506" s="4" t="s">
        <v>161</v>
      </c>
    </row>
    <row r="7507" spans="1:12" x14ac:dyDescent="0.35">
      <c r="A7507" s="2">
        <v>43227</v>
      </c>
      <c r="B7507" s="40" t="s">
        <v>143</v>
      </c>
      <c r="C7507" s="10">
        <v>74</v>
      </c>
      <c r="D7507" s="10">
        <v>304</v>
      </c>
      <c r="E7507" s="10" t="s">
        <v>37</v>
      </c>
      <c r="F7507" s="10" t="s">
        <v>360</v>
      </c>
      <c r="H7507" s="10" t="s">
        <v>161</v>
      </c>
    </row>
    <row r="7508" spans="1:12" x14ac:dyDescent="0.35">
      <c r="A7508" s="2">
        <v>43227</v>
      </c>
      <c r="B7508" s="40" t="s">
        <v>143</v>
      </c>
      <c r="C7508" s="10">
        <v>63</v>
      </c>
      <c r="D7508" s="10">
        <v>226</v>
      </c>
      <c r="E7508" s="10" t="s">
        <v>40</v>
      </c>
      <c r="F7508" s="10" t="s">
        <v>646</v>
      </c>
    </row>
    <row r="7509" spans="1:12" x14ac:dyDescent="0.35">
      <c r="A7509" s="2">
        <v>43227</v>
      </c>
      <c r="B7509" s="40" t="s">
        <v>143</v>
      </c>
      <c r="C7509" s="10">
        <v>63</v>
      </c>
      <c r="D7509" s="10">
        <v>129</v>
      </c>
      <c r="E7509" s="10" t="s">
        <v>32</v>
      </c>
      <c r="F7509" s="10" t="s">
        <v>360</v>
      </c>
      <c r="H7509" t="s">
        <v>161</v>
      </c>
    </row>
    <row r="7510" spans="1:12" x14ac:dyDescent="0.35">
      <c r="A7510" s="2">
        <v>43227</v>
      </c>
      <c r="B7510" s="40" t="s">
        <v>143</v>
      </c>
      <c r="C7510" s="10">
        <v>70</v>
      </c>
      <c r="D7510" s="10">
        <v>263</v>
      </c>
      <c r="E7510" s="10" t="s">
        <v>34</v>
      </c>
      <c r="F7510" s="10" t="s">
        <v>293</v>
      </c>
    </row>
    <row r="7511" spans="1:12" s="4" customFormat="1" x14ac:dyDescent="0.35">
      <c r="A7511" s="3">
        <v>43227</v>
      </c>
      <c r="B7511" s="44" t="s">
        <v>143</v>
      </c>
      <c r="C7511" s="11">
        <v>71</v>
      </c>
      <c r="D7511" s="11">
        <v>257</v>
      </c>
      <c r="E7511" s="11" t="s">
        <v>32</v>
      </c>
      <c r="F7511" s="11" t="s">
        <v>646</v>
      </c>
    </row>
    <row r="7512" spans="1:12" x14ac:dyDescent="0.35">
      <c r="A7512" s="2">
        <v>43227</v>
      </c>
      <c r="B7512" s="40" t="s">
        <v>103</v>
      </c>
      <c r="C7512" s="10">
        <v>106</v>
      </c>
      <c r="D7512" s="10">
        <v>1885</v>
      </c>
      <c r="E7512" s="10" t="s">
        <v>59</v>
      </c>
      <c r="L7512">
        <f>COUNTIF(F7512:F7589,"F++")</f>
        <v>0</v>
      </c>
    </row>
    <row r="7513" spans="1:12" x14ac:dyDescent="0.35">
      <c r="A7513" s="2">
        <v>43227</v>
      </c>
      <c r="B7513" s="40" t="s">
        <v>103</v>
      </c>
      <c r="C7513" s="10">
        <v>62</v>
      </c>
      <c r="D7513" s="10">
        <v>192</v>
      </c>
      <c r="E7513" s="10" t="s">
        <v>32</v>
      </c>
      <c r="F7513" t="s">
        <v>360</v>
      </c>
      <c r="G7513" t="s">
        <v>475</v>
      </c>
    </row>
    <row r="7514" spans="1:12" x14ac:dyDescent="0.35">
      <c r="A7514" s="2">
        <v>43227</v>
      </c>
      <c r="B7514" s="40" t="s">
        <v>103</v>
      </c>
      <c r="C7514" s="10">
        <v>70</v>
      </c>
      <c r="D7514" s="10">
        <v>353</v>
      </c>
      <c r="E7514" s="10" t="s">
        <v>32</v>
      </c>
      <c r="F7514" t="s">
        <v>360</v>
      </c>
      <c r="H7514" t="s">
        <v>161</v>
      </c>
    </row>
    <row r="7515" spans="1:12" s="4" customFormat="1" x14ac:dyDescent="0.35">
      <c r="A7515" s="3">
        <v>43227</v>
      </c>
      <c r="B7515" s="44" t="s">
        <v>103</v>
      </c>
      <c r="C7515" s="11">
        <v>65</v>
      </c>
      <c r="D7515" s="11">
        <v>245</v>
      </c>
      <c r="E7515" s="4" t="s">
        <v>32</v>
      </c>
      <c r="F7515" s="4" t="s">
        <v>360</v>
      </c>
      <c r="H7515" s="4" t="s">
        <v>161</v>
      </c>
    </row>
    <row r="7516" spans="1:12" s="5" customFormat="1" x14ac:dyDescent="0.35">
      <c r="A7516" s="2">
        <v>43227</v>
      </c>
      <c r="B7516" s="40" t="s">
        <v>63</v>
      </c>
      <c r="C7516" s="10">
        <v>90</v>
      </c>
      <c r="D7516" s="10">
        <v>976</v>
      </c>
      <c r="E7516" s="10" t="s">
        <v>59</v>
      </c>
    </row>
    <row r="7517" spans="1:12" x14ac:dyDescent="0.35">
      <c r="A7517" s="2">
        <v>43227</v>
      </c>
      <c r="B7517" s="40" t="s">
        <v>63</v>
      </c>
      <c r="C7517" s="10">
        <v>66</v>
      </c>
      <c r="D7517" s="10">
        <v>239</v>
      </c>
      <c r="E7517" s="10" t="s">
        <v>32</v>
      </c>
      <c r="F7517" s="10" t="s">
        <v>293</v>
      </c>
      <c r="H7517" t="s">
        <v>161</v>
      </c>
    </row>
    <row r="7518" spans="1:12" x14ac:dyDescent="0.35">
      <c r="A7518" s="2">
        <v>43227</v>
      </c>
      <c r="B7518" s="40" t="s">
        <v>63</v>
      </c>
      <c r="C7518" s="10">
        <v>76</v>
      </c>
      <c r="D7518" s="10">
        <v>322</v>
      </c>
      <c r="E7518" s="10" t="s">
        <v>37</v>
      </c>
      <c r="F7518" s="10" t="s">
        <v>360</v>
      </c>
      <c r="H7518" t="s">
        <v>161</v>
      </c>
    </row>
    <row r="7519" spans="1:12" x14ac:dyDescent="0.35">
      <c r="A7519" s="2">
        <v>43227</v>
      </c>
      <c r="B7519" s="40" t="s">
        <v>63</v>
      </c>
      <c r="C7519" s="10">
        <v>70</v>
      </c>
      <c r="D7519" s="10">
        <v>214</v>
      </c>
      <c r="E7519" s="10" t="s">
        <v>33</v>
      </c>
      <c r="F7519" s="10" t="s">
        <v>646</v>
      </c>
    </row>
    <row r="7520" spans="1:12" x14ac:dyDescent="0.35">
      <c r="A7520" s="2">
        <v>43227</v>
      </c>
      <c r="B7520" s="40" t="s">
        <v>63</v>
      </c>
      <c r="C7520" s="10">
        <v>67</v>
      </c>
      <c r="D7520" s="10">
        <v>259</v>
      </c>
      <c r="E7520" s="10" t="s">
        <v>37</v>
      </c>
      <c r="F7520" s="10" t="s">
        <v>198</v>
      </c>
      <c r="H7520" t="s">
        <v>161</v>
      </c>
    </row>
    <row r="7521" spans="1:8" x14ac:dyDescent="0.35">
      <c r="A7521" s="2">
        <v>43227</v>
      </c>
      <c r="B7521" s="40" t="s">
        <v>63</v>
      </c>
      <c r="C7521" s="10">
        <v>75</v>
      </c>
      <c r="D7521" s="10">
        <v>317</v>
      </c>
      <c r="E7521" s="10" t="s">
        <v>32</v>
      </c>
      <c r="F7521" s="10" t="s">
        <v>476</v>
      </c>
    </row>
    <row r="7522" spans="1:8" x14ac:dyDescent="0.35">
      <c r="A7522" s="2">
        <v>43227</v>
      </c>
      <c r="B7522" s="40" t="s">
        <v>63</v>
      </c>
      <c r="C7522" s="10">
        <v>63</v>
      </c>
      <c r="D7522" s="10">
        <v>215</v>
      </c>
      <c r="E7522" s="10" t="s">
        <v>33</v>
      </c>
      <c r="F7522" s="10" t="s">
        <v>476</v>
      </c>
    </row>
    <row r="7523" spans="1:8" x14ac:dyDescent="0.35">
      <c r="A7523" s="2">
        <v>43227</v>
      </c>
      <c r="B7523" s="40" t="s">
        <v>63</v>
      </c>
      <c r="C7523" s="10">
        <v>71</v>
      </c>
      <c r="D7523" s="10">
        <v>352</v>
      </c>
      <c r="E7523" s="10" t="s">
        <v>32</v>
      </c>
      <c r="F7523" s="10" t="s">
        <v>646</v>
      </c>
    </row>
    <row r="7524" spans="1:8" x14ac:dyDescent="0.35">
      <c r="A7524" s="2">
        <v>43227</v>
      </c>
      <c r="B7524" s="40" t="s">
        <v>63</v>
      </c>
      <c r="E7524" t="s">
        <v>32</v>
      </c>
      <c r="F7524" t="s">
        <v>198</v>
      </c>
      <c r="G7524" t="s">
        <v>801</v>
      </c>
      <c r="H7524" t="s">
        <v>161</v>
      </c>
    </row>
    <row r="7525" spans="1:8" x14ac:dyDescent="0.35">
      <c r="A7525" s="2">
        <v>43227</v>
      </c>
      <c r="B7525" s="40" t="s">
        <v>63</v>
      </c>
      <c r="C7525">
        <v>62</v>
      </c>
      <c r="D7525">
        <v>148</v>
      </c>
      <c r="E7525" t="s">
        <v>34</v>
      </c>
      <c r="F7525" t="s">
        <v>646</v>
      </c>
    </row>
    <row r="7526" spans="1:8" x14ac:dyDescent="0.35">
      <c r="A7526" s="2">
        <v>43227</v>
      </c>
      <c r="B7526" s="40" t="s">
        <v>63</v>
      </c>
      <c r="C7526">
        <v>70</v>
      </c>
      <c r="D7526">
        <v>342</v>
      </c>
      <c r="E7526" t="s">
        <v>34</v>
      </c>
      <c r="F7526" t="s">
        <v>293</v>
      </c>
      <c r="G7526" t="s">
        <v>475</v>
      </c>
    </row>
    <row r="7527" spans="1:8" x14ac:dyDescent="0.35">
      <c r="A7527" s="2">
        <v>43227</v>
      </c>
      <c r="B7527" s="40" t="s">
        <v>63</v>
      </c>
      <c r="C7527">
        <v>77</v>
      </c>
      <c r="D7527">
        <v>372</v>
      </c>
      <c r="E7527" t="s">
        <v>32</v>
      </c>
      <c r="F7527" t="s">
        <v>198</v>
      </c>
      <c r="H7527" t="s">
        <v>161</v>
      </c>
    </row>
    <row r="7528" spans="1:8" x14ac:dyDescent="0.35">
      <c r="A7528" s="2">
        <v>43227</v>
      </c>
      <c r="B7528" s="40" t="s">
        <v>63</v>
      </c>
      <c r="C7528">
        <v>67</v>
      </c>
      <c r="D7528">
        <v>228</v>
      </c>
      <c r="E7528" t="s">
        <v>37</v>
      </c>
      <c r="F7528" t="s">
        <v>360</v>
      </c>
    </row>
    <row r="7529" spans="1:8" x14ac:dyDescent="0.35">
      <c r="A7529" s="2">
        <v>43227</v>
      </c>
      <c r="B7529" s="40" t="s">
        <v>63</v>
      </c>
      <c r="C7529">
        <v>74</v>
      </c>
      <c r="D7529">
        <v>421</v>
      </c>
      <c r="E7529" t="s">
        <v>37</v>
      </c>
      <c r="F7529" t="s">
        <v>360</v>
      </c>
      <c r="H7529" t="s">
        <v>161</v>
      </c>
    </row>
    <row r="7530" spans="1:8" x14ac:dyDescent="0.35">
      <c r="A7530" s="2">
        <v>43227</v>
      </c>
      <c r="B7530" s="40" t="s">
        <v>63</v>
      </c>
      <c r="C7530">
        <v>75</v>
      </c>
      <c r="D7530">
        <v>394</v>
      </c>
      <c r="E7530" t="s">
        <v>37</v>
      </c>
      <c r="F7530" t="s">
        <v>360</v>
      </c>
      <c r="H7530" t="s">
        <v>161</v>
      </c>
    </row>
    <row r="7531" spans="1:8" x14ac:dyDescent="0.35">
      <c r="A7531" s="2">
        <v>43227</v>
      </c>
      <c r="B7531" s="40" t="s">
        <v>63</v>
      </c>
      <c r="C7531">
        <v>62</v>
      </c>
      <c r="D7531">
        <v>197</v>
      </c>
      <c r="E7531" t="s">
        <v>37</v>
      </c>
      <c r="F7531" t="s">
        <v>198</v>
      </c>
      <c r="H7531" t="s">
        <v>161</v>
      </c>
    </row>
    <row r="7532" spans="1:8" x14ac:dyDescent="0.35">
      <c r="A7532" s="2">
        <v>43227</v>
      </c>
      <c r="B7532" s="40" t="s">
        <v>63</v>
      </c>
      <c r="C7532">
        <v>67</v>
      </c>
      <c r="D7532">
        <v>303</v>
      </c>
      <c r="E7532" t="s">
        <v>37</v>
      </c>
      <c r="F7532" t="s">
        <v>293</v>
      </c>
      <c r="H7532" t="s">
        <v>161</v>
      </c>
    </row>
    <row r="7533" spans="1:8" x14ac:dyDescent="0.35">
      <c r="A7533" s="2">
        <v>43227</v>
      </c>
      <c r="B7533" s="40" t="s">
        <v>63</v>
      </c>
      <c r="C7533">
        <v>70</v>
      </c>
      <c r="D7533">
        <v>311</v>
      </c>
      <c r="E7533" t="s">
        <v>37</v>
      </c>
      <c r="F7533" t="s">
        <v>198</v>
      </c>
      <c r="G7533" t="s">
        <v>475</v>
      </c>
      <c r="H7533" t="s">
        <v>161</v>
      </c>
    </row>
    <row r="7534" spans="1:8" x14ac:dyDescent="0.35">
      <c r="A7534" s="2">
        <v>43227</v>
      </c>
      <c r="B7534" s="40" t="s">
        <v>63</v>
      </c>
      <c r="C7534">
        <v>78</v>
      </c>
      <c r="D7534">
        <v>361</v>
      </c>
      <c r="E7534" t="s">
        <v>33</v>
      </c>
      <c r="F7534" t="s">
        <v>476</v>
      </c>
    </row>
    <row r="7535" spans="1:8" x14ac:dyDescent="0.35">
      <c r="A7535" s="2">
        <v>43227</v>
      </c>
      <c r="B7535" s="40" t="s">
        <v>63</v>
      </c>
      <c r="C7535">
        <v>62</v>
      </c>
      <c r="D7535">
        <v>171</v>
      </c>
      <c r="E7535" t="s">
        <v>37</v>
      </c>
      <c r="F7535" t="s">
        <v>293</v>
      </c>
    </row>
    <row r="7536" spans="1:8" x14ac:dyDescent="0.35">
      <c r="A7536" s="2">
        <v>43227</v>
      </c>
      <c r="B7536" s="40" t="s">
        <v>63</v>
      </c>
      <c r="C7536">
        <v>70</v>
      </c>
      <c r="D7536">
        <v>269</v>
      </c>
      <c r="E7536" t="s">
        <v>32</v>
      </c>
      <c r="F7536" t="s">
        <v>293</v>
      </c>
    </row>
    <row r="7537" spans="1:8" x14ac:dyDescent="0.35">
      <c r="A7537" s="2">
        <v>43227</v>
      </c>
      <c r="B7537" s="40" t="s">
        <v>63</v>
      </c>
      <c r="C7537">
        <v>67</v>
      </c>
      <c r="D7537">
        <v>254</v>
      </c>
      <c r="E7537" t="s">
        <v>32</v>
      </c>
      <c r="F7537" t="s">
        <v>646</v>
      </c>
    </row>
    <row r="7538" spans="1:8" s="4" customFormat="1" x14ac:dyDescent="0.35">
      <c r="A7538" s="3">
        <v>43227</v>
      </c>
      <c r="B7538" s="44" t="s">
        <v>63</v>
      </c>
      <c r="C7538" s="4">
        <v>66</v>
      </c>
      <c r="D7538" s="4">
        <v>202</v>
      </c>
      <c r="E7538" s="4" t="s">
        <v>32</v>
      </c>
      <c r="F7538" s="4" t="s">
        <v>293</v>
      </c>
    </row>
    <row r="7539" spans="1:8" x14ac:dyDescent="0.35">
      <c r="A7539" s="2">
        <v>43227</v>
      </c>
      <c r="B7539" s="40" t="s">
        <v>66</v>
      </c>
      <c r="C7539" s="10">
        <v>68</v>
      </c>
      <c r="D7539" s="10">
        <v>264</v>
      </c>
      <c r="E7539" s="10" t="s">
        <v>32</v>
      </c>
      <c r="F7539" s="10" t="s">
        <v>476</v>
      </c>
    </row>
    <row r="7540" spans="1:8" x14ac:dyDescent="0.35">
      <c r="A7540" s="2">
        <v>43227</v>
      </c>
      <c r="B7540" s="40" t="s">
        <v>66</v>
      </c>
      <c r="C7540" s="10">
        <v>68</v>
      </c>
      <c r="D7540" s="10">
        <v>305</v>
      </c>
      <c r="E7540" s="10" t="s">
        <v>34</v>
      </c>
      <c r="F7540" s="10" t="s">
        <v>198</v>
      </c>
      <c r="H7540" t="s">
        <v>161</v>
      </c>
    </row>
    <row r="7541" spans="1:8" x14ac:dyDescent="0.35">
      <c r="A7541" s="2">
        <v>43227</v>
      </c>
      <c r="B7541" s="40" t="s">
        <v>66</v>
      </c>
      <c r="C7541" s="10">
        <v>75</v>
      </c>
      <c r="D7541" s="10">
        <v>371</v>
      </c>
      <c r="E7541" s="10" t="s">
        <v>37</v>
      </c>
      <c r="F7541" s="10" t="s">
        <v>360</v>
      </c>
      <c r="H7541" t="s">
        <v>161</v>
      </c>
    </row>
    <row r="7542" spans="1:8" x14ac:dyDescent="0.35">
      <c r="A7542" s="2">
        <v>43227</v>
      </c>
      <c r="B7542" s="40" t="s">
        <v>66</v>
      </c>
      <c r="C7542" s="10">
        <v>75</v>
      </c>
      <c r="D7542" s="10">
        <v>353</v>
      </c>
      <c r="E7542" s="10" t="s">
        <v>32</v>
      </c>
      <c r="F7542" s="10" t="s">
        <v>646</v>
      </c>
    </row>
    <row r="7543" spans="1:8" x14ac:dyDescent="0.35">
      <c r="A7543" s="2">
        <v>43227</v>
      </c>
      <c r="B7543" s="40" t="s">
        <v>66</v>
      </c>
      <c r="C7543" s="10">
        <v>66</v>
      </c>
      <c r="D7543" s="10">
        <v>265</v>
      </c>
      <c r="E7543" s="10" t="s">
        <v>32</v>
      </c>
      <c r="F7543" s="10" t="s">
        <v>360</v>
      </c>
      <c r="H7543" t="s">
        <v>161</v>
      </c>
    </row>
    <row r="7544" spans="1:8" x14ac:dyDescent="0.35">
      <c r="A7544" s="2">
        <v>43227</v>
      </c>
      <c r="B7544" s="40" t="s">
        <v>66</v>
      </c>
      <c r="C7544" s="10">
        <v>76</v>
      </c>
      <c r="D7544" s="10">
        <v>301</v>
      </c>
      <c r="E7544" s="10" t="s">
        <v>39</v>
      </c>
      <c r="F7544" s="10" t="s">
        <v>476</v>
      </c>
    </row>
    <row r="7545" spans="1:8" x14ac:dyDescent="0.35">
      <c r="A7545" s="2">
        <v>43227</v>
      </c>
      <c r="B7545" s="40" t="s">
        <v>66</v>
      </c>
      <c r="C7545" s="10">
        <v>73</v>
      </c>
      <c r="D7545" s="10">
        <v>350</v>
      </c>
      <c r="E7545" s="10" t="s">
        <v>37</v>
      </c>
      <c r="F7545" s="10" t="s">
        <v>198</v>
      </c>
      <c r="H7545" t="s">
        <v>161</v>
      </c>
    </row>
    <row r="7546" spans="1:8" x14ac:dyDescent="0.35">
      <c r="A7546" s="2">
        <v>43227</v>
      </c>
      <c r="B7546" s="40" t="s">
        <v>66</v>
      </c>
      <c r="C7546" s="10">
        <v>67</v>
      </c>
      <c r="D7546" s="10">
        <v>224</v>
      </c>
      <c r="E7546" s="10" t="s">
        <v>32</v>
      </c>
      <c r="F7546" s="10" t="s">
        <v>293</v>
      </c>
    </row>
    <row r="7547" spans="1:8" x14ac:dyDescent="0.35">
      <c r="A7547" s="2">
        <v>43227</v>
      </c>
      <c r="B7547" s="40" t="s">
        <v>66</v>
      </c>
      <c r="C7547" s="10">
        <v>66</v>
      </c>
      <c r="D7547" s="10">
        <v>255</v>
      </c>
      <c r="E7547" s="10" t="s">
        <v>37</v>
      </c>
      <c r="F7547" s="10" t="s">
        <v>198</v>
      </c>
      <c r="G7547" s="10" t="s">
        <v>475</v>
      </c>
      <c r="H7547" t="s">
        <v>161</v>
      </c>
    </row>
    <row r="7548" spans="1:8" x14ac:dyDescent="0.35">
      <c r="A7548" s="2">
        <v>43227</v>
      </c>
      <c r="B7548" s="40" t="s">
        <v>66</v>
      </c>
      <c r="C7548" s="10">
        <v>66</v>
      </c>
      <c r="D7548" s="10">
        <v>212</v>
      </c>
      <c r="E7548" s="10" t="s">
        <v>32</v>
      </c>
      <c r="F7548" s="10" t="s">
        <v>198</v>
      </c>
      <c r="G7548" s="10" t="s">
        <v>475</v>
      </c>
      <c r="H7548" t="s">
        <v>161</v>
      </c>
    </row>
    <row r="7549" spans="1:8" x14ac:dyDescent="0.35">
      <c r="A7549" s="2">
        <v>43227</v>
      </c>
      <c r="B7549" s="40" t="s">
        <v>66</v>
      </c>
      <c r="C7549" s="10">
        <v>69</v>
      </c>
      <c r="D7549" s="10">
        <v>227</v>
      </c>
      <c r="E7549" s="10" t="s">
        <v>37</v>
      </c>
      <c r="F7549" s="10" t="s">
        <v>360</v>
      </c>
    </row>
    <row r="7550" spans="1:8" x14ac:dyDescent="0.35">
      <c r="A7550" s="2">
        <v>43227</v>
      </c>
      <c r="B7550" s="40" t="s">
        <v>66</v>
      </c>
      <c r="C7550" s="10">
        <v>73</v>
      </c>
      <c r="D7550" s="10">
        <v>324</v>
      </c>
      <c r="E7550" s="10" t="s">
        <v>32</v>
      </c>
      <c r="F7550" s="10" t="s">
        <v>646</v>
      </c>
    </row>
    <row r="7551" spans="1:8" x14ac:dyDescent="0.35">
      <c r="A7551" s="2">
        <v>43227</v>
      </c>
      <c r="B7551" s="40" t="s">
        <v>66</v>
      </c>
      <c r="C7551" s="10">
        <v>68</v>
      </c>
      <c r="D7551" s="10">
        <v>154</v>
      </c>
      <c r="E7551" s="10" t="s">
        <v>32</v>
      </c>
      <c r="F7551" s="10" t="s">
        <v>476</v>
      </c>
    </row>
    <row r="7552" spans="1:8" x14ac:dyDescent="0.35">
      <c r="A7552" s="2">
        <v>43227</v>
      </c>
      <c r="B7552" s="40" t="s">
        <v>66</v>
      </c>
      <c r="C7552" s="10">
        <v>68</v>
      </c>
      <c r="D7552" s="10">
        <v>278</v>
      </c>
      <c r="E7552" s="10" t="s">
        <v>32</v>
      </c>
      <c r="F7552" s="10" t="s">
        <v>360</v>
      </c>
    </row>
    <row r="7553" spans="1:8" x14ac:dyDescent="0.35">
      <c r="A7553" s="2">
        <v>43227</v>
      </c>
      <c r="B7553" s="40" t="s">
        <v>66</v>
      </c>
      <c r="C7553" s="10">
        <v>75</v>
      </c>
      <c r="D7553" s="10">
        <v>352</v>
      </c>
      <c r="E7553" s="10" t="s">
        <v>37</v>
      </c>
      <c r="F7553" s="10" t="s">
        <v>360</v>
      </c>
    </row>
    <row r="7554" spans="1:8" x14ac:dyDescent="0.35">
      <c r="A7554" s="2">
        <v>43227</v>
      </c>
      <c r="B7554" s="40" t="s">
        <v>66</v>
      </c>
      <c r="C7554" s="10">
        <v>68</v>
      </c>
      <c r="D7554" s="10">
        <v>168</v>
      </c>
      <c r="E7554" s="10" t="s">
        <v>32</v>
      </c>
      <c r="F7554" s="10" t="s">
        <v>198</v>
      </c>
    </row>
    <row r="7555" spans="1:8" x14ac:dyDescent="0.35">
      <c r="A7555" s="2">
        <v>43227</v>
      </c>
      <c r="B7555" s="40" t="s">
        <v>66</v>
      </c>
      <c r="C7555" s="10">
        <v>66</v>
      </c>
      <c r="D7555" s="10">
        <v>293</v>
      </c>
      <c r="E7555" s="10" t="s">
        <v>32</v>
      </c>
      <c r="F7555" s="10" t="s">
        <v>198</v>
      </c>
      <c r="H7555" t="s">
        <v>161</v>
      </c>
    </row>
    <row r="7556" spans="1:8" x14ac:dyDescent="0.35">
      <c r="A7556" s="2">
        <v>43227</v>
      </c>
      <c r="B7556" s="40" t="s">
        <v>66</v>
      </c>
      <c r="C7556" s="10">
        <v>70</v>
      </c>
      <c r="D7556" s="10">
        <v>233</v>
      </c>
      <c r="E7556" s="10" t="s">
        <v>34</v>
      </c>
      <c r="F7556" s="10" t="s">
        <v>646</v>
      </c>
    </row>
    <row r="7557" spans="1:8" x14ac:dyDescent="0.35">
      <c r="A7557" s="2">
        <v>43227</v>
      </c>
      <c r="B7557" s="40" t="s">
        <v>66</v>
      </c>
      <c r="C7557" s="10">
        <v>65</v>
      </c>
      <c r="D7557" s="10">
        <v>212</v>
      </c>
      <c r="E7557" s="10" t="s">
        <v>32</v>
      </c>
      <c r="F7557" s="10" t="s">
        <v>360</v>
      </c>
    </row>
    <row r="7558" spans="1:8" x14ac:dyDescent="0.35">
      <c r="A7558" s="2">
        <v>43227</v>
      </c>
      <c r="B7558" s="40" t="s">
        <v>66</v>
      </c>
      <c r="C7558" s="10">
        <v>71</v>
      </c>
      <c r="D7558" s="10">
        <v>274</v>
      </c>
      <c r="E7558" s="10" t="s">
        <v>32</v>
      </c>
      <c r="F7558" s="10" t="s">
        <v>360</v>
      </c>
      <c r="H7558" t="s">
        <v>161</v>
      </c>
    </row>
    <row r="7559" spans="1:8" x14ac:dyDescent="0.35">
      <c r="A7559" s="2">
        <v>43227</v>
      </c>
      <c r="B7559" s="40" t="s">
        <v>66</v>
      </c>
      <c r="C7559" s="10">
        <v>63</v>
      </c>
      <c r="D7559" s="10">
        <v>207</v>
      </c>
      <c r="E7559" s="10" t="s">
        <v>32</v>
      </c>
      <c r="F7559" s="10" t="s">
        <v>360</v>
      </c>
    </row>
    <row r="7560" spans="1:8" x14ac:dyDescent="0.35">
      <c r="A7560" s="2">
        <v>43227</v>
      </c>
      <c r="B7560" s="40" t="s">
        <v>66</v>
      </c>
      <c r="C7560" s="10">
        <v>67</v>
      </c>
      <c r="D7560" s="10">
        <v>185</v>
      </c>
      <c r="E7560" s="10" t="s">
        <v>32</v>
      </c>
      <c r="F7560" s="10" t="s">
        <v>293</v>
      </c>
    </row>
    <row r="7561" spans="1:8" x14ac:dyDescent="0.35">
      <c r="A7561" s="2">
        <v>43227</v>
      </c>
      <c r="B7561" s="40" t="s">
        <v>66</v>
      </c>
      <c r="C7561" s="10">
        <v>77</v>
      </c>
      <c r="D7561" s="10">
        <v>377</v>
      </c>
      <c r="E7561" s="10" t="s">
        <v>32</v>
      </c>
      <c r="F7561" s="10" t="s">
        <v>476</v>
      </c>
    </row>
    <row r="7562" spans="1:8" s="4" customFormat="1" x14ac:dyDescent="0.35">
      <c r="A7562" s="3">
        <v>43227</v>
      </c>
      <c r="B7562" s="44" t="s">
        <v>66</v>
      </c>
      <c r="C7562" s="11">
        <v>70</v>
      </c>
      <c r="D7562" s="11">
        <v>208</v>
      </c>
      <c r="E7562" s="11" t="s">
        <v>37</v>
      </c>
      <c r="F7562" s="11" t="s">
        <v>360</v>
      </c>
      <c r="H7562" s="4" t="s">
        <v>161</v>
      </c>
    </row>
    <row r="7563" spans="1:8" x14ac:dyDescent="0.35">
      <c r="A7563" s="2">
        <v>43227</v>
      </c>
      <c r="B7563" s="40" t="s">
        <v>104</v>
      </c>
      <c r="C7563" s="10">
        <v>68</v>
      </c>
      <c r="D7563" s="10">
        <v>390</v>
      </c>
      <c r="E7563" s="10" t="s">
        <v>32</v>
      </c>
      <c r="F7563" s="10" t="s">
        <v>360</v>
      </c>
      <c r="H7563" t="s">
        <v>161</v>
      </c>
    </row>
    <row r="7564" spans="1:8" x14ac:dyDescent="0.35">
      <c r="A7564" s="2">
        <v>43227</v>
      </c>
      <c r="B7564" s="40" t="s">
        <v>104</v>
      </c>
      <c r="C7564" s="10">
        <v>69</v>
      </c>
      <c r="D7564" s="10">
        <v>309</v>
      </c>
      <c r="E7564" s="10" t="s">
        <v>32</v>
      </c>
      <c r="F7564" s="10" t="s">
        <v>646</v>
      </c>
    </row>
    <row r="7565" spans="1:8" x14ac:dyDescent="0.35">
      <c r="A7565" s="2">
        <v>43227</v>
      </c>
      <c r="B7565" s="40" t="s">
        <v>104</v>
      </c>
      <c r="C7565" s="10">
        <v>68</v>
      </c>
      <c r="D7565" s="10">
        <v>279</v>
      </c>
      <c r="E7565" s="10" t="s">
        <v>32</v>
      </c>
      <c r="F7565" s="10" t="s">
        <v>360</v>
      </c>
    </row>
    <row r="7566" spans="1:8" x14ac:dyDescent="0.35">
      <c r="A7566" s="2">
        <v>43227</v>
      </c>
      <c r="B7566" s="40" t="s">
        <v>104</v>
      </c>
      <c r="C7566" s="10">
        <v>68</v>
      </c>
      <c r="D7566" s="10">
        <v>309</v>
      </c>
      <c r="E7566" s="10" t="s">
        <v>37</v>
      </c>
      <c r="F7566" s="10" t="s">
        <v>360</v>
      </c>
      <c r="H7566" t="s">
        <v>161</v>
      </c>
    </row>
    <row r="7567" spans="1:8" x14ac:dyDescent="0.35">
      <c r="A7567" s="2">
        <v>43227</v>
      </c>
      <c r="B7567" s="40" t="s">
        <v>104</v>
      </c>
      <c r="C7567" s="10">
        <v>69</v>
      </c>
      <c r="D7567" s="10">
        <v>281</v>
      </c>
      <c r="E7567" s="10" t="s">
        <v>32</v>
      </c>
      <c r="F7567" s="10" t="s">
        <v>198</v>
      </c>
      <c r="H7567" t="s">
        <v>161</v>
      </c>
    </row>
    <row r="7568" spans="1:8" x14ac:dyDescent="0.35">
      <c r="A7568" s="2">
        <v>43227</v>
      </c>
      <c r="B7568" s="40" t="s">
        <v>104</v>
      </c>
      <c r="C7568" s="10">
        <v>73</v>
      </c>
      <c r="D7568" s="10">
        <v>346</v>
      </c>
      <c r="E7568" s="10" t="s">
        <v>37</v>
      </c>
      <c r="F7568" s="10" t="s">
        <v>360</v>
      </c>
    </row>
    <row r="7569" spans="1:8" x14ac:dyDescent="0.35">
      <c r="A7569" s="2">
        <v>43227</v>
      </c>
      <c r="B7569" s="40" t="s">
        <v>104</v>
      </c>
      <c r="C7569" s="10">
        <v>68</v>
      </c>
      <c r="D7569" s="10">
        <v>300</v>
      </c>
      <c r="E7569" s="10" t="s">
        <v>32</v>
      </c>
      <c r="F7569" s="10" t="s">
        <v>360</v>
      </c>
      <c r="H7569" t="s">
        <v>161</v>
      </c>
    </row>
    <row r="7570" spans="1:8" x14ac:dyDescent="0.35">
      <c r="A7570" s="2">
        <v>43227</v>
      </c>
      <c r="B7570" s="40" t="s">
        <v>104</v>
      </c>
      <c r="C7570" s="10">
        <v>66</v>
      </c>
      <c r="D7570" s="10">
        <v>287</v>
      </c>
      <c r="E7570" s="10" t="s">
        <v>32</v>
      </c>
      <c r="F7570" s="10" t="s">
        <v>360</v>
      </c>
      <c r="H7570" t="s">
        <v>161</v>
      </c>
    </row>
    <row r="7571" spans="1:8" x14ac:dyDescent="0.35">
      <c r="A7571" s="2">
        <v>43227</v>
      </c>
      <c r="B7571" s="40" t="s">
        <v>104</v>
      </c>
      <c r="C7571" s="10">
        <v>79</v>
      </c>
      <c r="D7571" s="10">
        <v>437</v>
      </c>
      <c r="E7571" s="10" t="s">
        <v>34</v>
      </c>
      <c r="F7571" s="10" t="s">
        <v>646</v>
      </c>
    </row>
    <row r="7572" spans="1:8" x14ac:dyDescent="0.35">
      <c r="A7572" s="2">
        <v>43227</v>
      </c>
      <c r="B7572" s="40" t="s">
        <v>104</v>
      </c>
      <c r="C7572" s="10">
        <v>75</v>
      </c>
      <c r="D7572" s="10">
        <v>355</v>
      </c>
      <c r="E7572" s="10" t="s">
        <v>32</v>
      </c>
      <c r="F7572" s="10" t="s">
        <v>360</v>
      </c>
      <c r="H7572" t="s">
        <v>161</v>
      </c>
    </row>
    <row r="7573" spans="1:8" x14ac:dyDescent="0.35">
      <c r="A7573" s="2">
        <v>43227</v>
      </c>
      <c r="B7573" s="40" t="s">
        <v>104</v>
      </c>
      <c r="C7573" s="10">
        <v>63</v>
      </c>
      <c r="D7573" s="10">
        <v>242</v>
      </c>
      <c r="E7573" s="10" t="s">
        <v>32</v>
      </c>
      <c r="F7573" s="10" t="s">
        <v>360</v>
      </c>
    </row>
    <row r="7574" spans="1:8" x14ac:dyDescent="0.35">
      <c r="A7574" s="2">
        <v>43227</v>
      </c>
      <c r="B7574" s="40" t="s">
        <v>104</v>
      </c>
      <c r="C7574" s="10">
        <v>68</v>
      </c>
      <c r="D7574" s="10">
        <v>317</v>
      </c>
      <c r="E7574" s="10" t="s">
        <v>37</v>
      </c>
      <c r="F7574" s="10" t="s">
        <v>360</v>
      </c>
      <c r="H7574" t="s">
        <v>161</v>
      </c>
    </row>
    <row r="7575" spans="1:8" s="4" customFormat="1" x14ac:dyDescent="0.35">
      <c r="A7575" s="3">
        <v>43227</v>
      </c>
      <c r="B7575" s="44" t="s">
        <v>104</v>
      </c>
      <c r="C7575" s="11">
        <v>58</v>
      </c>
      <c r="D7575" s="11">
        <v>190</v>
      </c>
      <c r="E7575" s="11" t="s">
        <v>32</v>
      </c>
      <c r="F7575" s="11" t="s">
        <v>360</v>
      </c>
      <c r="H7575" s="4" t="s">
        <v>161</v>
      </c>
    </row>
    <row r="7576" spans="1:8" x14ac:dyDescent="0.35">
      <c r="A7576" s="2">
        <v>43227</v>
      </c>
      <c r="B7576" s="40" t="s">
        <v>113</v>
      </c>
      <c r="C7576" s="10">
        <v>144</v>
      </c>
      <c r="D7576" s="10">
        <v>3762</v>
      </c>
      <c r="E7576" s="10" t="s">
        <v>59</v>
      </c>
      <c r="F7576" s="10"/>
    </row>
    <row r="7577" spans="1:8" x14ac:dyDescent="0.35">
      <c r="A7577" s="2">
        <v>43227</v>
      </c>
      <c r="B7577" s="40" t="s">
        <v>113</v>
      </c>
      <c r="C7577" s="10">
        <v>66</v>
      </c>
      <c r="D7577" s="10">
        <v>242</v>
      </c>
      <c r="E7577" s="10" t="s">
        <v>34</v>
      </c>
      <c r="F7577" s="10" t="s">
        <v>360</v>
      </c>
      <c r="H7577" t="s">
        <v>161</v>
      </c>
    </row>
    <row r="7578" spans="1:8" x14ac:dyDescent="0.35">
      <c r="A7578" s="2">
        <v>43227</v>
      </c>
      <c r="B7578" s="40" t="s">
        <v>113</v>
      </c>
      <c r="C7578" s="10">
        <v>71</v>
      </c>
      <c r="D7578" s="10">
        <v>304</v>
      </c>
      <c r="E7578" s="10" t="s">
        <v>32</v>
      </c>
      <c r="F7578" s="10" t="s">
        <v>360</v>
      </c>
      <c r="H7578" t="s">
        <v>161</v>
      </c>
    </row>
    <row r="7579" spans="1:8" x14ac:dyDescent="0.35">
      <c r="A7579" s="2">
        <v>43227</v>
      </c>
      <c r="B7579" s="40" t="s">
        <v>113</v>
      </c>
      <c r="C7579" s="10">
        <v>68</v>
      </c>
      <c r="D7579" s="10">
        <v>275</v>
      </c>
      <c r="E7579" s="10" t="s">
        <v>37</v>
      </c>
      <c r="F7579" s="10" t="s">
        <v>360</v>
      </c>
    </row>
    <row r="7580" spans="1:8" x14ac:dyDescent="0.35">
      <c r="A7580" s="2">
        <v>43227</v>
      </c>
      <c r="B7580" s="40" t="s">
        <v>113</v>
      </c>
      <c r="C7580" s="10">
        <v>67</v>
      </c>
      <c r="D7580" s="10">
        <v>279</v>
      </c>
      <c r="E7580" s="10" t="s">
        <v>37</v>
      </c>
      <c r="F7580" s="10" t="s">
        <v>360</v>
      </c>
    </row>
    <row r="7581" spans="1:8" s="4" customFormat="1" x14ac:dyDescent="0.35">
      <c r="A7581" s="3">
        <v>43227</v>
      </c>
      <c r="B7581" s="44" t="s">
        <v>113</v>
      </c>
      <c r="C7581" s="11">
        <v>73</v>
      </c>
      <c r="D7581" s="11">
        <v>298</v>
      </c>
      <c r="E7581" s="11" t="s">
        <v>34</v>
      </c>
      <c r="F7581" s="11" t="s">
        <v>476</v>
      </c>
    </row>
    <row r="7582" spans="1:8" x14ac:dyDescent="0.35">
      <c r="A7582" s="2">
        <v>43227</v>
      </c>
      <c r="B7582" s="40" t="s">
        <v>102</v>
      </c>
      <c r="C7582" s="10">
        <v>124</v>
      </c>
      <c r="D7582" s="10">
        <v>2646</v>
      </c>
      <c r="E7582" s="10" t="s">
        <v>59</v>
      </c>
    </row>
    <row r="7583" spans="1:8" x14ac:dyDescent="0.35">
      <c r="A7583" s="2">
        <v>43227</v>
      </c>
      <c r="B7583" s="40" t="s">
        <v>102</v>
      </c>
      <c r="C7583" s="10">
        <v>68</v>
      </c>
      <c r="D7583" s="10">
        <v>281</v>
      </c>
      <c r="E7583" s="10" t="s">
        <v>32</v>
      </c>
      <c r="F7583" t="s">
        <v>360</v>
      </c>
      <c r="H7583" t="s">
        <v>161</v>
      </c>
    </row>
    <row r="7584" spans="1:8" x14ac:dyDescent="0.35">
      <c r="A7584" s="2">
        <v>43227</v>
      </c>
      <c r="B7584" s="40" t="s">
        <v>102</v>
      </c>
      <c r="C7584" s="10">
        <v>65</v>
      </c>
      <c r="D7584" s="10">
        <v>180</v>
      </c>
      <c r="E7584" s="10" t="s">
        <v>32</v>
      </c>
      <c r="F7584" t="s">
        <v>646</v>
      </c>
    </row>
    <row r="7585" spans="1:24" x14ac:dyDescent="0.35">
      <c r="A7585" s="2">
        <v>43227</v>
      </c>
      <c r="B7585" s="40" t="s">
        <v>102</v>
      </c>
      <c r="C7585" s="10">
        <v>68</v>
      </c>
      <c r="D7585" s="10">
        <v>254</v>
      </c>
      <c r="E7585" s="10" t="s">
        <v>32</v>
      </c>
      <c r="F7585" t="s">
        <v>198</v>
      </c>
      <c r="H7585" t="s">
        <v>161</v>
      </c>
    </row>
    <row r="7586" spans="1:24" x14ac:dyDescent="0.35">
      <c r="A7586" s="2">
        <v>43227</v>
      </c>
      <c r="B7586" s="40" t="s">
        <v>102</v>
      </c>
      <c r="C7586" s="10">
        <v>69</v>
      </c>
      <c r="D7586" s="10">
        <v>228</v>
      </c>
      <c r="E7586" s="10" t="s">
        <v>33</v>
      </c>
      <c r="F7586" t="s">
        <v>476</v>
      </c>
    </row>
    <row r="7587" spans="1:24" x14ac:dyDescent="0.35">
      <c r="A7587" s="2">
        <v>43227</v>
      </c>
      <c r="B7587" s="40" t="s">
        <v>102</v>
      </c>
      <c r="C7587" s="10">
        <v>77</v>
      </c>
      <c r="D7587" s="10">
        <v>320</v>
      </c>
      <c r="E7587" s="10" t="s">
        <v>33</v>
      </c>
      <c r="F7587" t="s">
        <v>476</v>
      </c>
      <c r="N7587" t="s">
        <v>42</v>
      </c>
      <c r="O7587" t="s">
        <v>39</v>
      </c>
      <c r="P7587" t="s">
        <v>40</v>
      </c>
      <c r="Q7587" t="s">
        <v>36</v>
      </c>
      <c r="R7587" t="s">
        <v>33</v>
      </c>
      <c r="S7587" t="s">
        <v>34</v>
      </c>
      <c r="T7587" t="s">
        <v>32</v>
      </c>
      <c r="U7587" t="s">
        <v>37</v>
      </c>
      <c r="V7587" t="s">
        <v>159</v>
      </c>
    </row>
    <row r="7588" spans="1:24" x14ac:dyDescent="0.35">
      <c r="A7588" s="2">
        <v>43227</v>
      </c>
      <c r="B7588" s="40" t="s">
        <v>102</v>
      </c>
      <c r="C7588" s="10">
        <v>64</v>
      </c>
      <c r="D7588" s="10">
        <v>253</v>
      </c>
      <c r="E7588" s="10" t="s">
        <v>32</v>
      </c>
      <c r="F7588" t="s">
        <v>360</v>
      </c>
      <c r="N7588" s="5">
        <f>COUNTIF(E7512:E7589,"VA")</f>
        <v>0</v>
      </c>
      <c r="O7588" s="5">
        <f>COUNTIF(E7512:E7589,"VB")</f>
        <v>1</v>
      </c>
      <c r="P7588" s="5">
        <f>COUNTIF(E7512:E7589,"VIA0")</f>
        <v>0</v>
      </c>
      <c r="Q7588" s="5">
        <f>COUNTIF(E7512:E7589,"VIA1")</f>
        <v>0</v>
      </c>
      <c r="R7588" s="5">
        <f>COUNTIF(E7512:E7589,"VIA2")</f>
        <v>5</v>
      </c>
      <c r="S7588" s="5">
        <f>COUNTIF(E7512:E7589,"VIA3")</f>
        <v>7</v>
      </c>
      <c r="T7588" s="5">
        <f>COUNTIF(E7512:E7589,"VIA4")</f>
        <v>41</v>
      </c>
      <c r="U7588" s="5">
        <f>COUNTIF(E7512:E7589,"VIB")</f>
        <v>20</v>
      </c>
      <c r="V7588" s="5">
        <f>COUNTIF(E7512:E7589,"VII")</f>
        <v>0</v>
      </c>
      <c r="W7588">
        <f>AVERAGE(C7583:C7589,C7577:C7581,C7517:C7575,C7513:C7515)</f>
        <v>69.041095890410958</v>
      </c>
      <c r="X7588">
        <f>AVERAGE(D7583:D7589,D7577:D7581,D7517:D7575,D7513:D7515)</f>
        <v>279.06849315068496</v>
      </c>
    </row>
    <row r="7589" spans="1:24" s="4" customFormat="1" x14ac:dyDescent="0.35">
      <c r="A7589" s="3">
        <v>43227</v>
      </c>
      <c r="B7589" s="44" t="s">
        <v>102</v>
      </c>
      <c r="C7589" s="11">
        <v>70</v>
      </c>
      <c r="D7589" s="11">
        <v>343</v>
      </c>
      <c r="E7589" s="11" t="s">
        <v>32</v>
      </c>
      <c r="F7589" s="4" t="s">
        <v>360</v>
      </c>
      <c r="H7589" s="4" t="s">
        <v>161</v>
      </c>
      <c r="N7589" s="6">
        <f>N7588/74*100</f>
        <v>0</v>
      </c>
      <c r="O7589" s="6">
        <f t="shared" ref="O7589:V7589" si="252">O7588/74*100</f>
        <v>1.3513513513513513</v>
      </c>
      <c r="P7589" s="6">
        <f t="shared" si="252"/>
        <v>0</v>
      </c>
      <c r="Q7589" s="6">
        <f t="shared" si="252"/>
        <v>0</v>
      </c>
      <c r="R7589" s="6">
        <f t="shared" si="252"/>
        <v>6.756756756756757</v>
      </c>
      <c r="S7589" s="6">
        <f t="shared" si="252"/>
        <v>9.4594594594594597</v>
      </c>
      <c r="T7589" s="6">
        <f t="shared" si="252"/>
        <v>55.405405405405403</v>
      </c>
      <c r="U7589" s="6">
        <f t="shared" si="252"/>
        <v>27.027027027027028</v>
      </c>
      <c r="V7589" s="6">
        <f t="shared" si="252"/>
        <v>0</v>
      </c>
    </row>
    <row r="7590" spans="1:24" x14ac:dyDescent="0.35">
      <c r="A7590" s="2">
        <v>43234</v>
      </c>
      <c r="B7590" s="40" t="s">
        <v>38</v>
      </c>
      <c r="C7590" s="10">
        <v>273</v>
      </c>
      <c r="D7590" s="10">
        <v>29660</v>
      </c>
      <c r="E7590" s="10" t="s">
        <v>59</v>
      </c>
    </row>
    <row r="7591" spans="1:24" x14ac:dyDescent="0.35">
      <c r="A7591" s="2">
        <v>43234</v>
      </c>
      <c r="B7591" s="40" t="s">
        <v>38</v>
      </c>
      <c r="C7591" s="10">
        <v>133</v>
      </c>
      <c r="D7591" s="10">
        <v>3463</v>
      </c>
      <c r="E7591" s="10" t="s">
        <v>59</v>
      </c>
    </row>
    <row r="7592" spans="1:24" x14ac:dyDescent="0.35">
      <c r="A7592" s="2">
        <v>43234</v>
      </c>
      <c r="B7592" s="40" t="s">
        <v>38</v>
      </c>
      <c r="C7592" s="10">
        <v>117</v>
      </c>
      <c r="D7592" s="10">
        <v>1735</v>
      </c>
      <c r="E7592" s="10" t="s">
        <v>59</v>
      </c>
    </row>
    <row r="7593" spans="1:24" x14ac:dyDescent="0.35">
      <c r="A7593" s="2">
        <v>43234</v>
      </c>
      <c r="B7593" s="40" t="s">
        <v>38</v>
      </c>
      <c r="C7593" s="10">
        <v>98</v>
      </c>
      <c r="D7593" s="10">
        <v>1127</v>
      </c>
      <c r="E7593" s="10" t="s">
        <v>59</v>
      </c>
    </row>
    <row r="7594" spans="1:24" x14ac:dyDescent="0.35">
      <c r="A7594" s="2">
        <v>43234</v>
      </c>
      <c r="B7594" s="40" t="s">
        <v>38</v>
      </c>
      <c r="C7594" s="10">
        <v>124</v>
      </c>
      <c r="D7594" s="10">
        <v>2445</v>
      </c>
      <c r="E7594" s="10" t="s">
        <v>59</v>
      </c>
    </row>
    <row r="7595" spans="1:24" x14ac:dyDescent="0.35">
      <c r="A7595" s="2">
        <v>43234</v>
      </c>
      <c r="B7595" s="40" t="s">
        <v>38</v>
      </c>
      <c r="C7595" s="10">
        <v>122</v>
      </c>
      <c r="D7595" s="10">
        <v>2056</v>
      </c>
      <c r="E7595" s="10" t="s">
        <v>59</v>
      </c>
    </row>
    <row r="7596" spans="1:24" x14ac:dyDescent="0.35">
      <c r="A7596" s="2">
        <v>43234</v>
      </c>
      <c r="B7596" s="40" t="s">
        <v>38</v>
      </c>
      <c r="C7596" s="10">
        <v>112</v>
      </c>
      <c r="D7596" s="10">
        <v>1829</v>
      </c>
      <c r="E7596" s="10" t="s">
        <v>59</v>
      </c>
    </row>
    <row r="7597" spans="1:24" x14ac:dyDescent="0.35">
      <c r="A7597" s="2">
        <v>43234</v>
      </c>
      <c r="B7597" s="40" t="s">
        <v>38</v>
      </c>
      <c r="C7597" s="10">
        <v>102</v>
      </c>
      <c r="D7597" s="10">
        <v>1403</v>
      </c>
      <c r="E7597" s="10" t="s">
        <v>59</v>
      </c>
    </row>
    <row r="7598" spans="1:24" x14ac:dyDescent="0.35">
      <c r="A7598" s="2">
        <v>43234</v>
      </c>
      <c r="B7598" s="40" t="s">
        <v>38</v>
      </c>
      <c r="C7598" s="10">
        <v>71</v>
      </c>
      <c r="D7598" s="10">
        <v>280</v>
      </c>
      <c r="E7598" s="10" t="s">
        <v>37</v>
      </c>
      <c r="F7598" t="s">
        <v>360</v>
      </c>
      <c r="H7598" t="s">
        <v>161</v>
      </c>
      <c r="M7598">
        <f>COUNTIF(F7598:F7705,"F0")</f>
        <v>18</v>
      </c>
    </row>
    <row r="7599" spans="1:24" x14ac:dyDescent="0.35">
      <c r="A7599" s="2">
        <v>43234</v>
      </c>
      <c r="B7599" s="40" t="s">
        <v>38</v>
      </c>
      <c r="C7599" s="10">
        <v>73</v>
      </c>
      <c r="D7599" s="10">
        <v>294</v>
      </c>
      <c r="E7599" s="10" t="s">
        <v>33</v>
      </c>
      <c r="F7599" t="s">
        <v>476</v>
      </c>
    </row>
    <row r="7600" spans="1:24" x14ac:dyDescent="0.35">
      <c r="A7600" s="2">
        <v>43234</v>
      </c>
      <c r="B7600" s="40" t="s">
        <v>38</v>
      </c>
      <c r="C7600" s="10">
        <v>72</v>
      </c>
      <c r="D7600" s="10">
        <v>283</v>
      </c>
      <c r="E7600" s="10" t="s">
        <v>32</v>
      </c>
      <c r="F7600" t="s">
        <v>198</v>
      </c>
    </row>
    <row r="7601" spans="1:8" x14ac:dyDescent="0.35">
      <c r="A7601" s="2">
        <v>43234</v>
      </c>
      <c r="B7601" s="40" t="s">
        <v>38</v>
      </c>
      <c r="C7601" s="10">
        <v>71</v>
      </c>
      <c r="D7601" s="10">
        <v>283</v>
      </c>
      <c r="E7601" s="10" t="s">
        <v>32</v>
      </c>
      <c r="F7601" t="s">
        <v>293</v>
      </c>
    </row>
    <row r="7602" spans="1:8" x14ac:dyDescent="0.35">
      <c r="A7602" s="2">
        <v>43234</v>
      </c>
      <c r="B7602" s="40" t="s">
        <v>38</v>
      </c>
      <c r="C7602" s="10">
        <v>71</v>
      </c>
      <c r="D7602" s="10">
        <v>238</v>
      </c>
      <c r="E7602" s="10" t="s">
        <v>34</v>
      </c>
      <c r="F7602" t="s">
        <v>476</v>
      </c>
    </row>
    <row r="7603" spans="1:8" x14ac:dyDescent="0.35">
      <c r="A7603" s="2">
        <v>43234</v>
      </c>
      <c r="B7603" s="40" t="s">
        <v>38</v>
      </c>
      <c r="C7603" s="10">
        <v>72</v>
      </c>
      <c r="D7603" s="10">
        <v>253</v>
      </c>
      <c r="E7603" s="10" t="s">
        <v>34</v>
      </c>
      <c r="F7603" t="s">
        <v>293</v>
      </c>
    </row>
    <row r="7604" spans="1:8" x14ac:dyDescent="0.35">
      <c r="A7604" s="2">
        <v>43234</v>
      </c>
      <c r="B7604" s="40" t="s">
        <v>38</v>
      </c>
      <c r="C7604" s="10">
        <v>73</v>
      </c>
      <c r="D7604" s="10">
        <v>389</v>
      </c>
      <c r="E7604" s="10" t="s">
        <v>33</v>
      </c>
      <c r="F7604" t="s">
        <v>646</v>
      </c>
    </row>
    <row r="7605" spans="1:8" x14ac:dyDescent="0.35">
      <c r="A7605" s="2">
        <v>43234</v>
      </c>
      <c r="B7605" s="40" t="s">
        <v>38</v>
      </c>
      <c r="C7605" s="10">
        <v>68</v>
      </c>
      <c r="D7605" s="10">
        <v>280</v>
      </c>
      <c r="E7605" s="10" t="s">
        <v>32</v>
      </c>
      <c r="F7605" t="s">
        <v>360</v>
      </c>
      <c r="H7605" t="s">
        <v>161</v>
      </c>
    </row>
    <row r="7606" spans="1:8" x14ac:dyDescent="0.35">
      <c r="A7606" s="2">
        <v>43234</v>
      </c>
      <c r="B7606" s="40" t="s">
        <v>38</v>
      </c>
      <c r="C7606" s="10">
        <v>76</v>
      </c>
      <c r="D7606" s="10">
        <v>339</v>
      </c>
      <c r="E7606" s="10" t="s">
        <v>37</v>
      </c>
      <c r="F7606" t="s">
        <v>360</v>
      </c>
      <c r="H7606" t="s">
        <v>161</v>
      </c>
    </row>
    <row r="7607" spans="1:8" x14ac:dyDescent="0.35">
      <c r="A7607" s="2">
        <v>43234</v>
      </c>
      <c r="B7607" s="40" t="s">
        <v>38</v>
      </c>
      <c r="C7607" s="10">
        <v>73</v>
      </c>
      <c r="D7607" s="10">
        <v>281</v>
      </c>
      <c r="E7607" s="10" t="s">
        <v>37</v>
      </c>
      <c r="F7607" t="s">
        <v>360</v>
      </c>
      <c r="H7607" t="s">
        <v>161</v>
      </c>
    </row>
    <row r="7608" spans="1:8" x14ac:dyDescent="0.35">
      <c r="A7608" s="2">
        <v>43234</v>
      </c>
      <c r="B7608" s="40" t="s">
        <v>38</v>
      </c>
      <c r="C7608" s="10">
        <v>62</v>
      </c>
      <c r="D7608" s="10">
        <v>187</v>
      </c>
      <c r="E7608" s="10" t="s">
        <v>32</v>
      </c>
      <c r="F7608" t="s">
        <v>360</v>
      </c>
    </row>
    <row r="7609" spans="1:8" x14ac:dyDescent="0.35">
      <c r="A7609" s="2">
        <v>43234</v>
      </c>
      <c r="B7609" s="40" t="s">
        <v>38</v>
      </c>
      <c r="C7609" s="10">
        <v>68</v>
      </c>
      <c r="D7609" s="10">
        <v>246</v>
      </c>
      <c r="E7609" s="10" t="s">
        <v>32</v>
      </c>
      <c r="F7609" t="s">
        <v>360</v>
      </c>
      <c r="H7609" t="s">
        <v>161</v>
      </c>
    </row>
    <row r="7610" spans="1:8" x14ac:dyDescent="0.35">
      <c r="A7610" s="2">
        <v>43234</v>
      </c>
      <c r="B7610" s="40" t="s">
        <v>38</v>
      </c>
      <c r="C7610" s="10">
        <v>68</v>
      </c>
      <c r="D7610" s="10">
        <v>289</v>
      </c>
      <c r="E7610" s="10" t="s">
        <v>32</v>
      </c>
      <c r="F7610" t="s">
        <v>360</v>
      </c>
      <c r="H7610" t="s">
        <v>161</v>
      </c>
    </row>
    <row r="7611" spans="1:8" x14ac:dyDescent="0.35">
      <c r="A7611" s="2">
        <v>43234</v>
      </c>
      <c r="B7611" s="40" t="s">
        <v>38</v>
      </c>
      <c r="C7611" s="10">
        <v>76</v>
      </c>
      <c r="D7611" s="10">
        <v>303</v>
      </c>
      <c r="E7611" s="10" t="s">
        <v>37</v>
      </c>
      <c r="F7611" t="s">
        <v>360</v>
      </c>
    </row>
    <row r="7612" spans="1:8" x14ac:dyDescent="0.35">
      <c r="A7612" s="2">
        <v>43234</v>
      </c>
      <c r="B7612" s="40" t="s">
        <v>38</v>
      </c>
      <c r="C7612" s="10">
        <v>73</v>
      </c>
      <c r="D7612" s="10">
        <v>303</v>
      </c>
      <c r="E7612" s="10" t="s">
        <v>34</v>
      </c>
      <c r="F7612" t="s">
        <v>646</v>
      </c>
    </row>
    <row r="7613" spans="1:8" x14ac:dyDescent="0.35">
      <c r="A7613" s="2">
        <v>43234</v>
      </c>
      <c r="B7613" s="40" t="s">
        <v>38</v>
      </c>
      <c r="C7613" s="10">
        <v>68</v>
      </c>
      <c r="D7613" s="10">
        <v>245</v>
      </c>
      <c r="E7613" s="10" t="s">
        <v>159</v>
      </c>
      <c r="F7613" t="s">
        <v>360</v>
      </c>
    </row>
    <row r="7614" spans="1:8" x14ac:dyDescent="0.35">
      <c r="A7614" s="2">
        <v>43234</v>
      </c>
      <c r="B7614" s="40" t="s">
        <v>38</v>
      </c>
      <c r="C7614" s="10">
        <v>66</v>
      </c>
      <c r="D7614" s="10">
        <v>239</v>
      </c>
      <c r="E7614" s="10" t="s">
        <v>32</v>
      </c>
      <c r="F7614" t="s">
        <v>198</v>
      </c>
      <c r="H7614" t="s">
        <v>161</v>
      </c>
    </row>
    <row r="7615" spans="1:8" x14ac:dyDescent="0.35">
      <c r="A7615" s="2">
        <v>43234</v>
      </c>
      <c r="B7615" s="40" t="s">
        <v>38</v>
      </c>
      <c r="C7615" s="10">
        <v>68</v>
      </c>
      <c r="D7615" s="10">
        <v>223</v>
      </c>
      <c r="E7615" s="10" t="s">
        <v>32</v>
      </c>
      <c r="F7615" t="s">
        <v>360</v>
      </c>
      <c r="H7615" t="s">
        <v>161</v>
      </c>
    </row>
    <row r="7616" spans="1:8" x14ac:dyDescent="0.35">
      <c r="A7616" s="2">
        <v>43234</v>
      </c>
      <c r="B7616" s="40" t="s">
        <v>38</v>
      </c>
      <c r="C7616" s="10">
        <v>69</v>
      </c>
      <c r="D7616" s="10">
        <v>264</v>
      </c>
      <c r="E7616" s="10" t="s">
        <v>32</v>
      </c>
      <c r="F7616" t="s">
        <v>476</v>
      </c>
    </row>
    <row r="7617" spans="1:8" x14ac:dyDescent="0.35">
      <c r="A7617" s="2">
        <v>43234</v>
      </c>
      <c r="B7617" s="40" t="s">
        <v>38</v>
      </c>
      <c r="C7617" s="10">
        <v>70</v>
      </c>
      <c r="D7617" s="10">
        <v>256</v>
      </c>
      <c r="E7617" s="10" t="s">
        <v>32</v>
      </c>
      <c r="F7617" t="s">
        <v>646</v>
      </c>
    </row>
    <row r="7618" spans="1:8" x14ac:dyDescent="0.35">
      <c r="A7618" s="2">
        <v>43234</v>
      </c>
      <c r="B7618" s="40" t="s">
        <v>38</v>
      </c>
      <c r="C7618" s="10">
        <v>74</v>
      </c>
      <c r="D7618" s="10">
        <v>333</v>
      </c>
      <c r="E7618" s="10" t="s">
        <v>32</v>
      </c>
      <c r="F7618" t="s">
        <v>646</v>
      </c>
      <c r="H7618" t="s">
        <v>161</v>
      </c>
    </row>
    <row r="7619" spans="1:8" x14ac:dyDescent="0.35">
      <c r="A7619" s="2">
        <v>43234</v>
      </c>
      <c r="B7619" s="40" t="s">
        <v>38</v>
      </c>
      <c r="C7619" s="10">
        <v>76</v>
      </c>
      <c r="D7619" s="10">
        <v>331</v>
      </c>
      <c r="E7619" s="10" t="s">
        <v>32</v>
      </c>
      <c r="F7619" t="s">
        <v>476</v>
      </c>
    </row>
    <row r="7620" spans="1:8" x14ac:dyDescent="0.35">
      <c r="A7620" s="2">
        <v>43234</v>
      </c>
      <c r="B7620" s="40" t="s">
        <v>38</v>
      </c>
      <c r="C7620" s="10">
        <v>68</v>
      </c>
      <c r="D7620" s="10">
        <v>280</v>
      </c>
      <c r="E7620" s="10" t="s">
        <v>32</v>
      </c>
      <c r="F7620" t="s">
        <v>293</v>
      </c>
    </row>
    <row r="7621" spans="1:8" x14ac:dyDescent="0.35">
      <c r="A7621" s="2">
        <v>43234</v>
      </c>
      <c r="B7621" s="40" t="s">
        <v>38</v>
      </c>
      <c r="C7621" s="10">
        <v>77</v>
      </c>
      <c r="D7621" s="10">
        <v>261</v>
      </c>
      <c r="E7621" s="10" t="s">
        <v>37</v>
      </c>
      <c r="F7621" t="s">
        <v>360</v>
      </c>
    </row>
    <row r="7622" spans="1:8" x14ac:dyDescent="0.35">
      <c r="A7622" s="2">
        <v>43234</v>
      </c>
      <c r="B7622" s="40" t="s">
        <v>38</v>
      </c>
      <c r="C7622" s="10">
        <v>66</v>
      </c>
      <c r="D7622" s="10">
        <v>207</v>
      </c>
      <c r="E7622" s="10" t="s">
        <v>32</v>
      </c>
      <c r="F7622" t="s">
        <v>646</v>
      </c>
    </row>
    <row r="7623" spans="1:8" x14ac:dyDescent="0.35">
      <c r="A7623" s="2">
        <v>43234</v>
      </c>
      <c r="B7623" s="40" t="s">
        <v>38</v>
      </c>
      <c r="C7623" s="10">
        <v>63</v>
      </c>
      <c r="D7623" s="10">
        <v>173</v>
      </c>
      <c r="E7623" s="10" t="s">
        <v>159</v>
      </c>
      <c r="F7623" t="s">
        <v>360</v>
      </c>
    </row>
    <row r="7624" spans="1:8" x14ac:dyDescent="0.35">
      <c r="A7624" s="2">
        <v>43234</v>
      </c>
      <c r="B7624" s="40" t="s">
        <v>38</v>
      </c>
      <c r="C7624" s="10">
        <v>72</v>
      </c>
      <c r="D7624" s="10">
        <v>311</v>
      </c>
      <c r="E7624" s="10" t="s">
        <v>32</v>
      </c>
      <c r="F7624" t="s">
        <v>360</v>
      </c>
    </row>
    <row r="7625" spans="1:8" x14ac:dyDescent="0.35">
      <c r="A7625" s="2">
        <v>43234</v>
      </c>
      <c r="B7625" s="40" t="s">
        <v>38</v>
      </c>
      <c r="C7625" s="10">
        <v>68</v>
      </c>
      <c r="D7625" s="10">
        <v>266</v>
      </c>
      <c r="E7625" s="10" t="s">
        <v>32</v>
      </c>
      <c r="F7625" t="s">
        <v>646</v>
      </c>
      <c r="H7625" t="s">
        <v>161</v>
      </c>
    </row>
    <row r="7626" spans="1:8" x14ac:dyDescent="0.35">
      <c r="A7626" s="2">
        <v>43234</v>
      </c>
      <c r="B7626" s="40" t="s">
        <v>38</v>
      </c>
      <c r="C7626" s="10">
        <v>71</v>
      </c>
      <c r="D7626" s="10">
        <v>284</v>
      </c>
      <c r="E7626" s="10" t="s">
        <v>37</v>
      </c>
      <c r="F7626" t="s">
        <v>293</v>
      </c>
    </row>
    <row r="7627" spans="1:8" x14ac:dyDescent="0.35">
      <c r="A7627" s="2">
        <v>43234</v>
      </c>
      <c r="B7627" s="40" t="s">
        <v>38</v>
      </c>
      <c r="C7627" s="10">
        <v>68</v>
      </c>
      <c r="D7627" s="10">
        <v>218</v>
      </c>
      <c r="E7627" s="10" t="s">
        <v>32</v>
      </c>
      <c r="F7627" t="s">
        <v>360</v>
      </c>
    </row>
    <row r="7628" spans="1:8" x14ac:dyDescent="0.35">
      <c r="A7628" s="2">
        <v>43234</v>
      </c>
      <c r="B7628" s="40" t="s">
        <v>38</v>
      </c>
      <c r="C7628" s="10">
        <v>74</v>
      </c>
      <c r="D7628" s="10">
        <v>327</v>
      </c>
      <c r="E7628" s="10" t="s">
        <v>32</v>
      </c>
      <c r="F7628" t="s">
        <v>360</v>
      </c>
      <c r="H7628" t="s">
        <v>161</v>
      </c>
    </row>
    <row r="7629" spans="1:8" x14ac:dyDescent="0.35">
      <c r="A7629" s="2">
        <v>43234</v>
      </c>
      <c r="B7629" s="40" t="s">
        <v>38</v>
      </c>
      <c r="C7629" s="10">
        <v>74</v>
      </c>
      <c r="D7629" s="10">
        <v>288</v>
      </c>
      <c r="E7629" s="10" t="s">
        <v>37</v>
      </c>
      <c r="F7629" t="s">
        <v>360</v>
      </c>
    </row>
    <row r="7630" spans="1:8" x14ac:dyDescent="0.35">
      <c r="A7630" s="2">
        <v>43234</v>
      </c>
      <c r="B7630" s="40" t="s">
        <v>38</v>
      </c>
      <c r="C7630" s="10">
        <v>74</v>
      </c>
      <c r="D7630" s="10">
        <v>273</v>
      </c>
      <c r="E7630" s="10" t="s">
        <v>34</v>
      </c>
      <c r="F7630" t="s">
        <v>476</v>
      </c>
    </row>
    <row r="7631" spans="1:8" x14ac:dyDescent="0.35">
      <c r="A7631" s="2">
        <v>43234</v>
      </c>
      <c r="B7631" s="40" t="s">
        <v>38</v>
      </c>
      <c r="C7631" s="10">
        <v>68</v>
      </c>
      <c r="D7631" s="10">
        <v>196</v>
      </c>
      <c r="E7631" s="10" t="s">
        <v>37</v>
      </c>
      <c r="F7631" t="s">
        <v>360</v>
      </c>
      <c r="H7631" t="s">
        <v>161</v>
      </c>
    </row>
    <row r="7632" spans="1:8" x14ac:dyDescent="0.35">
      <c r="A7632" s="2">
        <v>43234</v>
      </c>
      <c r="B7632" s="40" t="s">
        <v>38</v>
      </c>
      <c r="C7632" s="10">
        <v>75</v>
      </c>
      <c r="D7632" s="10">
        <v>309</v>
      </c>
      <c r="E7632" s="10" t="s">
        <v>159</v>
      </c>
      <c r="F7632" t="s">
        <v>360</v>
      </c>
    </row>
    <row r="7633" spans="1:24" x14ac:dyDescent="0.35">
      <c r="A7633" s="2">
        <v>43234</v>
      </c>
      <c r="B7633" s="40" t="s">
        <v>38</v>
      </c>
      <c r="C7633" s="10">
        <v>71</v>
      </c>
      <c r="D7633" s="10">
        <v>268</v>
      </c>
      <c r="E7633" s="10" t="s">
        <v>37</v>
      </c>
      <c r="F7633" t="s">
        <v>360</v>
      </c>
    </row>
    <row r="7634" spans="1:24" x14ac:dyDescent="0.35">
      <c r="A7634" s="2">
        <v>43234</v>
      </c>
      <c r="B7634" s="40" t="s">
        <v>38</v>
      </c>
      <c r="C7634" s="10">
        <v>66</v>
      </c>
      <c r="D7634" s="10">
        <v>196</v>
      </c>
      <c r="E7634" s="10" t="s">
        <v>32</v>
      </c>
      <c r="F7634" t="s">
        <v>360</v>
      </c>
      <c r="H7634" t="s">
        <v>161</v>
      </c>
    </row>
    <row r="7635" spans="1:24" x14ac:dyDescent="0.35">
      <c r="A7635" s="2">
        <v>43234</v>
      </c>
      <c r="B7635" s="40" t="s">
        <v>38</v>
      </c>
      <c r="C7635" s="10">
        <v>77</v>
      </c>
      <c r="D7635" s="10">
        <v>343</v>
      </c>
      <c r="E7635" s="10" t="s">
        <v>159</v>
      </c>
      <c r="F7635" t="s">
        <v>198</v>
      </c>
    </row>
    <row r="7636" spans="1:24" x14ac:dyDescent="0.35">
      <c r="A7636" s="2">
        <v>43234</v>
      </c>
      <c r="B7636" s="40" t="s">
        <v>38</v>
      </c>
      <c r="C7636" s="10">
        <v>73</v>
      </c>
      <c r="D7636" s="10">
        <v>327</v>
      </c>
      <c r="E7636" s="10" t="s">
        <v>32</v>
      </c>
      <c r="F7636" t="s">
        <v>360</v>
      </c>
      <c r="H7636" t="s">
        <v>161</v>
      </c>
    </row>
    <row r="7637" spans="1:24" x14ac:dyDescent="0.35">
      <c r="A7637" s="2">
        <v>43234</v>
      </c>
      <c r="B7637" s="40" t="s">
        <v>38</v>
      </c>
      <c r="C7637" s="10">
        <v>68</v>
      </c>
      <c r="D7637" s="10">
        <v>228</v>
      </c>
      <c r="E7637" s="10" t="s">
        <v>32</v>
      </c>
      <c r="F7637" t="s">
        <v>360</v>
      </c>
      <c r="H7637" t="s">
        <v>161</v>
      </c>
    </row>
    <row r="7638" spans="1:24" x14ac:dyDescent="0.35">
      <c r="A7638" s="2">
        <v>43234</v>
      </c>
      <c r="B7638" s="40" t="s">
        <v>38</v>
      </c>
      <c r="C7638" s="10">
        <v>69</v>
      </c>
      <c r="D7638" s="10">
        <v>303</v>
      </c>
      <c r="E7638" s="10" t="s">
        <v>37</v>
      </c>
      <c r="F7638" t="s">
        <v>646</v>
      </c>
    </row>
    <row r="7639" spans="1:24" x14ac:dyDescent="0.35">
      <c r="A7639" s="2">
        <v>43234</v>
      </c>
      <c r="B7639" s="40" t="s">
        <v>38</v>
      </c>
      <c r="C7639" s="10">
        <v>75</v>
      </c>
      <c r="D7639" s="10">
        <v>281</v>
      </c>
      <c r="E7639" s="10" t="s">
        <v>32</v>
      </c>
      <c r="F7639" t="s">
        <v>360</v>
      </c>
      <c r="H7639" t="s">
        <v>161</v>
      </c>
    </row>
    <row r="7640" spans="1:24" x14ac:dyDescent="0.35">
      <c r="A7640" s="2">
        <v>43234</v>
      </c>
      <c r="B7640" s="40" t="s">
        <v>38</v>
      </c>
      <c r="C7640" s="10">
        <v>68</v>
      </c>
      <c r="D7640" s="10">
        <v>226</v>
      </c>
      <c r="E7640" s="10" t="s">
        <v>33</v>
      </c>
      <c r="F7640" t="s">
        <v>646</v>
      </c>
    </row>
    <row r="7641" spans="1:24" x14ac:dyDescent="0.35">
      <c r="A7641" s="2">
        <v>43234</v>
      </c>
      <c r="B7641" s="40" t="s">
        <v>38</v>
      </c>
      <c r="C7641" s="10">
        <v>65</v>
      </c>
      <c r="D7641" s="10">
        <v>257</v>
      </c>
      <c r="E7641" s="10" t="s">
        <v>37</v>
      </c>
      <c r="F7641" t="s">
        <v>360</v>
      </c>
      <c r="H7641" t="s">
        <v>161</v>
      </c>
    </row>
    <row r="7642" spans="1:24" x14ac:dyDescent="0.35">
      <c r="A7642" s="2">
        <v>43234</v>
      </c>
      <c r="B7642" s="40" t="s">
        <v>38</v>
      </c>
      <c r="C7642" s="10">
        <v>70</v>
      </c>
      <c r="D7642" s="10">
        <v>326</v>
      </c>
      <c r="E7642" s="10" t="s">
        <v>32</v>
      </c>
      <c r="F7642" t="s">
        <v>293</v>
      </c>
      <c r="H7642" t="s">
        <v>161</v>
      </c>
    </row>
    <row r="7643" spans="1:24" x14ac:dyDescent="0.35">
      <c r="A7643" s="2">
        <v>43234</v>
      </c>
      <c r="B7643" s="40" t="s">
        <v>38</v>
      </c>
      <c r="C7643" s="10">
        <v>68</v>
      </c>
      <c r="D7643" s="10">
        <v>299</v>
      </c>
      <c r="E7643" s="10" t="s">
        <v>34</v>
      </c>
      <c r="F7643" t="s">
        <v>476</v>
      </c>
    </row>
    <row r="7644" spans="1:24" x14ac:dyDescent="0.35">
      <c r="A7644" s="2">
        <v>43234</v>
      </c>
      <c r="B7644" s="40" t="s">
        <v>38</v>
      </c>
      <c r="C7644" s="10">
        <v>67</v>
      </c>
      <c r="D7644" s="10">
        <v>256</v>
      </c>
      <c r="E7644" s="10" t="s">
        <v>32</v>
      </c>
      <c r="F7644" t="s">
        <v>293</v>
      </c>
    </row>
    <row r="7645" spans="1:24" x14ac:dyDescent="0.35">
      <c r="A7645" s="2">
        <v>43234</v>
      </c>
      <c r="B7645" s="40" t="s">
        <v>38</v>
      </c>
      <c r="C7645" s="10">
        <v>72</v>
      </c>
      <c r="D7645" s="10">
        <v>260</v>
      </c>
      <c r="E7645" s="10" t="s">
        <v>32</v>
      </c>
      <c r="F7645" t="s">
        <v>476</v>
      </c>
      <c r="N7645" t="s">
        <v>42</v>
      </c>
      <c r="O7645" t="s">
        <v>39</v>
      </c>
      <c r="P7645" t="s">
        <v>40</v>
      </c>
      <c r="Q7645" t="s">
        <v>36</v>
      </c>
      <c r="R7645" t="s">
        <v>33</v>
      </c>
      <c r="S7645" t="s">
        <v>34</v>
      </c>
      <c r="T7645" t="s">
        <v>32</v>
      </c>
      <c r="U7645" t="s">
        <v>37</v>
      </c>
      <c r="V7645" t="s">
        <v>159</v>
      </c>
    </row>
    <row r="7646" spans="1:24" x14ac:dyDescent="0.35">
      <c r="A7646" s="2">
        <v>43234</v>
      </c>
      <c r="B7646" s="40" t="s">
        <v>38</v>
      </c>
      <c r="C7646" s="10">
        <v>73</v>
      </c>
      <c r="D7646" s="10">
        <v>288</v>
      </c>
      <c r="E7646" s="10" t="s">
        <v>37</v>
      </c>
      <c r="F7646" t="s">
        <v>198</v>
      </c>
      <c r="H7646" t="s">
        <v>161</v>
      </c>
      <c r="J7646">
        <f>AVERAGE(D7598:D7647)</f>
        <v>272.86</v>
      </c>
      <c r="N7646" s="5">
        <f>COUNTIF(E7597:E7647,"VA")</f>
        <v>0</v>
      </c>
      <c r="O7646" s="5">
        <f>COUNTIF(E7597:E7647,"VB")</f>
        <v>0</v>
      </c>
      <c r="P7646" s="5">
        <f>COUNTIF(E7597:E7647,"VIA0")</f>
        <v>0</v>
      </c>
      <c r="Q7646" s="5">
        <f>COUNTIF(E7597:E7647,"VIA1")</f>
        <v>0</v>
      </c>
      <c r="R7646" s="5">
        <f>COUNTIF(E7596:E7647,"VIA2")</f>
        <v>3</v>
      </c>
      <c r="S7646" s="5">
        <f>COUNTIF(E7596:E7647,"VIA3")</f>
        <v>5</v>
      </c>
      <c r="T7646" s="5">
        <f>COUNTIF(E7596:E7647,"VIA4")</f>
        <v>26</v>
      </c>
      <c r="U7646" s="5">
        <f>COUNTIF(E7597:E7647,"VIB")</f>
        <v>12</v>
      </c>
      <c r="V7646" s="5">
        <f>COUNTIF(E7597:E7647,"VII")</f>
        <v>4</v>
      </c>
      <c r="W7646">
        <f>AVERAGE(C7598:C7647)</f>
        <v>70.52</v>
      </c>
      <c r="X7646">
        <f>AVERAGE(D7598:D7647)</f>
        <v>272.86</v>
      </c>
    </row>
    <row r="7647" spans="1:24" s="4" customFormat="1" x14ac:dyDescent="0.35">
      <c r="A7647" s="3">
        <v>43234</v>
      </c>
      <c r="B7647" s="44" t="s">
        <v>38</v>
      </c>
      <c r="C7647" s="11">
        <v>68</v>
      </c>
      <c r="D7647" s="11">
        <v>253</v>
      </c>
      <c r="E7647" s="11" t="s">
        <v>32</v>
      </c>
      <c r="F7647" s="4" t="s">
        <v>198</v>
      </c>
      <c r="N7647" s="6">
        <f>N7646/50*100</f>
        <v>0</v>
      </c>
      <c r="O7647" s="6">
        <f t="shared" ref="O7647:V7647" si="253">O7646/50*100</f>
        <v>0</v>
      </c>
      <c r="P7647" s="6">
        <f t="shared" si="253"/>
        <v>0</v>
      </c>
      <c r="Q7647" s="6">
        <f t="shared" si="253"/>
        <v>0</v>
      </c>
      <c r="R7647" s="6">
        <f t="shared" si="253"/>
        <v>6</v>
      </c>
      <c r="S7647" s="6">
        <f t="shared" si="253"/>
        <v>10</v>
      </c>
      <c r="T7647" s="6">
        <f t="shared" si="253"/>
        <v>52</v>
      </c>
      <c r="U7647" s="6">
        <f t="shared" si="253"/>
        <v>24</v>
      </c>
      <c r="V7647" s="6">
        <f t="shared" si="253"/>
        <v>8</v>
      </c>
    </row>
    <row r="7648" spans="1:24" x14ac:dyDescent="0.35">
      <c r="A7648" s="2">
        <v>43234</v>
      </c>
      <c r="B7648" s="40" t="s">
        <v>29</v>
      </c>
      <c r="C7648" s="10">
        <v>123</v>
      </c>
      <c r="D7648" s="10">
        <v>2050</v>
      </c>
      <c r="E7648" s="10" t="s">
        <v>59</v>
      </c>
    </row>
    <row r="7649" spans="1:9" x14ac:dyDescent="0.35">
      <c r="A7649" s="2">
        <v>43234</v>
      </c>
      <c r="B7649" s="40" t="s">
        <v>29</v>
      </c>
      <c r="C7649" s="10">
        <v>149</v>
      </c>
      <c r="D7649" s="10">
        <v>4082</v>
      </c>
      <c r="E7649" s="10" t="s">
        <v>59</v>
      </c>
    </row>
    <row r="7650" spans="1:9" x14ac:dyDescent="0.35">
      <c r="A7650" s="2">
        <v>43234</v>
      </c>
      <c r="B7650" s="40" t="s">
        <v>29</v>
      </c>
      <c r="C7650" s="10">
        <v>214</v>
      </c>
      <c r="D7650" s="10">
        <v>13533</v>
      </c>
      <c r="E7650" s="10" t="s">
        <v>59</v>
      </c>
    </row>
    <row r="7651" spans="1:9" x14ac:dyDescent="0.35">
      <c r="A7651" s="2">
        <v>43234</v>
      </c>
      <c r="B7651" s="40" t="s">
        <v>29</v>
      </c>
      <c r="C7651" s="10">
        <v>118</v>
      </c>
      <c r="D7651" s="10">
        <v>1889</v>
      </c>
      <c r="E7651" s="10" t="s">
        <v>59</v>
      </c>
    </row>
    <row r="7652" spans="1:9" x14ac:dyDescent="0.35">
      <c r="A7652" s="2">
        <v>43234</v>
      </c>
      <c r="B7652" s="40" t="s">
        <v>29</v>
      </c>
      <c r="C7652" s="10">
        <v>102</v>
      </c>
      <c r="D7652" s="10">
        <v>1361</v>
      </c>
      <c r="E7652" s="10" t="s">
        <v>59</v>
      </c>
    </row>
    <row r="7653" spans="1:9" x14ac:dyDescent="0.35">
      <c r="A7653" s="2">
        <v>43234</v>
      </c>
      <c r="B7653" s="40" t="s">
        <v>29</v>
      </c>
      <c r="C7653" s="10">
        <v>132</v>
      </c>
      <c r="D7653" s="10">
        <v>2643</v>
      </c>
      <c r="E7653" s="10" t="s">
        <v>59</v>
      </c>
    </row>
    <row r="7654" spans="1:9" x14ac:dyDescent="0.35">
      <c r="A7654" s="2">
        <v>43234</v>
      </c>
      <c r="B7654" s="40" t="s">
        <v>29</v>
      </c>
      <c r="C7654" s="10">
        <v>97</v>
      </c>
      <c r="D7654" s="10">
        <v>1128</v>
      </c>
      <c r="E7654" s="10" t="s">
        <v>59</v>
      </c>
    </row>
    <row r="7655" spans="1:9" x14ac:dyDescent="0.35">
      <c r="A7655" s="2">
        <v>43234</v>
      </c>
      <c r="B7655" s="40" t="s">
        <v>29</v>
      </c>
      <c r="C7655" s="10">
        <v>87</v>
      </c>
      <c r="D7655" s="10">
        <v>825</v>
      </c>
      <c r="E7655" s="10" t="s">
        <v>59</v>
      </c>
    </row>
    <row r="7656" spans="1:9" x14ac:dyDescent="0.35">
      <c r="A7656" s="2">
        <v>43234</v>
      </c>
      <c r="B7656" s="40" t="s">
        <v>29</v>
      </c>
      <c r="C7656" s="10">
        <v>78</v>
      </c>
      <c r="D7656" s="10">
        <v>380</v>
      </c>
      <c r="E7656" s="10" t="s">
        <v>159</v>
      </c>
      <c r="F7656" t="s">
        <v>198</v>
      </c>
    </row>
    <row r="7657" spans="1:9" x14ac:dyDescent="0.35">
      <c r="A7657" s="2">
        <v>43234</v>
      </c>
      <c r="B7657" s="40" t="s">
        <v>29</v>
      </c>
      <c r="C7657" s="10">
        <v>77</v>
      </c>
      <c r="D7657" s="10">
        <v>319</v>
      </c>
      <c r="E7657" s="10" t="s">
        <v>159</v>
      </c>
      <c r="F7657" t="s">
        <v>360</v>
      </c>
    </row>
    <row r="7658" spans="1:9" x14ac:dyDescent="0.35">
      <c r="A7658" s="2">
        <v>43234</v>
      </c>
      <c r="B7658" s="40" t="s">
        <v>29</v>
      </c>
      <c r="C7658" s="10">
        <v>66</v>
      </c>
      <c r="D7658" s="10">
        <v>265</v>
      </c>
      <c r="E7658" s="10" t="s">
        <v>34</v>
      </c>
      <c r="F7658" t="s">
        <v>476</v>
      </c>
      <c r="H7658" t="s">
        <v>161</v>
      </c>
    </row>
    <row r="7659" spans="1:9" x14ac:dyDescent="0.35">
      <c r="A7659" s="2">
        <v>43234</v>
      </c>
      <c r="B7659" s="40" t="s">
        <v>29</v>
      </c>
      <c r="C7659" s="10">
        <v>64</v>
      </c>
      <c r="D7659" s="10">
        <v>212</v>
      </c>
      <c r="E7659" s="10" t="s">
        <v>32</v>
      </c>
      <c r="F7659" t="s">
        <v>198</v>
      </c>
      <c r="H7659" t="s">
        <v>161</v>
      </c>
    </row>
    <row r="7660" spans="1:9" x14ac:dyDescent="0.35">
      <c r="A7660" s="2">
        <v>43234</v>
      </c>
      <c r="B7660" s="40" t="s">
        <v>29</v>
      </c>
      <c r="C7660" s="10">
        <v>71</v>
      </c>
      <c r="D7660" s="10">
        <v>269</v>
      </c>
      <c r="E7660" s="10" t="s">
        <v>32</v>
      </c>
      <c r="F7660" t="s">
        <v>293</v>
      </c>
      <c r="H7660" t="s">
        <v>161</v>
      </c>
    </row>
    <row r="7661" spans="1:9" x14ac:dyDescent="0.35">
      <c r="A7661" s="2">
        <v>43234</v>
      </c>
      <c r="B7661" s="40" t="s">
        <v>29</v>
      </c>
      <c r="C7661" s="10">
        <v>68</v>
      </c>
      <c r="D7661" s="10">
        <v>267</v>
      </c>
      <c r="E7661" s="10" t="s">
        <v>37</v>
      </c>
      <c r="F7661" t="s">
        <v>646</v>
      </c>
    </row>
    <row r="7662" spans="1:9" x14ac:dyDescent="0.35">
      <c r="A7662" s="2">
        <v>43234</v>
      </c>
      <c r="B7662" s="40" t="s">
        <v>29</v>
      </c>
      <c r="C7662" s="10">
        <v>67</v>
      </c>
      <c r="D7662" s="10">
        <v>282</v>
      </c>
      <c r="E7662" s="10" t="s">
        <v>32</v>
      </c>
      <c r="F7662" t="s">
        <v>646</v>
      </c>
    </row>
    <row r="7663" spans="1:9" x14ac:dyDescent="0.35">
      <c r="A7663" s="2">
        <v>43234</v>
      </c>
      <c r="B7663" s="40" t="s">
        <v>29</v>
      </c>
      <c r="C7663" s="10">
        <v>72</v>
      </c>
      <c r="D7663" s="10">
        <v>242</v>
      </c>
      <c r="E7663" s="10" t="s">
        <v>37</v>
      </c>
      <c r="F7663" t="s">
        <v>198</v>
      </c>
      <c r="H7663" t="s">
        <v>161</v>
      </c>
    </row>
    <row r="7664" spans="1:9" x14ac:dyDescent="0.35">
      <c r="A7664" s="2">
        <v>43234</v>
      </c>
      <c r="B7664" s="40" t="s">
        <v>29</v>
      </c>
      <c r="C7664" s="10">
        <v>71</v>
      </c>
      <c r="D7664" s="10">
        <v>245</v>
      </c>
      <c r="E7664" s="10" t="s">
        <v>32</v>
      </c>
      <c r="F7664" t="s">
        <v>293</v>
      </c>
      <c r="H7664" t="s">
        <v>161</v>
      </c>
      <c r="I7664" t="s">
        <v>860</v>
      </c>
    </row>
    <row r="7665" spans="1:8" x14ac:dyDescent="0.35">
      <c r="A7665" s="2">
        <v>43234</v>
      </c>
      <c r="B7665" s="40" t="s">
        <v>29</v>
      </c>
      <c r="C7665" s="10">
        <v>68</v>
      </c>
      <c r="D7665" s="10">
        <v>289</v>
      </c>
      <c r="E7665" s="10" t="s">
        <v>32</v>
      </c>
      <c r="F7665" t="s">
        <v>646</v>
      </c>
    </row>
    <row r="7666" spans="1:8" x14ac:dyDescent="0.35">
      <c r="A7666" s="2">
        <v>43234</v>
      </c>
      <c r="B7666" s="40" t="s">
        <v>29</v>
      </c>
      <c r="C7666" s="10">
        <v>68</v>
      </c>
      <c r="D7666" s="10">
        <v>270</v>
      </c>
      <c r="E7666" s="10" t="s">
        <v>37</v>
      </c>
      <c r="F7666" t="s">
        <v>293</v>
      </c>
    </row>
    <row r="7667" spans="1:8" x14ac:dyDescent="0.35">
      <c r="A7667" s="2">
        <v>43234</v>
      </c>
      <c r="B7667" s="40" t="s">
        <v>29</v>
      </c>
      <c r="C7667" s="10">
        <v>75</v>
      </c>
      <c r="D7667" s="10">
        <v>263</v>
      </c>
      <c r="E7667" s="10" t="s">
        <v>34</v>
      </c>
      <c r="F7667" t="s">
        <v>476</v>
      </c>
    </row>
    <row r="7668" spans="1:8" x14ac:dyDescent="0.35">
      <c r="A7668" s="2">
        <v>43234</v>
      </c>
      <c r="B7668" s="40" t="s">
        <v>29</v>
      </c>
      <c r="C7668" s="10">
        <v>63</v>
      </c>
      <c r="D7668" s="10">
        <v>155</v>
      </c>
      <c r="E7668" s="10" t="s">
        <v>32</v>
      </c>
      <c r="F7668" t="s">
        <v>476</v>
      </c>
    </row>
    <row r="7669" spans="1:8" x14ac:dyDescent="0.35">
      <c r="A7669" s="2">
        <v>43234</v>
      </c>
      <c r="B7669" s="40" t="s">
        <v>29</v>
      </c>
      <c r="C7669" s="10">
        <v>69</v>
      </c>
      <c r="D7669" s="10">
        <v>257</v>
      </c>
      <c r="E7669" s="10" t="s">
        <v>32</v>
      </c>
      <c r="F7669" t="s">
        <v>360</v>
      </c>
      <c r="H7669" t="s">
        <v>161</v>
      </c>
    </row>
    <row r="7670" spans="1:8" x14ac:dyDescent="0.35">
      <c r="A7670" s="2">
        <v>43234</v>
      </c>
      <c r="B7670" s="40" t="s">
        <v>29</v>
      </c>
      <c r="C7670" s="10">
        <v>73</v>
      </c>
      <c r="D7670" s="10">
        <v>326</v>
      </c>
      <c r="E7670" s="10" t="s">
        <v>159</v>
      </c>
      <c r="F7670" t="s">
        <v>198</v>
      </c>
    </row>
    <row r="7671" spans="1:8" x14ac:dyDescent="0.35">
      <c r="A7671" s="2">
        <v>43234</v>
      </c>
      <c r="B7671" s="40" t="s">
        <v>29</v>
      </c>
      <c r="C7671" s="10">
        <v>74</v>
      </c>
      <c r="D7671" s="10">
        <v>265</v>
      </c>
      <c r="E7671" s="10" t="s">
        <v>37</v>
      </c>
      <c r="F7671" t="s">
        <v>293</v>
      </c>
      <c r="H7671" t="s">
        <v>161</v>
      </c>
    </row>
    <row r="7672" spans="1:8" x14ac:dyDescent="0.35">
      <c r="A7672" s="2">
        <v>43234</v>
      </c>
      <c r="B7672" s="40" t="s">
        <v>29</v>
      </c>
      <c r="C7672" s="10">
        <v>69</v>
      </c>
      <c r="D7672" s="10">
        <v>246</v>
      </c>
      <c r="E7672" s="10" t="s">
        <v>37</v>
      </c>
      <c r="F7672" t="s">
        <v>646</v>
      </c>
      <c r="H7672" t="s">
        <v>161</v>
      </c>
    </row>
    <row r="7673" spans="1:8" x14ac:dyDescent="0.35">
      <c r="A7673" s="2">
        <v>43234</v>
      </c>
      <c r="B7673" s="40" t="s">
        <v>29</v>
      </c>
      <c r="C7673" s="10">
        <v>68</v>
      </c>
      <c r="D7673" s="10">
        <v>236</v>
      </c>
      <c r="E7673" s="10" t="s">
        <v>37</v>
      </c>
      <c r="F7673" t="s">
        <v>476</v>
      </c>
    </row>
    <row r="7674" spans="1:8" x14ac:dyDescent="0.35">
      <c r="A7674" s="2">
        <v>43234</v>
      </c>
      <c r="B7674" s="40" t="s">
        <v>29</v>
      </c>
      <c r="C7674" s="10">
        <v>76</v>
      </c>
      <c r="D7674" s="10">
        <v>266</v>
      </c>
      <c r="E7674" s="10" t="s">
        <v>32</v>
      </c>
      <c r="F7674" t="s">
        <v>646</v>
      </c>
    </row>
    <row r="7675" spans="1:8" x14ac:dyDescent="0.35">
      <c r="A7675" s="2">
        <v>43234</v>
      </c>
      <c r="B7675" s="40" t="s">
        <v>29</v>
      </c>
      <c r="C7675" s="10">
        <v>69</v>
      </c>
      <c r="D7675" s="10">
        <v>314</v>
      </c>
      <c r="E7675" s="10" t="s">
        <v>32</v>
      </c>
      <c r="F7675" t="s">
        <v>476</v>
      </c>
    </row>
    <row r="7676" spans="1:8" x14ac:dyDescent="0.35">
      <c r="A7676" s="2">
        <v>43234</v>
      </c>
      <c r="B7676" s="40" t="s">
        <v>29</v>
      </c>
      <c r="C7676" s="10">
        <v>71</v>
      </c>
      <c r="D7676" s="10">
        <v>266</v>
      </c>
      <c r="E7676" s="10" t="s">
        <v>32</v>
      </c>
      <c r="F7676" t="s">
        <v>293</v>
      </c>
    </row>
    <row r="7677" spans="1:8" x14ac:dyDescent="0.35">
      <c r="A7677" s="2">
        <v>43234</v>
      </c>
      <c r="B7677" s="40" t="s">
        <v>29</v>
      </c>
      <c r="C7677" s="10">
        <v>77</v>
      </c>
      <c r="D7677" s="10">
        <v>362</v>
      </c>
      <c r="E7677" s="10" t="s">
        <v>37</v>
      </c>
      <c r="F7677" t="s">
        <v>646</v>
      </c>
      <c r="H7677" t="s">
        <v>161</v>
      </c>
    </row>
    <row r="7678" spans="1:8" x14ac:dyDescent="0.35">
      <c r="A7678" s="2">
        <v>43234</v>
      </c>
      <c r="B7678" s="40" t="s">
        <v>29</v>
      </c>
      <c r="C7678" s="10">
        <v>74</v>
      </c>
      <c r="D7678" s="10">
        <v>265</v>
      </c>
      <c r="E7678" s="10" t="s">
        <v>159</v>
      </c>
      <c r="F7678" t="s">
        <v>360</v>
      </c>
    </row>
    <row r="7679" spans="1:8" x14ac:dyDescent="0.35">
      <c r="A7679" s="2">
        <v>43234</v>
      </c>
      <c r="B7679" s="40" t="s">
        <v>29</v>
      </c>
      <c r="C7679" s="10">
        <v>74</v>
      </c>
      <c r="D7679" s="10">
        <v>243</v>
      </c>
      <c r="E7679" s="10" t="s">
        <v>32</v>
      </c>
      <c r="F7679" t="s">
        <v>646</v>
      </c>
      <c r="H7679" t="s">
        <v>161</v>
      </c>
    </row>
    <row r="7680" spans="1:8" x14ac:dyDescent="0.35">
      <c r="A7680" s="2">
        <v>43234</v>
      </c>
      <c r="B7680" s="40" t="s">
        <v>29</v>
      </c>
      <c r="C7680" s="10">
        <v>77</v>
      </c>
      <c r="D7680" s="10">
        <v>323</v>
      </c>
      <c r="E7680" s="10" t="s">
        <v>37</v>
      </c>
      <c r="F7680" t="s">
        <v>476</v>
      </c>
    </row>
    <row r="7681" spans="1:8" x14ac:dyDescent="0.35">
      <c r="A7681" s="2">
        <v>43234</v>
      </c>
      <c r="B7681" s="40" t="s">
        <v>29</v>
      </c>
      <c r="C7681" s="10">
        <v>72</v>
      </c>
      <c r="D7681" s="10">
        <v>308</v>
      </c>
      <c r="E7681" s="10" t="s">
        <v>32</v>
      </c>
      <c r="F7681" t="s">
        <v>476</v>
      </c>
    </row>
    <row r="7682" spans="1:8" x14ac:dyDescent="0.35">
      <c r="A7682" s="2">
        <v>43234</v>
      </c>
      <c r="B7682" s="40" t="s">
        <v>29</v>
      </c>
      <c r="C7682" s="10">
        <v>68</v>
      </c>
      <c r="D7682" s="10">
        <v>293</v>
      </c>
      <c r="E7682" s="10" t="s">
        <v>32</v>
      </c>
      <c r="F7682" t="s">
        <v>476</v>
      </c>
      <c r="H7682" t="s">
        <v>161</v>
      </c>
    </row>
    <row r="7683" spans="1:8" x14ac:dyDescent="0.35">
      <c r="A7683" s="2">
        <v>43234</v>
      </c>
      <c r="B7683" s="40" t="s">
        <v>29</v>
      </c>
      <c r="C7683" s="10">
        <v>68</v>
      </c>
      <c r="D7683" s="10">
        <v>270</v>
      </c>
      <c r="E7683" s="10" t="s">
        <v>32</v>
      </c>
      <c r="F7683" t="s">
        <v>198</v>
      </c>
    </row>
    <row r="7684" spans="1:8" x14ac:dyDescent="0.35">
      <c r="A7684" s="2">
        <v>43234</v>
      </c>
      <c r="B7684" s="40" t="s">
        <v>29</v>
      </c>
      <c r="C7684" s="10">
        <v>70</v>
      </c>
      <c r="D7684" s="10">
        <v>255</v>
      </c>
      <c r="E7684" s="10" t="s">
        <v>37</v>
      </c>
      <c r="F7684" t="s">
        <v>198</v>
      </c>
      <c r="H7684" t="s">
        <v>161</v>
      </c>
    </row>
    <row r="7685" spans="1:8" x14ac:dyDescent="0.35">
      <c r="A7685" s="2">
        <v>43234</v>
      </c>
      <c r="B7685" s="40" t="s">
        <v>29</v>
      </c>
      <c r="C7685" s="10">
        <v>74</v>
      </c>
      <c r="D7685" s="10">
        <v>306</v>
      </c>
      <c r="E7685" s="10" t="s">
        <v>32</v>
      </c>
      <c r="F7685" t="s">
        <v>360</v>
      </c>
    </row>
    <row r="7686" spans="1:8" x14ac:dyDescent="0.35">
      <c r="A7686" s="2">
        <v>43234</v>
      </c>
      <c r="B7686" s="40" t="s">
        <v>29</v>
      </c>
      <c r="C7686" s="10">
        <v>67</v>
      </c>
      <c r="D7686" s="10">
        <v>228</v>
      </c>
      <c r="E7686" s="10" t="s">
        <v>37</v>
      </c>
      <c r="F7686" t="s">
        <v>198</v>
      </c>
    </row>
    <row r="7687" spans="1:8" x14ac:dyDescent="0.35">
      <c r="A7687" s="2">
        <v>43234</v>
      </c>
      <c r="B7687" s="40" t="s">
        <v>29</v>
      </c>
      <c r="C7687" s="10">
        <v>69</v>
      </c>
      <c r="D7687" s="10">
        <v>258</v>
      </c>
      <c r="E7687" s="10" t="s">
        <v>32</v>
      </c>
      <c r="F7687" t="s">
        <v>646</v>
      </c>
      <c r="H7687" t="s">
        <v>161</v>
      </c>
    </row>
    <row r="7688" spans="1:8" x14ac:dyDescent="0.35">
      <c r="A7688" s="2">
        <v>43234</v>
      </c>
      <c r="B7688" s="40" t="s">
        <v>29</v>
      </c>
      <c r="C7688" s="10">
        <v>68</v>
      </c>
      <c r="D7688" s="10">
        <v>272</v>
      </c>
      <c r="E7688" s="10" t="s">
        <v>32</v>
      </c>
      <c r="F7688" t="s">
        <v>476</v>
      </c>
      <c r="H7688" t="s">
        <v>161</v>
      </c>
    </row>
    <row r="7689" spans="1:8" x14ac:dyDescent="0.35">
      <c r="A7689" s="2">
        <v>43234</v>
      </c>
      <c r="B7689" s="40" t="s">
        <v>29</v>
      </c>
      <c r="C7689" s="10">
        <v>69</v>
      </c>
      <c r="D7689" s="10">
        <v>247</v>
      </c>
      <c r="E7689" s="10" t="s">
        <v>32</v>
      </c>
      <c r="F7689" t="s">
        <v>360</v>
      </c>
    </row>
    <row r="7690" spans="1:8" x14ac:dyDescent="0.35">
      <c r="A7690" s="2">
        <v>43234</v>
      </c>
      <c r="B7690" s="40" t="s">
        <v>29</v>
      </c>
      <c r="C7690" s="10">
        <v>66</v>
      </c>
      <c r="D7690" s="10">
        <v>225</v>
      </c>
      <c r="E7690" s="10" t="s">
        <v>37</v>
      </c>
      <c r="F7690" t="s">
        <v>198</v>
      </c>
    </row>
    <row r="7691" spans="1:8" x14ac:dyDescent="0.35">
      <c r="A7691" s="2">
        <v>43234</v>
      </c>
      <c r="B7691" s="40" t="s">
        <v>29</v>
      </c>
      <c r="C7691" s="10">
        <v>68</v>
      </c>
      <c r="D7691" s="10">
        <v>265</v>
      </c>
      <c r="E7691" s="10" t="s">
        <v>159</v>
      </c>
      <c r="F7691" t="s">
        <v>360</v>
      </c>
    </row>
    <row r="7692" spans="1:8" x14ac:dyDescent="0.35">
      <c r="A7692" s="2">
        <v>43234</v>
      </c>
      <c r="B7692" s="40" t="s">
        <v>29</v>
      </c>
      <c r="C7692" s="10">
        <v>74</v>
      </c>
      <c r="D7692" s="10">
        <v>292</v>
      </c>
      <c r="E7692" s="10" t="s">
        <v>32</v>
      </c>
      <c r="F7692" t="s">
        <v>198</v>
      </c>
    </row>
    <row r="7693" spans="1:8" x14ac:dyDescent="0.35">
      <c r="A7693" s="2">
        <v>43234</v>
      </c>
      <c r="B7693" s="40" t="s">
        <v>29</v>
      </c>
      <c r="C7693" s="10">
        <v>74</v>
      </c>
      <c r="D7693" s="10">
        <v>209</v>
      </c>
      <c r="E7693" s="10" t="s">
        <v>32</v>
      </c>
      <c r="F7693" t="s">
        <v>198</v>
      </c>
    </row>
    <row r="7694" spans="1:8" x14ac:dyDescent="0.35">
      <c r="A7694" s="2">
        <v>43234</v>
      </c>
      <c r="B7694" s="40" t="s">
        <v>29</v>
      </c>
      <c r="C7694" s="10">
        <v>73</v>
      </c>
      <c r="D7694" s="10">
        <v>303</v>
      </c>
      <c r="E7694" s="10" t="s">
        <v>37</v>
      </c>
      <c r="F7694" t="s">
        <v>646</v>
      </c>
      <c r="H7694" t="s">
        <v>161</v>
      </c>
    </row>
    <row r="7695" spans="1:8" x14ac:dyDescent="0.35">
      <c r="A7695" s="2">
        <v>43234</v>
      </c>
      <c r="B7695" s="40" t="s">
        <v>29</v>
      </c>
      <c r="C7695" s="10">
        <v>63</v>
      </c>
      <c r="D7695" s="10">
        <v>260</v>
      </c>
      <c r="E7695" s="10" t="s">
        <v>37</v>
      </c>
      <c r="F7695" t="s">
        <v>360</v>
      </c>
      <c r="H7695" t="s">
        <v>161</v>
      </c>
    </row>
    <row r="7696" spans="1:8" x14ac:dyDescent="0.35">
      <c r="A7696" s="2">
        <v>43234</v>
      </c>
      <c r="B7696" s="40" t="s">
        <v>29</v>
      </c>
      <c r="C7696" s="10">
        <v>65</v>
      </c>
      <c r="D7696" s="10">
        <v>246</v>
      </c>
      <c r="E7696" s="10" t="s">
        <v>32</v>
      </c>
      <c r="F7696" t="s">
        <v>646</v>
      </c>
    </row>
    <row r="7697" spans="1:24" x14ac:dyDescent="0.35">
      <c r="A7697" s="2">
        <v>43234</v>
      </c>
      <c r="B7697" s="40" t="s">
        <v>29</v>
      </c>
      <c r="C7697" s="10">
        <v>63</v>
      </c>
      <c r="D7697" s="10">
        <v>205</v>
      </c>
      <c r="E7697" s="10" t="s">
        <v>32</v>
      </c>
      <c r="F7697" t="s">
        <v>293</v>
      </c>
      <c r="H7697" t="s">
        <v>161</v>
      </c>
    </row>
    <row r="7698" spans="1:24" x14ac:dyDescent="0.35">
      <c r="A7698" s="2">
        <v>43234</v>
      </c>
      <c r="B7698" s="40" t="s">
        <v>29</v>
      </c>
      <c r="C7698" s="10">
        <v>71</v>
      </c>
      <c r="D7698" s="10">
        <v>311</v>
      </c>
      <c r="E7698" s="10" t="s">
        <v>32</v>
      </c>
      <c r="F7698" t="s">
        <v>646</v>
      </c>
      <c r="N7698" t="s">
        <v>42</v>
      </c>
      <c r="O7698" t="s">
        <v>39</v>
      </c>
      <c r="P7698" t="s">
        <v>40</v>
      </c>
      <c r="Q7698" t="s">
        <v>36</v>
      </c>
      <c r="R7698" t="s">
        <v>33</v>
      </c>
      <c r="S7698" t="s">
        <v>34</v>
      </c>
      <c r="T7698" t="s">
        <v>32</v>
      </c>
      <c r="U7698" t="s">
        <v>37</v>
      </c>
      <c r="V7698" t="s">
        <v>159</v>
      </c>
    </row>
    <row r="7699" spans="1:24" x14ac:dyDescent="0.35">
      <c r="A7699" s="2">
        <v>43234</v>
      </c>
      <c r="B7699" s="40" t="s">
        <v>29</v>
      </c>
      <c r="C7699" s="10">
        <v>68</v>
      </c>
      <c r="D7699" s="10">
        <v>289</v>
      </c>
      <c r="E7699" s="10" t="s">
        <v>32</v>
      </c>
      <c r="F7699" t="s">
        <v>646</v>
      </c>
      <c r="N7699">
        <f>N7704+N7646</f>
        <v>0</v>
      </c>
      <c r="O7699">
        <f t="shared" ref="O7699:V7699" si="254">O7704+O7646</f>
        <v>0</v>
      </c>
      <c r="P7699">
        <f t="shared" si="254"/>
        <v>0</v>
      </c>
      <c r="Q7699">
        <f t="shared" si="254"/>
        <v>1</v>
      </c>
      <c r="R7699">
        <f t="shared" si="254"/>
        <v>3</v>
      </c>
      <c r="S7699">
        <f t="shared" si="254"/>
        <v>8</v>
      </c>
      <c r="T7699">
        <f t="shared" si="254"/>
        <v>50</v>
      </c>
      <c r="U7699">
        <f t="shared" si="254"/>
        <v>27</v>
      </c>
      <c r="V7699">
        <f t="shared" si="254"/>
        <v>11</v>
      </c>
      <c r="W7699">
        <f>AVERAGE(C7656:C7705,C7598:C7647)</f>
        <v>70.39</v>
      </c>
      <c r="X7699">
        <f>AVERAGE(D7656:D7705,D7598:D7647)</f>
        <v>271.41000000000003</v>
      </c>
    </row>
    <row r="7700" spans="1:24" x14ac:dyDescent="0.35">
      <c r="A7700" s="2">
        <v>43234</v>
      </c>
      <c r="B7700" s="40" t="s">
        <v>29</v>
      </c>
      <c r="C7700" s="10">
        <v>73</v>
      </c>
      <c r="D7700" s="10">
        <v>327</v>
      </c>
      <c r="E7700" s="10" t="s">
        <v>159</v>
      </c>
      <c r="F7700" t="s">
        <v>360</v>
      </c>
    </row>
    <row r="7701" spans="1:24" x14ac:dyDescent="0.35">
      <c r="A7701" s="2">
        <v>43234</v>
      </c>
      <c r="B7701" s="40" t="s">
        <v>29</v>
      </c>
      <c r="C7701" s="10">
        <v>71</v>
      </c>
      <c r="D7701" s="10">
        <v>323</v>
      </c>
      <c r="E7701" s="10" t="s">
        <v>34</v>
      </c>
      <c r="F7701" t="s">
        <v>360</v>
      </c>
      <c r="H7701" t="s">
        <v>161</v>
      </c>
    </row>
    <row r="7702" spans="1:24" x14ac:dyDescent="0.35">
      <c r="A7702" s="2">
        <v>43234</v>
      </c>
      <c r="B7702" s="40" t="s">
        <v>29</v>
      </c>
      <c r="C7702" s="10">
        <v>64</v>
      </c>
      <c r="D7702" s="10">
        <v>240</v>
      </c>
      <c r="E7702" s="10" t="s">
        <v>36</v>
      </c>
      <c r="F7702" t="s">
        <v>476</v>
      </c>
    </row>
    <row r="7703" spans="1:24" x14ac:dyDescent="0.35">
      <c r="A7703" s="2">
        <v>43234</v>
      </c>
      <c r="B7703" s="40" t="s">
        <v>29</v>
      </c>
      <c r="C7703" s="10">
        <v>75</v>
      </c>
      <c r="D7703" s="10">
        <v>262</v>
      </c>
      <c r="E7703" s="10" t="s">
        <v>37</v>
      </c>
      <c r="F7703" t="s">
        <v>476</v>
      </c>
      <c r="N7703" t="s">
        <v>42</v>
      </c>
      <c r="O7703" t="s">
        <v>39</v>
      </c>
      <c r="P7703" t="s">
        <v>40</v>
      </c>
      <c r="Q7703" t="s">
        <v>36</v>
      </c>
      <c r="R7703" t="s">
        <v>33</v>
      </c>
      <c r="S7703" t="s">
        <v>34</v>
      </c>
      <c r="T7703" t="s">
        <v>32</v>
      </c>
      <c r="U7703" t="s">
        <v>37</v>
      </c>
      <c r="V7703" t="s">
        <v>159</v>
      </c>
    </row>
    <row r="7704" spans="1:24" x14ac:dyDescent="0.35">
      <c r="A7704" s="2">
        <v>43234</v>
      </c>
      <c r="B7704" s="40" t="s">
        <v>29</v>
      </c>
      <c r="C7704" s="10">
        <v>73</v>
      </c>
      <c r="D7704" s="10">
        <v>245</v>
      </c>
      <c r="E7704" s="10" t="s">
        <v>37</v>
      </c>
      <c r="F7704" t="s">
        <v>293</v>
      </c>
      <c r="N7704" s="5">
        <f>COUNTIF(E7655:E7705,"VA")</f>
        <v>0</v>
      </c>
      <c r="O7704" s="5">
        <f>COUNTIF(E7655:E7705,"VB")</f>
        <v>0</v>
      </c>
      <c r="P7704" s="5">
        <f>COUNTIF(E7655:E7705,"VIA0")</f>
        <v>0</v>
      </c>
      <c r="Q7704" s="5">
        <f>COUNTIF(E7655:E7705,"VIA1")</f>
        <v>1</v>
      </c>
      <c r="R7704" s="5">
        <f>COUNTIF(E7654:E7705,"VIA2")</f>
        <v>0</v>
      </c>
      <c r="S7704" s="5">
        <f>COUNTIF(E7654:E7705,"VIA3")</f>
        <v>3</v>
      </c>
      <c r="T7704" s="5">
        <f>COUNTIF(E7654:E7705,"VIA4")</f>
        <v>24</v>
      </c>
      <c r="U7704" s="5">
        <f>COUNTIF(E7655:E7705,"VIB")</f>
        <v>15</v>
      </c>
      <c r="V7704" s="5">
        <f>COUNTIF(E7655:E7705,"VII")</f>
        <v>7</v>
      </c>
      <c r="W7704">
        <f>AVERAGE(C7656:C7705)</f>
        <v>70.260000000000005</v>
      </c>
      <c r="X7704">
        <f>AVERAGE(D7656:D7705)</f>
        <v>269.95999999999998</v>
      </c>
    </row>
    <row r="7705" spans="1:24" s="4" customFormat="1" x14ac:dyDescent="0.35">
      <c r="A7705" s="3">
        <v>43234</v>
      </c>
      <c r="B7705" s="44" t="s">
        <v>29</v>
      </c>
      <c r="C7705" s="11">
        <v>68</v>
      </c>
      <c r="D7705" s="11">
        <v>232</v>
      </c>
      <c r="E7705" s="11" t="s">
        <v>159</v>
      </c>
      <c r="F7705" s="4" t="s">
        <v>198</v>
      </c>
      <c r="N7705" s="6">
        <f>N7704/50*100</f>
        <v>0</v>
      </c>
      <c r="O7705" s="6">
        <f t="shared" ref="O7705" si="255">O7704/50*100</f>
        <v>0</v>
      </c>
      <c r="P7705" s="6">
        <f t="shared" ref="P7705" si="256">P7704/50*100</f>
        <v>0</v>
      </c>
      <c r="Q7705" s="6">
        <f t="shared" ref="Q7705" si="257">Q7704/50*100</f>
        <v>2</v>
      </c>
      <c r="R7705" s="6">
        <f t="shared" ref="R7705" si="258">R7704/50*100</f>
        <v>0</v>
      </c>
      <c r="S7705" s="6">
        <f t="shared" ref="S7705" si="259">S7704/50*100</f>
        <v>6</v>
      </c>
      <c r="T7705" s="6">
        <f t="shared" ref="T7705" si="260">T7704/50*100</f>
        <v>48</v>
      </c>
      <c r="U7705" s="6">
        <f t="shared" ref="U7705" si="261">U7704/50*100</f>
        <v>30</v>
      </c>
      <c r="V7705" s="6">
        <f t="shared" ref="V7705" si="262">V7704/50*100</f>
        <v>14.000000000000002</v>
      </c>
    </row>
    <row r="7706" spans="1:24" x14ac:dyDescent="0.35">
      <c r="A7706" s="2">
        <v>43234</v>
      </c>
      <c r="B7706" s="40" t="s">
        <v>103</v>
      </c>
      <c r="C7706" s="10">
        <v>132</v>
      </c>
      <c r="D7706" s="10">
        <v>2798</v>
      </c>
      <c r="E7706" s="10" t="s">
        <v>59</v>
      </c>
      <c r="L7706">
        <f>COUNTIF(F7706:F8005,"F0")</f>
        <v>12</v>
      </c>
    </row>
    <row r="7707" spans="1:24" x14ac:dyDescent="0.35">
      <c r="A7707" s="2">
        <v>43234</v>
      </c>
      <c r="B7707" s="40" t="s">
        <v>103</v>
      </c>
      <c r="C7707" s="10">
        <v>98</v>
      </c>
      <c r="D7707" s="10">
        <v>998</v>
      </c>
      <c r="E7707" s="10" t="s">
        <v>59</v>
      </c>
    </row>
    <row r="7708" spans="1:24" x14ac:dyDescent="0.35">
      <c r="A7708" s="2">
        <v>43234</v>
      </c>
      <c r="B7708" s="40" t="s">
        <v>103</v>
      </c>
      <c r="C7708" s="10">
        <v>113</v>
      </c>
      <c r="D7708" s="10">
        <v>2149</v>
      </c>
      <c r="E7708" s="10" t="s">
        <v>59</v>
      </c>
    </row>
    <row r="7709" spans="1:24" x14ac:dyDescent="0.35">
      <c r="A7709" s="2">
        <v>43234</v>
      </c>
      <c r="B7709" s="40" t="s">
        <v>103</v>
      </c>
      <c r="C7709" s="10">
        <v>68</v>
      </c>
      <c r="D7709" s="10">
        <v>316</v>
      </c>
      <c r="E7709" s="10" t="s">
        <v>32</v>
      </c>
      <c r="F7709" t="s">
        <v>360</v>
      </c>
      <c r="G7709" t="s">
        <v>161</v>
      </c>
    </row>
    <row r="7710" spans="1:24" x14ac:dyDescent="0.35">
      <c r="A7710" s="2">
        <v>43234</v>
      </c>
      <c r="B7710" s="40" t="s">
        <v>103</v>
      </c>
      <c r="C7710" s="10">
        <v>64</v>
      </c>
      <c r="D7710" s="10">
        <v>248</v>
      </c>
      <c r="E7710" s="10" t="s">
        <v>159</v>
      </c>
      <c r="F7710" t="s">
        <v>360</v>
      </c>
    </row>
    <row r="7711" spans="1:24" x14ac:dyDescent="0.35">
      <c r="A7711" s="2">
        <v>43234</v>
      </c>
      <c r="B7711" s="40" t="s">
        <v>103</v>
      </c>
      <c r="C7711" s="10">
        <v>63</v>
      </c>
      <c r="D7711" s="10">
        <v>198</v>
      </c>
      <c r="E7711" s="10" t="s">
        <v>37</v>
      </c>
      <c r="F7711" t="s">
        <v>360</v>
      </c>
      <c r="G7711" t="s">
        <v>161</v>
      </c>
    </row>
    <row r="7712" spans="1:24" x14ac:dyDescent="0.35">
      <c r="A7712" s="2">
        <v>43234</v>
      </c>
      <c r="B7712" s="40" t="s">
        <v>103</v>
      </c>
      <c r="C7712" s="10">
        <v>74</v>
      </c>
      <c r="D7712" s="10">
        <v>285</v>
      </c>
      <c r="E7712" s="10" t="s">
        <v>37</v>
      </c>
      <c r="F7712" t="s">
        <v>198</v>
      </c>
      <c r="G7712" t="s">
        <v>161</v>
      </c>
    </row>
    <row r="7713" spans="1:7" x14ac:dyDescent="0.35">
      <c r="A7713" s="2">
        <v>43234</v>
      </c>
      <c r="B7713" s="40" t="s">
        <v>103</v>
      </c>
      <c r="C7713" s="10">
        <v>74</v>
      </c>
      <c r="D7713" s="10">
        <v>322</v>
      </c>
      <c r="E7713" s="10" t="s">
        <v>34</v>
      </c>
      <c r="F7713" t="s">
        <v>198</v>
      </c>
    </row>
    <row r="7714" spans="1:7" x14ac:dyDescent="0.35">
      <c r="A7714" s="2">
        <v>43234</v>
      </c>
      <c r="B7714" s="40" t="s">
        <v>103</v>
      </c>
      <c r="C7714" s="10">
        <v>72</v>
      </c>
      <c r="D7714" s="10">
        <v>313</v>
      </c>
      <c r="E7714" s="10" t="s">
        <v>159</v>
      </c>
      <c r="F7714" t="s">
        <v>360</v>
      </c>
    </row>
    <row r="7715" spans="1:7" x14ac:dyDescent="0.35">
      <c r="A7715" s="2">
        <v>43234</v>
      </c>
      <c r="B7715" s="40" t="s">
        <v>103</v>
      </c>
      <c r="C7715" s="10">
        <v>68</v>
      </c>
      <c r="D7715" s="10">
        <v>368</v>
      </c>
      <c r="E7715" s="10" t="s">
        <v>37</v>
      </c>
      <c r="F7715" t="s">
        <v>360</v>
      </c>
      <c r="G7715" t="s">
        <v>161</v>
      </c>
    </row>
    <row r="7716" spans="1:7" x14ac:dyDescent="0.35">
      <c r="A7716" s="2">
        <v>43234</v>
      </c>
      <c r="B7716" s="40" t="s">
        <v>103</v>
      </c>
      <c r="C7716" s="10">
        <v>73</v>
      </c>
      <c r="D7716" s="10">
        <v>340</v>
      </c>
      <c r="E7716" s="10" t="s">
        <v>32</v>
      </c>
      <c r="F7716" t="s">
        <v>293</v>
      </c>
      <c r="G7716" t="s">
        <v>161</v>
      </c>
    </row>
    <row r="7717" spans="1:7" x14ac:dyDescent="0.35">
      <c r="A7717" s="2">
        <v>43234</v>
      </c>
      <c r="B7717" s="40" t="s">
        <v>103</v>
      </c>
      <c r="C7717" s="10">
        <v>70</v>
      </c>
      <c r="D7717" s="10">
        <v>291</v>
      </c>
      <c r="E7717" s="10" t="s">
        <v>159</v>
      </c>
      <c r="F7717" t="s">
        <v>360</v>
      </c>
    </row>
    <row r="7718" spans="1:7" x14ac:dyDescent="0.35">
      <c r="A7718" s="2">
        <v>43234</v>
      </c>
      <c r="B7718" s="40" t="s">
        <v>103</v>
      </c>
      <c r="C7718" s="10">
        <v>67</v>
      </c>
      <c r="D7718" s="10">
        <v>254</v>
      </c>
      <c r="E7718" s="10" t="s">
        <v>159</v>
      </c>
      <c r="F7718" t="s">
        <v>360</v>
      </c>
    </row>
    <row r="7719" spans="1:7" x14ac:dyDescent="0.35">
      <c r="A7719" s="2">
        <v>43234</v>
      </c>
      <c r="B7719" s="40" t="s">
        <v>103</v>
      </c>
      <c r="C7719" s="10">
        <v>73</v>
      </c>
      <c r="D7719" s="10">
        <v>270</v>
      </c>
      <c r="E7719" s="10" t="s">
        <v>37</v>
      </c>
      <c r="F7719" t="s">
        <v>360</v>
      </c>
      <c r="G7719" t="s">
        <v>161</v>
      </c>
    </row>
    <row r="7720" spans="1:7" x14ac:dyDescent="0.35">
      <c r="A7720" s="2">
        <v>43234</v>
      </c>
      <c r="B7720" s="40" t="s">
        <v>103</v>
      </c>
      <c r="C7720" s="10">
        <v>73</v>
      </c>
      <c r="D7720" s="10">
        <v>334</v>
      </c>
      <c r="E7720" s="10" t="s">
        <v>32</v>
      </c>
      <c r="F7720" t="s">
        <v>293</v>
      </c>
      <c r="G7720" t="s">
        <v>161</v>
      </c>
    </row>
    <row r="7721" spans="1:7" x14ac:dyDescent="0.35">
      <c r="A7721" s="2">
        <v>43234</v>
      </c>
      <c r="B7721" s="40" t="s">
        <v>103</v>
      </c>
      <c r="C7721" s="10">
        <v>77</v>
      </c>
      <c r="D7721" s="10">
        <v>525</v>
      </c>
      <c r="E7721" s="10" t="s">
        <v>159</v>
      </c>
      <c r="F7721" t="s">
        <v>783</v>
      </c>
    </row>
    <row r="7722" spans="1:7" x14ac:dyDescent="0.35">
      <c r="A7722" s="2">
        <v>43234</v>
      </c>
      <c r="B7722" s="40" t="s">
        <v>103</v>
      </c>
      <c r="C7722" s="10">
        <v>72</v>
      </c>
      <c r="D7722" s="10">
        <v>351</v>
      </c>
      <c r="E7722" s="10" t="s">
        <v>32</v>
      </c>
      <c r="F7722" t="s">
        <v>360</v>
      </c>
      <c r="G7722" t="s">
        <v>161</v>
      </c>
    </row>
    <row r="7723" spans="1:7" x14ac:dyDescent="0.35">
      <c r="A7723" s="2">
        <v>43234</v>
      </c>
      <c r="B7723" s="40" t="s">
        <v>103</v>
      </c>
      <c r="C7723" s="10">
        <v>73</v>
      </c>
      <c r="D7723" s="10">
        <v>353</v>
      </c>
      <c r="E7723" s="10" t="s">
        <v>159</v>
      </c>
      <c r="F7723" t="s">
        <v>783</v>
      </c>
    </row>
    <row r="7724" spans="1:7" x14ac:dyDescent="0.35">
      <c r="A7724" s="2">
        <v>43234</v>
      </c>
      <c r="B7724" s="40" t="s">
        <v>103</v>
      </c>
      <c r="C7724" s="10">
        <v>74</v>
      </c>
      <c r="D7724" s="10">
        <v>362</v>
      </c>
      <c r="E7724" s="10" t="s">
        <v>159</v>
      </c>
      <c r="F7724" t="s">
        <v>360</v>
      </c>
    </row>
    <row r="7725" spans="1:7" x14ac:dyDescent="0.35">
      <c r="A7725" s="2">
        <v>43234</v>
      </c>
      <c r="B7725" s="40" t="s">
        <v>103</v>
      </c>
      <c r="C7725" s="10">
        <v>77</v>
      </c>
      <c r="D7725" s="10">
        <v>416</v>
      </c>
      <c r="E7725" s="10" t="s">
        <v>37</v>
      </c>
      <c r="F7725" t="s">
        <v>198</v>
      </c>
      <c r="G7725" t="s">
        <v>161</v>
      </c>
    </row>
    <row r="7726" spans="1:7" x14ac:dyDescent="0.35">
      <c r="A7726" s="2">
        <v>43234</v>
      </c>
      <c r="B7726" s="40" t="s">
        <v>103</v>
      </c>
      <c r="C7726" s="10">
        <v>68</v>
      </c>
      <c r="D7726" s="10">
        <v>272</v>
      </c>
      <c r="E7726" s="10" t="s">
        <v>32</v>
      </c>
      <c r="F7726" t="s">
        <v>360</v>
      </c>
      <c r="G7726" t="s">
        <v>161</v>
      </c>
    </row>
    <row r="7727" spans="1:7" x14ac:dyDescent="0.35">
      <c r="A7727" s="2">
        <v>43234</v>
      </c>
      <c r="B7727" s="40" t="s">
        <v>103</v>
      </c>
      <c r="C7727" s="10">
        <v>68</v>
      </c>
      <c r="D7727" s="10">
        <v>321</v>
      </c>
      <c r="E7727" s="10" t="s">
        <v>37</v>
      </c>
      <c r="F7727" t="s">
        <v>360</v>
      </c>
      <c r="G7727" t="s">
        <v>161</v>
      </c>
    </row>
    <row r="7728" spans="1:7" x14ac:dyDescent="0.35">
      <c r="A7728" s="2">
        <v>43234</v>
      </c>
      <c r="B7728" s="40" t="s">
        <v>103</v>
      </c>
      <c r="C7728" s="10">
        <v>77</v>
      </c>
      <c r="D7728" s="10">
        <v>474</v>
      </c>
      <c r="E7728" s="10" t="s">
        <v>159</v>
      </c>
      <c r="F7728" t="s">
        <v>783</v>
      </c>
    </row>
    <row r="7729" spans="1:7" x14ac:dyDescent="0.35">
      <c r="A7729" s="2">
        <v>43234</v>
      </c>
      <c r="B7729" s="40" t="s">
        <v>103</v>
      </c>
      <c r="C7729" s="10">
        <v>74</v>
      </c>
      <c r="D7729" s="10">
        <v>409</v>
      </c>
      <c r="E7729" s="10" t="s">
        <v>37</v>
      </c>
      <c r="F7729" t="s">
        <v>360</v>
      </c>
      <c r="G7729" t="s">
        <v>161</v>
      </c>
    </row>
    <row r="7730" spans="1:7" x14ac:dyDescent="0.35">
      <c r="A7730" s="2">
        <v>43234</v>
      </c>
      <c r="B7730" s="40" t="s">
        <v>103</v>
      </c>
      <c r="C7730" s="10">
        <v>68</v>
      </c>
      <c r="D7730" s="10">
        <v>274</v>
      </c>
      <c r="E7730" s="10" t="s">
        <v>32</v>
      </c>
      <c r="F7730" t="s">
        <v>360</v>
      </c>
      <c r="G7730" t="s">
        <v>161</v>
      </c>
    </row>
    <row r="7731" spans="1:7" x14ac:dyDescent="0.35">
      <c r="A7731" s="2">
        <v>43234</v>
      </c>
      <c r="B7731" s="40" t="s">
        <v>103</v>
      </c>
      <c r="C7731" s="10">
        <v>67</v>
      </c>
      <c r="D7731" s="10">
        <v>268</v>
      </c>
      <c r="E7731" s="10" t="s">
        <v>37</v>
      </c>
      <c r="F7731" t="s">
        <v>360</v>
      </c>
      <c r="G7731" t="s">
        <v>161</v>
      </c>
    </row>
    <row r="7732" spans="1:7" x14ac:dyDescent="0.35">
      <c r="A7732" s="2">
        <v>43234</v>
      </c>
      <c r="B7732" s="40" t="s">
        <v>103</v>
      </c>
      <c r="C7732" s="10">
        <v>68</v>
      </c>
      <c r="D7732" s="10">
        <v>264</v>
      </c>
      <c r="E7732" s="10" t="s">
        <v>34</v>
      </c>
      <c r="F7732" t="s">
        <v>646</v>
      </c>
    </row>
    <row r="7733" spans="1:7" x14ac:dyDescent="0.35">
      <c r="A7733" s="2">
        <v>43234</v>
      </c>
      <c r="B7733" s="40" t="s">
        <v>103</v>
      </c>
      <c r="C7733" s="10">
        <v>69</v>
      </c>
      <c r="D7733" s="10">
        <v>309</v>
      </c>
      <c r="E7733" s="10" t="s">
        <v>32</v>
      </c>
      <c r="F7733" t="s">
        <v>360</v>
      </c>
    </row>
    <row r="7734" spans="1:7" x14ac:dyDescent="0.35">
      <c r="A7734" s="2">
        <v>43234</v>
      </c>
      <c r="B7734" s="40" t="s">
        <v>103</v>
      </c>
      <c r="C7734" s="10">
        <v>65</v>
      </c>
      <c r="D7734" s="10">
        <v>231</v>
      </c>
      <c r="E7734" s="10" t="s">
        <v>34</v>
      </c>
      <c r="F7734" t="s">
        <v>360</v>
      </c>
      <c r="G7734" t="s">
        <v>161</v>
      </c>
    </row>
    <row r="7735" spans="1:7" x14ac:dyDescent="0.35">
      <c r="A7735" s="2">
        <v>43234</v>
      </c>
      <c r="B7735" s="40" t="s">
        <v>103</v>
      </c>
      <c r="C7735" s="10">
        <v>64</v>
      </c>
      <c r="D7735" s="10">
        <v>269</v>
      </c>
      <c r="E7735" s="10" t="s">
        <v>32</v>
      </c>
      <c r="F7735" t="s">
        <v>360</v>
      </c>
      <c r="G7735" t="s">
        <v>161</v>
      </c>
    </row>
    <row r="7736" spans="1:7" x14ac:dyDescent="0.35">
      <c r="A7736" s="2">
        <v>43234</v>
      </c>
      <c r="B7736" s="40" t="s">
        <v>103</v>
      </c>
      <c r="C7736" s="10">
        <v>74</v>
      </c>
      <c r="D7736" s="10">
        <v>428</v>
      </c>
      <c r="E7736" s="10" t="s">
        <v>159</v>
      </c>
      <c r="F7736" t="s">
        <v>360</v>
      </c>
    </row>
    <row r="7737" spans="1:7" x14ac:dyDescent="0.35">
      <c r="A7737" s="2">
        <v>43234</v>
      </c>
      <c r="B7737" s="40" t="s">
        <v>103</v>
      </c>
      <c r="C7737" s="10">
        <v>65</v>
      </c>
      <c r="D7737" s="10">
        <v>280</v>
      </c>
      <c r="E7737" s="10" t="s">
        <v>32</v>
      </c>
      <c r="F7737" t="s">
        <v>360</v>
      </c>
      <c r="G7737" t="s">
        <v>161</v>
      </c>
    </row>
    <row r="7738" spans="1:7" x14ac:dyDescent="0.35">
      <c r="A7738" s="2">
        <v>43234</v>
      </c>
      <c r="B7738" s="40" t="s">
        <v>103</v>
      </c>
      <c r="C7738" s="10">
        <v>65</v>
      </c>
      <c r="D7738" s="10">
        <v>296</v>
      </c>
      <c r="E7738" s="10" t="s">
        <v>32</v>
      </c>
      <c r="F7738" t="s">
        <v>360</v>
      </c>
      <c r="G7738" t="s">
        <v>161</v>
      </c>
    </row>
    <row r="7739" spans="1:7" x14ac:dyDescent="0.35">
      <c r="A7739" s="2">
        <v>43234</v>
      </c>
      <c r="B7739" s="40" t="s">
        <v>103</v>
      </c>
      <c r="C7739" s="10">
        <v>64</v>
      </c>
      <c r="D7739" s="10">
        <v>275</v>
      </c>
      <c r="E7739" s="10" t="s">
        <v>32</v>
      </c>
      <c r="F7739" t="s">
        <v>293</v>
      </c>
      <c r="G7739" t="s">
        <v>161</v>
      </c>
    </row>
    <row r="7740" spans="1:7" x14ac:dyDescent="0.35">
      <c r="A7740" s="2">
        <v>43234</v>
      </c>
      <c r="B7740" s="40" t="s">
        <v>103</v>
      </c>
      <c r="C7740" s="10">
        <v>62</v>
      </c>
      <c r="D7740" s="10">
        <v>272</v>
      </c>
      <c r="E7740" s="10" t="s">
        <v>32</v>
      </c>
      <c r="F7740" t="s">
        <v>293</v>
      </c>
    </row>
    <row r="7741" spans="1:7" x14ac:dyDescent="0.35">
      <c r="A7741" s="2">
        <v>43234</v>
      </c>
      <c r="B7741" s="40" t="s">
        <v>103</v>
      </c>
      <c r="C7741" s="10">
        <v>69</v>
      </c>
      <c r="D7741" s="10">
        <v>317</v>
      </c>
      <c r="E7741" s="10" t="s">
        <v>37</v>
      </c>
      <c r="F7741" t="s">
        <v>360</v>
      </c>
    </row>
    <row r="7742" spans="1:7" x14ac:dyDescent="0.35">
      <c r="A7742" s="2">
        <v>43234</v>
      </c>
      <c r="B7742" s="40" t="s">
        <v>103</v>
      </c>
      <c r="C7742" s="10">
        <v>65</v>
      </c>
      <c r="D7742" s="10">
        <v>251</v>
      </c>
      <c r="E7742" s="10" t="s">
        <v>32</v>
      </c>
      <c r="F7742" t="s">
        <v>360</v>
      </c>
      <c r="G7742" t="s">
        <v>161</v>
      </c>
    </row>
    <row r="7743" spans="1:7" x14ac:dyDescent="0.35">
      <c r="A7743" s="2">
        <v>43234</v>
      </c>
      <c r="B7743" s="40" t="s">
        <v>103</v>
      </c>
      <c r="C7743" s="10">
        <v>66</v>
      </c>
      <c r="D7743" s="10">
        <v>281</v>
      </c>
      <c r="E7743" s="10" t="s">
        <v>37</v>
      </c>
      <c r="F7743" t="s">
        <v>360</v>
      </c>
      <c r="G7743" t="s">
        <v>161</v>
      </c>
    </row>
    <row r="7744" spans="1:7" x14ac:dyDescent="0.35">
      <c r="A7744" s="2">
        <v>43234</v>
      </c>
      <c r="B7744" s="40" t="s">
        <v>103</v>
      </c>
      <c r="C7744" s="10">
        <v>67</v>
      </c>
      <c r="D7744" s="10">
        <v>293</v>
      </c>
      <c r="E7744" s="10" t="s">
        <v>34</v>
      </c>
      <c r="F7744" t="s">
        <v>646</v>
      </c>
    </row>
    <row r="7745" spans="1:7" x14ac:dyDescent="0.35">
      <c r="A7745" s="2">
        <v>43234</v>
      </c>
      <c r="B7745" s="40" t="s">
        <v>103</v>
      </c>
      <c r="C7745" s="10">
        <v>68</v>
      </c>
      <c r="D7745" s="10">
        <v>290</v>
      </c>
      <c r="E7745" s="10" t="s">
        <v>32</v>
      </c>
      <c r="F7745" t="s">
        <v>360</v>
      </c>
      <c r="G7745" t="s">
        <v>161</v>
      </c>
    </row>
    <row r="7746" spans="1:7" x14ac:dyDescent="0.35">
      <c r="A7746" s="2">
        <v>43234</v>
      </c>
      <c r="B7746" s="40" t="s">
        <v>103</v>
      </c>
      <c r="C7746" s="10">
        <v>77</v>
      </c>
      <c r="D7746" s="10">
        <v>385</v>
      </c>
      <c r="E7746" s="10" t="s">
        <v>32</v>
      </c>
      <c r="F7746" t="s">
        <v>293</v>
      </c>
    </row>
    <row r="7747" spans="1:7" x14ac:dyDescent="0.35">
      <c r="A7747" s="2">
        <v>43234</v>
      </c>
      <c r="B7747" s="40" t="s">
        <v>103</v>
      </c>
      <c r="C7747" s="10">
        <v>68</v>
      </c>
      <c r="D7747" s="10">
        <v>287</v>
      </c>
      <c r="E7747" s="10" t="s">
        <v>34</v>
      </c>
      <c r="F7747" t="s">
        <v>198</v>
      </c>
    </row>
    <row r="7748" spans="1:7" x14ac:dyDescent="0.35">
      <c r="A7748" s="2">
        <v>43234</v>
      </c>
      <c r="B7748" s="40" t="s">
        <v>103</v>
      </c>
      <c r="C7748" s="10">
        <v>70</v>
      </c>
      <c r="D7748" s="10">
        <v>315</v>
      </c>
      <c r="E7748" s="10" t="s">
        <v>32</v>
      </c>
      <c r="F7748" t="s">
        <v>360</v>
      </c>
      <c r="G7748" t="s">
        <v>161</v>
      </c>
    </row>
    <row r="7749" spans="1:7" x14ac:dyDescent="0.35">
      <c r="A7749" s="2">
        <v>43234</v>
      </c>
      <c r="B7749" s="40" t="s">
        <v>103</v>
      </c>
      <c r="C7749" s="10">
        <v>66</v>
      </c>
      <c r="D7749" s="10">
        <v>260</v>
      </c>
      <c r="E7749" s="10" t="s">
        <v>37</v>
      </c>
      <c r="F7749" t="s">
        <v>360</v>
      </c>
    </row>
    <row r="7750" spans="1:7" x14ac:dyDescent="0.35">
      <c r="A7750" s="2">
        <v>43234</v>
      </c>
      <c r="B7750" s="40" t="s">
        <v>103</v>
      </c>
      <c r="C7750" s="10">
        <v>73</v>
      </c>
      <c r="D7750" s="10">
        <v>367</v>
      </c>
      <c r="E7750" s="10" t="s">
        <v>159</v>
      </c>
      <c r="F7750" t="s">
        <v>360</v>
      </c>
    </row>
    <row r="7751" spans="1:7" x14ac:dyDescent="0.35">
      <c r="A7751" s="2">
        <v>43234</v>
      </c>
      <c r="B7751" s="40" t="s">
        <v>103</v>
      </c>
      <c r="C7751" s="10">
        <v>74</v>
      </c>
      <c r="D7751" s="10">
        <v>348</v>
      </c>
      <c r="E7751" s="10" t="s">
        <v>32</v>
      </c>
      <c r="F7751" t="s">
        <v>360</v>
      </c>
      <c r="G7751" t="s">
        <v>161</v>
      </c>
    </row>
    <row r="7752" spans="1:7" x14ac:dyDescent="0.35">
      <c r="A7752" s="2">
        <v>43234</v>
      </c>
      <c r="B7752" s="40" t="s">
        <v>103</v>
      </c>
      <c r="C7752" s="10">
        <v>75</v>
      </c>
      <c r="D7752" s="10">
        <v>356</v>
      </c>
      <c r="E7752" s="10" t="s">
        <v>32</v>
      </c>
      <c r="F7752" t="s">
        <v>360</v>
      </c>
      <c r="G7752" t="s">
        <v>161</v>
      </c>
    </row>
    <row r="7753" spans="1:7" x14ac:dyDescent="0.35">
      <c r="A7753" s="2">
        <v>43234</v>
      </c>
      <c r="B7753" s="40" t="s">
        <v>103</v>
      </c>
      <c r="C7753" s="10">
        <v>72</v>
      </c>
      <c r="D7753" s="10">
        <v>384</v>
      </c>
      <c r="E7753" s="10" t="s">
        <v>32</v>
      </c>
      <c r="F7753" t="s">
        <v>360</v>
      </c>
      <c r="G7753" t="s">
        <v>161</v>
      </c>
    </row>
    <row r="7754" spans="1:7" x14ac:dyDescent="0.35">
      <c r="A7754" s="2">
        <v>43234</v>
      </c>
      <c r="B7754" s="40" t="s">
        <v>103</v>
      </c>
      <c r="C7754" s="10">
        <v>72</v>
      </c>
      <c r="D7754" s="10">
        <v>314</v>
      </c>
      <c r="E7754" s="10" t="s">
        <v>37</v>
      </c>
      <c r="F7754" t="s">
        <v>360</v>
      </c>
    </row>
    <row r="7755" spans="1:7" s="4" customFormat="1" x14ac:dyDescent="0.35">
      <c r="A7755" s="3">
        <v>43234</v>
      </c>
      <c r="B7755" s="44" t="s">
        <v>103</v>
      </c>
      <c r="C7755" s="11">
        <v>65</v>
      </c>
      <c r="D7755" s="11">
        <v>278</v>
      </c>
      <c r="E7755" s="11" t="s">
        <v>37</v>
      </c>
      <c r="F7755" s="4" t="s">
        <v>360</v>
      </c>
      <c r="G7755" s="4" t="s">
        <v>161</v>
      </c>
    </row>
    <row r="7756" spans="1:7" x14ac:dyDescent="0.35">
      <c r="A7756" s="2">
        <v>43234</v>
      </c>
      <c r="B7756" s="40" t="s">
        <v>104</v>
      </c>
      <c r="C7756" s="10">
        <v>127</v>
      </c>
      <c r="D7756" s="10">
        <v>2941</v>
      </c>
      <c r="E7756" s="10" t="s">
        <v>59</v>
      </c>
    </row>
    <row r="7757" spans="1:7" x14ac:dyDescent="0.35">
      <c r="A7757" s="2">
        <v>43234</v>
      </c>
      <c r="B7757" s="40" t="s">
        <v>104</v>
      </c>
      <c r="C7757" s="10">
        <v>106</v>
      </c>
      <c r="D7757" s="10">
        <v>1958</v>
      </c>
      <c r="E7757" s="10" t="s">
        <v>59</v>
      </c>
    </row>
    <row r="7758" spans="1:7" x14ac:dyDescent="0.35">
      <c r="A7758" s="2">
        <v>43234</v>
      </c>
      <c r="B7758" s="40" t="s">
        <v>104</v>
      </c>
      <c r="C7758" s="10">
        <v>113</v>
      </c>
      <c r="D7758" s="10">
        <v>1811</v>
      </c>
      <c r="E7758" s="10" t="s">
        <v>59</v>
      </c>
    </row>
    <row r="7759" spans="1:7" x14ac:dyDescent="0.35">
      <c r="A7759" s="2">
        <v>43234</v>
      </c>
      <c r="B7759" s="40" t="s">
        <v>104</v>
      </c>
      <c r="C7759" s="10">
        <v>70</v>
      </c>
      <c r="D7759" s="10">
        <v>327</v>
      </c>
      <c r="E7759" s="10" t="s">
        <v>32</v>
      </c>
      <c r="F7759" t="s">
        <v>360</v>
      </c>
      <c r="G7759" t="s">
        <v>161</v>
      </c>
    </row>
    <row r="7760" spans="1:7" x14ac:dyDescent="0.35">
      <c r="A7760" s="2">
        <v>43234</v>
      </c>
      <c r="B7760" s="40" t="s">
        <v>104</v>
      </c>
      <c r="C7760" s="10">
        <v>70</v>
      </c>
      <c r="D7760" s="10">
        <v>377</v>
      </c>
      <c r="E7760" s="10" t="s">
        <v>32</v>
      </c>
      <c r="F7760" t="s">
        <v>360</v>
      </c>
      <c r="G7760" t="s">
        <v>161</v>
      </c>
    </row>
    <row r="7761" spans="1:7" x14ac:dyDescent="0.35">
      <c r="A7761" s="2">
        <v>43234</v>
      </c>
      <c r="B7761" s="40" t="s">
        <v>104</v>
      </c>
      <c r="C7761" s="10">
        <v>68</v>
      </c>
      <c r="D7761" s="10">
        <v>375</v>
      </c>
      <c r="E7761" s="10" t="s">
        <v>159</v>
      </c>
      <c r="F7761" t="s">
        <v>360</v>
      </c>
    </row>
    <row r="7762" spans="1:7" x14ac:dyDescent="0.35">
      <c r="A7762" s="2">
        <v>43234</v>
      </c>
      <c r="B7762" s="40" t="s">
        <v>104</v>
      </c>
      <c r="C7762" s="10">
        <v>68</v>
      </c>
      <c r="D7762" s="10">
        <v>292</v>
      </c>
      <c r="E7762" s="10" t="s">
        <v>159</v>
      </c>
      <c r="F7762" t="s">
        <v>783</v>
      </c>
    </row>
    <row r="7763" spans="1:7" x14ac:dyDescent="0.35">
      <c r="A7763" s="2">
        <v>43234</v>
      </c>
      <c r="B7763" s="40" t="s">
        <v>104</v>
      </c>
      <c r="C7763" s="10">
        <v>73</v>
      </c>
      <c r="D7763" s="10">
        <v>373</v>
      </c>
      <c r="E7763" s="10" t="s">
        <v>37</v>
      </c>
      <c r="F7763" t="s">
        <v>360</v>
      </c>
      <c r="G7763" t="s">
        <v>161</v>
      </c>
    </row>
    <row r="7764" spans="1:7" x14ac:dyDescent="0.35">
      <c r="A7764" s="2">
        <v>43234</v>
      </c>
      <c r="B7764" s="40" t="s">
        <v>104</v>
      </c>
      <c r="C7764" s="10">
        <v>74</v>
      </c>
      <c r="D7764" s="10">
        <v>303</v>
      </c>
      <c r="E7764" s="10" t="s">
        <v>37</v>
      </c>
      <c r="F7764" t="s">
        <v>360</v>
      </c>
    </row>
    <row r="7765" spans="1:7" x14ac:dyDescent="0.35">
      <c r="A7765" s="2">
        <v>43234</v>
      </c>
      <c r="B7765" s="40" t="s">
        <v>104</v>
      </c>
      <c r="C7765" s="10">
        <v>68</v>
      </c>
      <c r="D7765" s="10">
        <v>260</v>
      </c>
      <c r="E7765" s="10" t="s">
        <v>32</v>
      </c>
      <c r="F7765" t="s">
        <v>293</v>
      </c>
    </row>
    <row r="7766" spans="1:7" x14ac:dyDescent="0.35">
      <c r="A7766" s="2">
        <v>43234</v>
      </c>
      <c r="B7766" s="40" t="s">
        <v>104</v>
      </c>
      <c r="C7766" s="10">
        <v>68</v>
      </c>
      <c r="D7766" s="10">
        <v>266</v>
      </c>
      <c r="E7766" s="10" t="s">
        <v>32</v>
      </c>
      <c r="F7766" t="s">
        <v>360</v>
      </c>
      <c r="G7766" t="s">
        <v>161</v>
      </c>
    </row>
    <row r="7767" spans="1:7" x14ac:dyDescent="0.35">
      <c r="A7767" s="2">
        <v>43234</v>
      </c>
      <c r="B7767" s="40" t="s">
        <v>104</v>
      </c>
      <c r="C7767" s="10">
        <v>68</v>
      </c>
      <c r="D7767" s="10">
        <v>272</v>
      </c>
      <c r="E7767" s="10" t="s">
        <v>32</v>
      </c>
      <c r="F7767" t="s">
        <v>360</v>
      </c>
    </row>
    <row r="7768" spans="1:7" x14ac:dyDescent="0.35">
      <c r="A7768" s="2">
        <v>43234</v>
      </c>
      <c r="B7768" s="40" t="s">
        <v>104</v>
      </c>
      <c r="C7768" s="10">
        <v>72</v>
      </c>
      <c r="D7768" s="10">
        <v>336</v>
      </c>
      <c r="E7768" s="10" t="s">
        <v>32</v>
      </c>
      <c r="F7768" t="s">
        <v>293</v>
      </c>
      <c r="G7768" t="s">
        <v>161</v>
      </c>
    </row>
    <row r="7769" spans="1:7" x14ac:dyDescent="0.35">
      <c r="A7769" s="2">
        <v>43234</v>
      </c>
      <c r="B7769" s="40" t="s">
        <v>104</v>
      </c>
      <c r="C7769" s="10">
        <v>68</v>
      </c>
      <c r="D7769" s="10">
        <v>336</v>
      </c>
      <c r="E7769" s="10" t="s">
        <v>32</v>
      </c>
      <c r="F7769" t="s">
        <v>360</v>
      </c>
      <c r="G7769" t="s">
        <v>161</v>
      </c>
    </row>
    <row r="7770" spans="1:7" x14ac:dyDescent="0.35">
      <c r="A7770" s="2">
        <v>43234</v>
      </c>
      <c r="B7770" s="40" t="s">
        <v>104</v>
      </c>
      <c r="C7770" s="10">
        <v>72</v>
      </c>
      <c r="D7770" s="10">
        <v>394</v>
      </c>
      <c r="E7770" s="10" t="s">
        <v>159</v>
      </c>
      <c r="F7770" t="s">
        <v>360</v>
      </c>
    </row>
    <row r="7771" spans="1:7" x14ac:dyDescent="0.35">
      <c r="A7771" s="2">
        <v>43234</v>
      </c>
      <c r="B7771" s="40" t="s">
        <v>104</v>
      </c>
      <c r="C7771" s="10">
        <v>74</v>
      </c>
      <c r="D7771" s="10">
        <v>315</v>
      </c>
      <c r="E7771" s="10" t="s">
        <v>32</v>
      </c>
      <c r="F7771" t="s">
        <v>646</v>
      </c>
      <c r="G7771" t="s">
        <v>161</v>
      </c>
    </row>
    <row r="7772" spans="1:7" x14ac:dyDescent="0.35">
      <c r="A7772" s="2">
        <v>43234</v>
      </c>
      <c r="B7772" s="40" t="s">
        <v>104</v>
      </c>
      <c r="C7772" s="10">
        <v>72</v>
      </c>
      <c r="D7772" s="10">
        <v>390</v>
      </c>
      <c r="E7772" s="10" t="s">
        <v>37</v>
      </c>
      <c r="F7772" t="s">
        <v>360</v>
      </c>
      <c r="G7772" t="s">
        <v>161</v>
      </c>
    </row>
    <row r="7773" spans="1:7" x14ac:dyDescent="0.35">
      <c r="A7773" s="2">
        <v>43234</v>
      </c>
      <c r="B7773" s="40" t="s">
        <v>104</v>
      </c>
      <c r="C7773" s="10">
        <v>68</v>
      </c>
      <c r="D7773" s="10">
        <v>283</v>
      </c>
      <c r="E7773" s="10" t="s">
        <v>32</v>
      </c>
      <c r="F7773" t="s">
        <v>198</v>
      </c>
      <c r="G7773" t="s">
        <v>161</v>
      </c>
    </row>
    <row r="7774" spans="1:7" x14ac:dyDescent="0.35">
      <c r="A7774" s="2">
        <v>43234</v>
      </c>
      <c r="B7774" s="40" t="s">
        <v>104</v>
      </c>
      <c r="C7774" s="10">
        <v>73</v>
      </c>
      <c r="D7774" s="10">
        <v>451</v>
      </c>
      <c r="E7774" s="10" t="s">
        <v>159</v>
      </c>
      <c r="F7774" t="s">
        <v>360</v>
      </c>
    </row>
    <row r="7775" spans="1:7" x14ac:dyDescent="0.35">
      <c r="A7775" s="2">
        <v>43234</v>
      </c>
      <c r="B7775" s="40" t="s">
        <v>104</v>
      </c>
      <c r="C7775" s="10">
        <v>71</v>
      </c>
      <c r="D7775" s="10">
        <v>289</v>
      </c>
      <c r="E7775" s="10" t="s">
        <v>37</v>
      </c>
      <c r="F7775" t="s">
        <v>360</v>
      </c>
      <c r="G7775" t="s">
        <v>161</v>
      </c>
    </row>
    <row r="7776" spans="1:7" x14ac:dyDescent="0.35">
      <c r="A7776" s="2">
        <v>43234</v>
      </c>
      <c r="B7776" s="40" t="s">
        <v>104</v>
      </c>
      <c r="C7776" s="10">
        <v>63</v>
      </c>
      <c r="D7776" s="10">
        <v>230</v>
      </c>
      <c r="E7776" s="10" t="s">
        <v>37</v>
      </c>
      <c r="F7776" t="s">
        <v>360</v>
      </c>
      <c r="G7776" t="s">
        <v>161</v>
      </c>
    </row>
    <row r="7777" spans="1:7" x14ac:dyDescent="0.35">
      <c r="A7777" s="2">
        <v>43234</v>
      </c>
      <c r="B7777" s="40" t="s">
        <v>104</v>
      </c>
      <c r="C7777" s="10">
        <v>71</v>
      </c>
      <c r="D7777" s="10">
        <v>329</v>
      </c>
      <c r="E7777" s="10" t="s">
        <v>32</v>
      </c>
      <c r="F7777" t="s">
        <v>198</v>
      </c>
      <c r="G7777" t="s">
        <v>161</v>
      </c>
    </row>
    <row r="7778" spans="1:7" x14ac:dyDescent="0.35">
      <c r="A7778" s="2">
        <v>43234</v>
      </c>
      <c r="B7778" s="40" t="s">
        <v>104</v>
      </c>
      <c r="C7778" s="10">
        <v>68</v>
      </c>
      <c r="D7778" s="10">
        <v>343</v>
      </c>
      <c r="E7778" s="10" t="s">
        <v>37</v>
      </c>
      <c r="F7778" t="s">
        <v>360</v>
      </c>
      <c r="G7778" t="s">
        <v>161</v>
      </c>
    </row>
    <row r="7779" spans="1:7" x14ac:dyDescent="0.35">
      <c r="A7779" s="2">
        <v>43234</v>
      </c>
      <c r="B7779" s="40" t="s">
        <v>104</v>
      </c>
      <c r="C7779" s="10">
        <v>69</v>
      </c>
      <c r="D7779" s="10">
        <v>306</v>
      </c>
      <c r="E7779" s="10" t="s">
        <v>32</v>
      </c>
      <c r="F7779" t="s">
        <v>360</v>
      </c>
      <c r="G7779" t="s">
        <v>161</v>
      </c>
    </row>
    <row r="7780" spans="1:7" x14ac:dyDescent="0.35">
      <c r="A7780" s="2">
        <v>43234</v>
      </c>
      <c r="B7780" s="40" t="s">
        <v>104</v>
      </c>
      <c r="C7780" s="10">
        <v>75</v>
      </c>
      <c r="D7780" s="10">
        <v>342</v>
      </c>
      <c r="E7780" s="10" t="s">
        <v>33</v>
      </c>
      <c r="F7780" t="s">
        <v>293</v>
      </c>
    </row>
    <row r="7781" spans="1:7" x14ac:dyDescent="0.35">
      <c r="A7781" s="2">
        <v>43234</v>
      </c>
      <c r="B7781" s="40" t="s">
        <v>104</v>
      </c>
      <c r="C7781" s="10">
        <v>75</v>
      </c>
      <c r="D7781" s="10">
        <v>344</v>
      </c>
      <c r="E7781" s="10" t="s">
        <v>32</v>
      </c>
      <c r="F7781" t="s">
        <v>360</v>
      </c>
      <c r="G7781" t="s">
        <v>161</v>
      </c>
    </row>
    <row r="7782" spans="1:7" x14ac:dyDescent="0.35">
      <c r="A7782" s="2">
        <v>43234</v>
      </c>
      <c r="B7782" s="40" t="s">
        <v>104</v>
      </c>
      <c r="C7782" s="10">
        <v>77</v>
      </c>
      <c r="D7782" s="10">
        <v>329</v>
      </c>
      <c r="E7782" s="10" t="s">
        <v>32</v>
      </c>
      <c r="F7782" t="s">
        <v>198</v>
      </c>
      <c r="G7782" t="s">
        <v>161</v>
      </c>
    </row>
    <row r="7783" spans="1:7" x14ac:dyDescent="0.35">
      <c r="A7783" s="2">
        <v>43234</v>
      </c>
      <c r="B7783" s="40" t="s">
        <v>104</v>
      </c>
      <c r="C7783" s="10">
        <v>69</v>
      </c>
      <c r="D7783" s="10">
        <v>282</v>
      </c>
      <c r="E7783" s="10" t="s">
        <v>32</v>
      </c>
      <c r="F7783" t="s">
        <v>293</v>
      </c>
      <c r="G7783" t="s">
        <v>161</v>
      </c>
    </row>
    <row r="7784" spans="1:7" x14ac:dyDescent="0.35">
      <c r="A7784" s="2">
        <v>43234</v>
      </c>
      <c r="B7784" s="40" t="s">
        <v>104</v>
      </c>
      <c r="C7784" s="10">
        <v>75</v>
      </c>
      <c r="D7784" s="10">
        <v>429</v>
      </c>
      <c r="E7784" s="10" t="s">
        <v>32</v>
      </c>
      <c r="F7784" t="s">
        <v>360</v>
      </c>
      <c r="G7784" t="s">
        <v>161</v>
      </c>
    </row>
    <row r="7785" spans="1:7" x14ac:dyDescent="0.35">
      <c r="A7785" s="2">
        <v>43234</v>
      </c>
      <c r="B7785" s="40" t="s">
        <v>104</v>
      </c>
      <c r="C7785" s="10">
        <v>77</v>
      </c>
      <c r="D7785" s="10">
        <v>336</v>
      </c>
      <c r="E7785" s="10" t="s">
        <v>34</v>
      </c>
      <c r="F7785" t="s">
        <v>293</v>
      </c>
    </row>
    <row r="7786" spans="1:7" x14ac:dyDescent="0.35">
      <c r="A7786" s="2">
        <v>43234</v>
      </c>
      <c r="B7786" s="40" t="s">
        <v>104</v>
      </c>
      <c r="C7786" s="10">
        <v>78</v>
      </c>
      <c r="D7786" s="10">
        <v>392</v>
      </c>
      <c r="E7786" s="10" t="s">
        <v>37</v>
      </c>
      <c r="F7786" t="s">
        <v>360</v>
      </c>
      <c r="G7786" t="s">
        <v>161</v>
      </c>
    </row>
    <row r="7787" spans="1:7" x14ac:dyDescent="0.35">
      <c r="A7787" s="2">
        <v>43234</v>
      </c>
      <c r="B7787" s="40" t="s">
        <v>104</v>
      </c>
      <c r="C7787" s="10">
        <v>73</v>
      </c>
      <c r="D7787" s="10">
        <v>352</v>
      </c>
      <c r="E7787" s="10" t="s">
        <v>34</v>
      </c>
      <c r="F7787" t="s">
        <v>646</v>
      </c>
    </row>
    <row r="7788" spans="1:7" x14ac:dyDescent="0.35">
      <c r="A7788" s="2">
        <v>43234</v>
      </c>
      <c r="B7788" s="40" t="s">
        <v>104</v>
      </c>
      <c r="C7788" s="10">
        <v>71</v>
      </c>
      <c r="D7788" s="10">
        <v>358</v>
      </c>
      <c r="E7788" s="10" t="s">
        <v>159</v>
      </c>
      <c r="F7788" t="s">
        <v>360</v>
      </c>
    </row>
    <row r="7789" spans="1:7" x14ac:dyDescent="0.35">
      <c r="A7789" s="2">
        <v>43234</v>
      </c>
      <c r="B7789" s="40" t="s">
        <v>104</v>
      </c>
      <c r="C7789" s="10">
        <v>74</v>
      </c>
      <c r="D7789" s="10">
        <v>336</v>
      </c>
      <c r="E7789" s="10" t="s">
        <v>159</v>
      </c>
      <c r="F7789" t="s">
        <v>360</v>
      </c>
    </row>
    <row r="7790" spans="1:7" x14ac:dyDescent="0.35">
      <c r="A7790" s="2">
        <v>43234</v>
      </c>
      <c r="B7790" s="40" t="s">
        <v>104</v>
      </c>
      <c r="C7790" s="10">
        <v>70</v>
      </c>
      <c r="D7790" s="10">
        <v>301</v>
      </c>
      <c r="E7790" s="10" t="s">
        <v>32</v>
      </c>
      <c r="F7790" t="s">
        <v>293</v>
      </c>
    </row>
    <row r="7791" spans="1:7" x14ac:dyDescent="0.35">
      <c r="A7791" s="2">
        <v>43234</v>
      </c>
      <c r="B7791" s="40" t="s">
        <v>104</v>
      </c>
      <c r="C7791" s="10">
        <v>68</v>
      </c>
      <c r="D7791" s="10">
        <v>327</v>
      </c>
      <c r="E7791" s="10" t="s">
        <v>37</v>
      </c>
      <c r="F7791" t="s">
        <v>198</v>
      </c>
      <c r="G7791" t="s">
        <v>161</v>
      </c>
    </row>
    <row r="7792" spans="1:7" x14ac:dyDescent="0.35">
      <c r="A7792" s="2">
        <v>43234</v>
      </c>
      <c r="B7792" s="40" t="s">
        <v>104</v>
      </c>
      <c r="C7792" s="10">
        <v>74</v>
      </c>
      <c r="D7792" s="10">
        <v>303</v>
      </c>
      <c r="E7792" s="10" t="s">
        <v>32</v>
      </c>
      <c r="F7792" t="s">
        <v>198</v>
      </c>
    </row>
    <row r="7793" spans="1:7" x14ac:dyDescent="0.35">
      <c r="A7793" s="2">
        <v>43234</v>
      </c>
      <c r="B7793" s="40" t="s">
        <v>104</v>
      </c>
      <c r="C7793" s="10">
        <v>58</v>
      </c>
      <c r="D7793" s="10">
        <v>185</v>
      </c>
      <c r="E7793" s="10" t="s">
        <v>32</v>
      </c>
      <c r="F7793" t="s">
        <v>360</v>
      </c>
      <c r="G7793" t="s">
        <v>161</v>
      </c>
    </row>
    <row r="7794" spans="1:7" x14ac:dyDescent="0.35">
      <c r="A7794" s="2">
        <v>43234</v>
      </c>
      <c r="B7794" s="40" t="s">
        <v>104</v>
      </c>
      <c r="C7794" s="10">
        <v>70</v>
      </c>
      <c r="D7794" s="10">
        <v>344</v>
      </c>
      <c r="E7794" s="10" t="s">
        <v>32</v>
      </c>
      <c r="F7794" t="s">
        <v>360</v>
      </c>
      <c r="G7794" t="s">
        <v>161</v>
      </c>
    </row>
    <row r="7795" spans="1:7" x14ac:dyDescent="0.35">
      <c r="A7795" s="2">
        <v>43234</v>
      </c>
      <c r="B7795" s="40" t="s">
        <v>104</v>
      </c>
      <c r="C7795" s="10">
        <v>69</v>
      </c>
      <c r="D7795" s="10">
        <v>339</v>
      </c>
      <c r="E7795" s="10" t="s">
        <v>37</v>
      </c>
      <c r="F7795" t="s">
        <v>360</v>
      </c>
      <c r="G7795" t="s">
        <v>161</v>
      </c>
    </row>
    <row r="7796" spans="1:7" x14ac:dyDescent="0.35">
      <c r="A7796" s="2">
        <v>43234</v>
      </c>
      <c r="B7796" s="40" t="s">
        <v>104</v>
      </c>
      <c r="C7796" s="10">
        <v>73</v>
      </c>
      <c r="D7796" s="10">
        <v>339</v>
      </c>
      <c r="E7796" s="10" t="s">
        <v>37</v>
      </c>
      <c r="F7796" t="s">
        <v>360</v>
      </c>
      <c r="G7796" t="s">
        <v>161</v>
      </c>
    </row>
    <row r="7797" spans="1:7" x14ac:dyDescent="0.35">
      <c r="A7797" s="2">
        <v>43234</v>
      </c>
      <c r="B7797" s="40" t="s">
        <v>104</v>
      </c>
      <c r="C7797" s="10">
        <v>68</v>
      </c>
      <c r="D7797" s="10">
        <v>340</v>
      </c>
      <c r="E7797" s="10" t="s">
        <v>37</v>
      </c>
      <c r="F7797" t="s">
        <v>360</v>
      </c>
      <c r="G7797" t="s">
        <v>161</v>
      </c>
    </row>
    <row r="7798" spans="1:7" x14ac:dyDescent="0.35">
      <c r="A7798" s="2">
        <v>43234</v>
      </c>
      <c r="B7798" s="40" t="s">
        <v>104</v>
      </c>
      <c r="C7798" s="10">
        <v>70</v>
      </c>
      <c r="D7798" s="10">
        <v>323</v>
      </c>
      <c r="E7798" s="10" t="s">
        <v>32</v>
      </c>
      <c r="F7798" t="s">
        <v>360</v>
      </c>
      <c r="G7798" t="s">
        <v>161</v>
      </c>
    </row>
    <row r="7799" spans="1:7" x14ac:dyDescent="0.35">
      <c r="A7799" s="2">
        <v>43234</v>
      </c>
      <c r="B7799" s="40" t="s">
        <v>104</v>
      </c>
      <c r="C7799" s="10">
        <v>67</v>
      </c>
      <c r="D7799" s="10">
        <v>244</v>
      </c>
      <c r="E7799" s="10" t="s">
        <v>32</v>
      </c>
      <c r="F7799" t="s">
        <v>360</v>
      </c>
      <c r="G7799" t="s">
        <v>161</v>
      </c>
    </row>
    <row r="7800" spans="1:7" x14ac:dyDescent="0.35">
      <c r="A7800" s="2">
        <v>43234</v>
      </c>
      <c r="B7800" s="40" t="s">
        <v>104</v>
      </c>
      <c r="C7800" s="10">
        <v>66</v>
      </c>
      <c r="D7800" s="10">
        <v>232</v>
      </c>
      <c r="E7800" s="10" t="s">
        <v>32</v>
      </c>
      <c r="F7800" t="s">
        <v>198</v>
      </c>
    </row>
    <row r="7801" spans="1:7" x14ac:dyDescent="0.35">
      <c r="A7801" s="2">
        <v>43234</v>
      </c>
      <c r="B7801" s="40" t="s">
        <v>104</v>
      </c>
      <c r="C7801" s="10">
        <v>73</v>
      </c>
      <c r="D7801" s="10">
        <v>355</v>
      </c>
      <c r="E7801" s="10" t="s">
        <v>32</v>
      </c>
      <c r="F7801" t="s">
        <v>360</v>
      </c>
      <c r="G7801" t="s">
        <v>161</v>
      </c>
    </row>
    <row r="7802" spans="1:7" x14ac:dyDescent="0.35">
      <c r="A7802" s="2">
        <v>43234</v>
      </c>
      <c r="B7802" s="40" t="s">
        <v>104</v>
      </c>
      <c r="C7802" s="10">
        <v>68</v>
      </c>
      <c r="D7802" s="10">
        <v>337</v>
      </c>
      <c r="E7802" s="10" t="s">
        <v>32</v>
      </c>
      <c r="F7802" t="s">
        <v>360</v>
      </c>
      <c r="G7802" t="s">
        <v>161</v>
      </c>
    </row>
    <row r="7803" spans="1:7" x14ac:dyDescent="0.35">
      <c r="A7803" s="2">
        <v>43234</v>
      </c>
      <c r="B7803" s="40" t="s">
        <v>104</v>
      </c>
      <c r="C7803" s="10">
        <v>74</v>
      </c>
      <c r="D7803" s="10">
        <v>305</v>
      </c>
      <c r="E7803" s="10" t="s">
        <v>32</v>
      </c>
      <c r="F7803" t="s">
        <v>646</v>
      </c>
    </row>
    <row r="7804" spans="1:7" x14ac:dyDescent="0.35">
      <c r="A7804" s="2">
        <v>43234</v>
      </c>
      <c r="B7804" s="40" t="s">
        <v>104</v>
      </c>
      <c r="C7804" s="10">
        <v>66</v>
      </c>
      <c r="D7804" s="10">
        <v>224</v>
      </c>
      <c r="E7804" s="10" t="s">
        <v>37</v>
      </c>
      <c r="F7804" t="s">
        <v>360</v>
      </c>
      <c r="G7804" t="s">
        <v>161</v>
      </c>
    </row>
    <row r="7805" spans="1:7" x14ac:dyDescent="0.35">
      <c r="A7805" s="2">
        <v>43234</v>
      </c>
      <c r="B7805" s="40" t="s">
        <v>104</v>
      </c>
      <c r="C7805" s="10">
        <v>72</v>
      </c>
      <c r="D7805" s="10">
        <v>293</v>
      </c>
      <c r="E7805" s="10" t="s">
        <v>37</v>
      </c>
      <c r="F7805" t="s">
        <v>360</v>
      </c>
      <c r="G7805" t="s">
        <v>161</v>
      </c>
    </row>
    <row r="7806" spans="1:7" x14ac:dyDescent="0.35">
      <c r="A7806" s="2">
        <v>43234</v>
      </c>
      <c r="B7806" s="40" t="s">
        <v>104</v>
      </c>
      <c r="C7806" s="10">
        <v>68</v>
      </c>
      <c r="D7806" s="10">
        <v>259</v>
      </c>
      <c r="E7806" s="10" t="s">
        <v>37</v>
      </c>
      <c r="F7806" t="s">
        <v>198</v>
      </c>
      <c r="G7806" t="s">
        <v>161</v>
      </c>
    </row>
    <row r="7807" spans="1:7" x14ac:dyDescent="0.35">
      <c r="A7807" s="2">
        <v>43234</v>
      </c>
      <c r="B7807" s="40" t="s">
        <v>104</v>
      </c>
      <c r="C7807" s="10">
        <v>62</v>
      </c>
      <c r="D7807" s="10">
        <v>233</v>
      </c>
      <c r="E7807" s="10" t="s">
        <v>32</v>
      </c>
      <c r="F7807" t="s">
        <v>360</v>
      </c>
      <c r="G7807" t="s">
        <v>161</v>
      </c>
    </row>
    <row r="7808" spans="1:7" s="4" customFormat="1" x14ac:dyDescent="0.35">
      <c r="A7808" s="3">
        <v>43234</v>
      </c>
      <c r="B7808" s="44" t="s">
        <v>104</v>
      </c>
      <c r="C7808" s="11">
        <v>71</v>
      </c>
      <c r="D7808" s="11">
        <v>274</v>
      </c>
      <c r="E7808" s="11" t="s">
        <v>34</v>
      </c>
      <c r="F7808" s="4" t="s">
        <v>198</v>
      </c>
    </row>
    <row r="7809" spans="1:7" x14ac:dyDescent="0.35">
      <c r="A7809" s="2">
        <v>43234</v>
      </c>
      <c r="B7809" s="40" t="s">
        <v>113</v>
      </c>
      <c r="C7809" s="10">
        <v>71</v>
      </c>
      <c r="D7809" s="10">
        <v>313</v>
      </c>
      <c r="E7809" s="10" t="s">
        <v>34</v>
      </c>
      <c r="F7809" s="10" t="s">
        <v>198</v>
      </c>
    </row>
    <row r="7810" spans="1:7" x14ac:dyDescent="0.35">
      <c r="A7810" s="2">
        <v>43234</v>
      </c>
      <c r="B7810" s="40" t="s">
        <v>113</v>
      </c>
      <c r="C7810" s="10">
        <v>73</v>
      </c>
      <c r="D7810" s="10">
        <v>429</v>
      </c>
      <c r="E7810" s="10" t="s">
        <v>32</v>
      </c>
      <c r="F7810" s="10" t="s">
        <v>646</v>
      </c>
    </row>
    <row r="7811" spans="1:7" x14ac:dyDescent="0.35">
      <c r="A7811" s="2">
        <v>43234</v>
      </c>
      <c r="B7811" s="40" t="s">
        <v>113</v>
      </c>
      <c r="C7811" s="10">
        <v>71</v>
      </c>
      <c r="D7811" s="10">
        <v>310</v>
      </c>
      <c r="E7811" s="10" t="s">
        <v>32</v>
      </c>
      <c r="F7811" s="10" t="s">
        <v>360</v>
      </c>
      <c r="G7811" s="10" t="s">
        <v>161</v>
      </c>
    </row>
    <row r="7812" spans="1:7" x14ac:dyDescent="0.35">
      <c r="A7812" s="2">
        <v>43234</v>
      </c>
      <c r="B7812" s="40" t="s">
        <v>113</v>
      </c>
      <c r="C7812" s="10">
        <v>71</v>
      </c>
      <c r="D7812" s="10">
        <v>296</v>
      </c>
      <c r="E7812" s="10" t="s">
        <v>32</v>
      </c>
      <c r="F7812" s="10" t="s">
        <v>360</v>
      </c>
      <c r="G7812" s="10" t="s">
        <v>161</v>
      </c>
    </row>
    <row r="7813" spans="1:7" x14ac:dyDescent="0.35">
      <c r="A7813" s="2">
        <v>43234</v>
      </c>
      <c r="B7813" s="40" t="s">
        <v>113</v>
      </c>
      <c r="C7813" s="10">
        <v>69</v>
      </c>
      <c r="D7813" s="10">
        <v>308</v>
      </c>
      <c r="E7813" s="10" t="s">
        <v>159</v>
      </c>
      <c r="F7813" s="10" t="s">
        <v>360</v>
      </c>
    </row>
    <row r="7814" spans="1:7" x14ac:dyDescent="0.35">
      <c r="A7814" s="2">
        <v>43234</v>
      </c>
      <c r="B7814" s="40" t="s">
        <v>113</v>
      </c>
      <c r="C7814" s="10">
        <v>68</v>
      </c>
      <c r="D7814" s="10">
        <v>252</v>
      </c>
      <c r="E7814" s="10" t="s">
        <v>32</v>
      </c>
      <c r="F7814" s="10" t="s">
        <v>360</v>
      </c>
      <c r="G7814" s="10" t="s">
        <v>161</v>
      </c>
    </row>
    <row r="7815" spans="1:7" x14ac:dyDescent="0.35">
      <c r="A7815" s="2">
        <v>43234</v>
      </c>
      <c r="B7815" s="40" t="s">
        <v>113</v>
      </c>
      <c r="C7815" s="55">
        <v>80</v>
      </c>
      <c r="D7815" s="55">
        <v>489</v>
      </c>
      <c r="E7815" s="55" t="s">
        <v>159</v>
      </c>
      <c r="F7815" s="10" t="s">
        <v>783</v>
      </c>
    </row>
    <row r="7816" spans="1:7" x14ac:dyDescent="0.35">
      <c r="A7816" s="2">
        <v>43234</v>
      </c>
      <c r="B7816" s="40" t="s">
        <v>113</v>
      </c>
      <c r="C7816" s="10">
        <v>67</v>
      </c>
      <c r="D7816" s="10">
        <v>236</v>
      </c>
      <c r="E7816" s="10" t="s">
        <v>37</v>
      </c>
      <c r="F7816" s="10" t="s">
        <v>360</v>
      </c>
    </row>
    <row r="7817" spans="1:7" x14ac:dyDescent="0.35">
      <c r="A7817" s="2">
        <v>43234</v>
      </c>
      <c r="B7817" s="40" t="s">
        <v>113</v>
      </c>
      <c r="C7817" s="10">
        <v>72</v>
      </c>
      <c r="D7817" s="10">
        <v>294</v>
      </c>
      <c r="E7817" s="10" t="s">
        <v>32</v>
      </c>
      <c r="F7817" s="10" t="s">
        <v>360</v>
      </c>
    </row>
    <row r="7818" spans="1:7" x14ac:dyDescent="0.35">
      <c r="A7818" s="2">
        <v>43234</v>
      </c>
      <c r="B7818" s="40" t="s">
        <v>113</v>
      </c>
      <c r="C7818" s="10">
        <v>63</v>
      </c>
      <c r="D7818" s="10">
        <v>205</v>
      </c>
      <c r="E7818" s="10" t="s">
        <v>32</v>
      </c>
      <c r="F7818" s="10" t="s">
        <v>360</v>
      </c>
      <c r="G7818" s="10" t="s">
        <v>161</v>
      </c>
    </row>
    <row r="7819" spans="1:7" x14ac:dyDescent="0.35">
      <c r="A7819" s="2">
        <v>43234</v>
      </c>
      <c r="B7819" s="40" t="s">
        <v>113</v>
      </c>
      <c r="C7819" s="10">
        <v>67</v>
      </c>
      <c r="D7819" s="10">
        <v>208</v>
      </c>
      <c r="E7819" s="10" t="s">
        <v>32</v>
      </c>
      <c r="F7819" s="10" t="s">
        <v>198</v>
      </c>
      <c r="G7819" s="10" t="s">
        <v>161</v>
      </c>
    </row>
    <row r="7820" spans="1:7" x14ac:dyDescent="0.35">
      <c r="A7820" s="2">
        <v>43234</v>
      </c>
      <c r="B7820" s="40" t="s">
        <v>113</v>
      </c>
      <c r="C7820" s="10">
        <v>68</v>
      </c>
      <c r="D7820" s="10">
        <v>330</v>
      </c>
      <c r="E7820" s="10" t="s">
        <v>159</v>
      </c>
      <c r="F7820" s="10" t="s">
        <v>783</v>
      </c>
    </row>
    <row r="7821" spans="1:7" x14ac:dyDescent="0.35">
      <c r="A7821" s="2">
        <v>43234</v>
      </c>
      <c r="B7821" s="40" t="s">
        <v>113</v>
      </c>
      <c r="C7821" s="10">
        <v>79</v>
      </c>
      <c r="D7821" s="10">
        <v>420</v>
      </c>
      <c r="E7821" s="10" t="s">
        <v>37</v>
      </c>
      <c r="F7821" s="10" t="s">
        <v>783</v>
      </c>
      <c r="G7821" s="10" t="s">
        <v>161</v>
      </c>
    </row>
    <row r="7822" spans="1:7" x14ac:dyDescent="0.35">
      <c r="A7822" s="2">
        <v>43234</v>
      </c>
      <c r="B7822" s="40" t="s">
        <v>113</v>
      </c>
      <c r="C7822" s="10">
        <v>68</v>
      </c>
      <c r="D7822" s="10">
        <v>273</v>
      </c>
      <c r="E7822" s="10" t="s">
        <v>37</v>
      </c>
      <c r="F7822" s="10" t="s">
        <v>360</v>
      </c>
      <c r="G7822" s="10" t="s">
        <v>161</v>
      </c>
    </row>
    <row r="7823" spans="1:7" x14ac:dyDescent="0.35">
      <c r="A7823" s="2">
        <v>43234</v>
      </c>
      <c r="B7823" s="40" t="s">
        <v>113</v>
      </c>
      <c r="C7823" s="10">
        <v>70</v>
      </c>
      <c r="D7823" s="10">
        <v>247</v>
      </c>
      <c r="E7823" s="10" t="s">
        <v>32</v>
      </c>
      <c r="F7823" s="10" t="s">
        <v>360</v>
      </c>
      <c r="G7823" s="10" t="s">
        <v>161</v>
      </c>
    </row>
    <row r="7824" spans="1:7" x14ac:dyDescent="0.35">
      <c r="A7824" s="2">
        <v>43234</v>
      </c>
      <c r="B7824" s="40" t="s">
        <v>113</v>
      </c>
      <c r="C7824" s="10">
        <v>63</v>
      </c>
      <c r="D7824" s="10">
        <v>166</v>
      </c>
      <c r="E7824" s="10" t="s">
        <v>37</v>
      </c>
      <c r="F7824" s="10" t="s">
        <v>360</v>
      </c>
      <c r="G7824" s="10" t="s">
        <v>161</v>
      </c>
    </row>
    <row r="7825" spans="1:7" x14ac:dyDescent="0.35">
      <c r="A7825" s="2">
        <v>43234</v>
      </c>
      <c r="B7825" s="40" t="s">
        <v>113</v>
      </c>
      <c r="C7825" s="10">
        <v>72</v>
      </c>
      <c r="D7825" s="10">
        <v>354</v>
      </c>
      <c r="E7825" s="10" t="s">
        <v>37</v>
      </c>
      <c r="F7825" s="10" t="s">
        <v>360</v>
      </c>
      <c r="G7825" s="10" t="s">
        <v>161</v>
      </c>
    </row>
    <row r="7826" spans="1:7" x14ac:dyDescent="0.35">
      <c r="A7826" s="2">
        <v>43234</v>
      </c>
      <c r="B7826" s="40" t="s">
        <v>113</v>
      </c>
      <c r="C7826" s="10">
        <v>65</v>
      </c>
      <c r="D7826" s="10">
        <v>237</v>
      </c>
      <c r="E7826" s="10" t="s">
        <v>32</v>
      </c>
      <c r="F7826" s="10" t="s">
        <v>360</v>
      </c>
      <c r="G7826" s="10" t="s">
        <v>161</v>
      </c>
    </row>
    <row r="7827" spans="1:7" x14ac:dyDescent="0.35">
      <c r="A7827" s="2">
        <v>43234</v>
      </c>
      <c r="B7827" s="40" t="s">
        <v>113</v>
      </c>
      <c r="C7827" s="10">
        <v>68</v>
      </c>
      <c r="D7827" s="10">
        <v>280</v>
      </c>
      <c r="E7827" s="10" t="s">
        <v>37</v>
      </c>
      <c r="F7827" s="10" t="s">
        <v>360</v>
      </c>
      <c r="G7827" s="10" t="s">
        <v>161</v>
      </c>
    </row>
    <row r="7828" spans="1:7" x14ac:dyDescent="0.35">
      <c r="A7828" s="2">
        <v>43234</v>
      </c>
      <c r="B7828" s="40" t="s">
        <v>113</v>
      </c>
      <c r="C7828" s="10">
        <v>78</v>
      </c>
      <c r="D7828" s="10">
        <v>255</v>
      </c>
      <c r="E7828" s="10" t="s">
        <v>37</v>
      </c>
      <c r="F7828" s="10" t="s">
        <v>360</v>
      </c>
      <c r="G7828" s="10" t="s">
        <v>161</v>
      </c>
    </row>
    <row r="7829" spans="1:7" x14ac:dyDescent="0.35">
      <c r="A7829" s="2">
        <v>43234</v>
      </c>
      <c r="B7829" s="40" t="s">
        <v>113</v>
      </c>
      <c r="C7829" s="10">
        <v>68</v>
      </c>
      <c r="D7829" s="10">
        <v>250</v>
      </c>
      <c r="E7829" s="10" t="s">
        <v>37</v>
      </c>
      <c r="F7829" s="10" t="s">
        <v>360</v>
      </c>
      <c r="G7829" s="10" t="s">
        <v>161</v>
      </c>
    </row>
    <row r="7830" spans="1:7" x14ac:dyDescent="0.35">
      <c r="A7830" s="2">
        <v>43234</v>
      </c>
      <c r="B7830" s="40" t="s">
        <v>113</v>
      </c>
      <c r="C7830" s="10">
        <v>62</v>
      </c>
      <c r="D7830" s="10">
        <v>219</v>
      </c>
      <c r="E7830" s="10" t="s">
        <v>37</v>
      </c>
      <c r="F7830" s="10" t="s">
        <v>360</v>
      </c>
      <c r="G7830" s="10" t="s">
        <v>161</v>
      </c>
    </row>
    <row r="7831" spans="1:7" x14ac:dyDescent="0.35">
      <c r="A7831" s="2">
        <v>43234</v>
      </c>
      <c r="B7831" s="40" t="s">
        <v>113</v>
      </c>
      <c r="C7831" s="10">
        <v>67</v>
      </c>
      <c r="D7831" s="10">
        <v>239</v>
      </c>
      <c r="E7831" s="10" t="s">
        <v>32</v>
      </c>
      <c r="F7831" s="10" t="s">
        <v>293</v>
      </c>
      <c r="G7831" s="10"/>
    </row>
    <row r="7832" spans="1:7" x14ac:dyDescent="0.35">
      <c r="A7832" s="2">
        <v>43234</v>
      </c>
      <c r="B7832" s="40" t="s">
        <v>113</v>
      </c>
      <c r="C7832" s="10">
        <v>73</v>
      </c>
      <c r="D7832" s="10">
        <v>322</v>
      </c>
      <c r="E7832" s="10" t="s">
        <v>34</v>
      </c>
      <c r="F7832" s="10" t="s">
        <v>646</v>
      </c>
      <c r="G7832" s="10" t="s">
        <v>161</v>
      </c>
    </row>
    <row r="7833" spans="1:7" x14ac:dyDescent="0.35">
      <c r="A7833" s="2">
        <v>43234</v>
      </c>
      <c r="B7833" s="40" t="s">
        <v>113</v>
      </c>
      <c r="C7833" s="10">
        <v>73</v>
      </c>
      <c r="D7833" s="10">
        <v>330</v>
      </c>
      <c r="E7833" s="10" t="s">
        <v>159</v>
      </c>
      <c r="F7833" s="10" t="s">
        <v>360</v>
      </c>
      <c r="G7833" s="10"/>
    </row>
    <row r="7834" spans="1:7" x14ac:dyDescent="0.35">
      <c r="A7834" s="2">
        <v>43234</v>
      </c>
      <c r="B7834" s="40" t="s">
        <v>113</v>
      </c>
      <c r="C7834" s="10">
        <v>73</v>
      </c>
      <c r="D7834" s="10">
        <v>335</v>
      </c>
      <c r="E7834" s="10" t="s">
        <v>159</v>
      </c>
      <c r="F7834" s="10" t="s">
        <v>360</v>
      </c>
      <c r="G7834" s="10" t="s">
        <v>161</v>
      </c>
    </row>
    <row r="7835" spans="1:7" x14ac:dyDescent="0.35">
      <c r="A7835" s="2">
        <v>43234</v>
      </c>
      <c r="B7835" s="40" t="s">
        <v>113</v>
      </c>
      <c r="C7835" s="10">
        <v>64</v>
      </c>
      <c r="D7835" s="10">
        <v>203</v>
      </c>
      <c r="E7835" s="10" t="s">
        <v>37</v>
      </c>
      <c r="F7835" s="10" t="s">
        <v>360</v>
      </c>
    </row>
    <row r="7836" spans="1:7" x14ac:dyDescent="0.35">
      <c r="A7836" s="2">
        <v>43234</v>
      </c>
      <c r="B7836" s="40" t="s">
        <v>113</v>
      </c>
      <c r="C7836" s="10">
        <v>68</v>
      </c>
      <c r="D7836" s="10">
        <v>292</v>
      </c>
      <c r="E7836" s="10" t="s">
        <v>32</v>
      </c>
      <c r="F7836" s="10" t="s">
        <v>293</v>
      </c>
      <c r="G7836" s="10" t="s">
        <v>161</v>
      </c>
    </row>
    <row r="7837" spans="1:7" x14ac:dyDescent="0.35">
      <c r="A7837" s="2">
        <v>43234</v>
      </c>
      <c r="B7837" s="40" t="s">
        <v>113</v>
      </c>
      <c r="C7837" s="10">
        <v>65</v>
      </c>
      <c r="D7837" s="10">
        <v>234</v>
      </c>
      <c r="E7837" s="10" t="s">
        <v>37</v>
      </c>
      <c r="F7837" s="10" t="s">
        <v>198</v>
      </c>
    </row>
    <row r="7838" spans="1:7" x14ac:dyDescent="0.35">
      <c r="A7838" s="2">
        <v>43234</v>
      </c>
      <c r="B7838" s="40" t="s">
        <v>113</v>
      </c>
      <c r="C7838" s="10">
        <v>69</v>
      </c>
      <c r="D7838" s="10">
        <v>360</v>
      </c>
      <c r="E7838" s="10" t="s">
        <v>159</v>
      </c>
      <c r="F7838" s="10" t="s">
        <v>360</v>
      </c>
    </row>
    <row r="7839" spans="1:7" x14ac:dyDescent="0.35">
      <c r="A7839" s="2">
        <v>43234</v>
      </c>
      <c r="B7839" s="40" t="s">
        <v>113</v>
      </c>
      <c r="C7839" s="10">
        <v>72</v>
      </c>
      <c r="D7839" s="10">
        <v>241</v>
      </c>
      <c r="E7839" s="10" t="s">
        <v>34</v>
      </c>
      <c r="F7839" s="10" t="s">
        <v>646</v>
      </c>
    </row>
    <row r="7840" spans="1:7" x14ac:dyDescent="0.35">
      <c r="A7840" s="2">
        <v>43234</v>
      </c>
      <c r="B7840" s="40" t="s">
        <v>113</v>
      </c>
      <c r="C7840" s="10">
        <v>68</v>
      </c>
      <c r="D7840" s="10">
        <v>252</v>
      </c>
      <c r="E7840" s="10" t="s">
        <v>34</v>
      </c>
      <c r="F7840" s="10" t="s">
        <v>293</v>
      </c>
    </row>
    <row r="7841" spans="1:7" x14ac:dyDescent="0.35">
      <c r="A7841" s="2">
        <v>43234</v>
      </c>
      <c r="B7841" s="40" t="s">
        <v>113</v>
      </c>
      <c r="C7841" s="10">
        <v>66</v>
      </c>
      <c r="D7841" s="10">
        <v>262</v>
      </c>
      <c r="E7841" s="10" t="s">
        <v>37</v>
      </c>
      <c r="F7841" s="10" t="s">
        <v>783</v>
      </c>
    </row>
    <row r="7842" spans="1:7" x14ac:dyDescent="0.35">
      <c r="A7842" s="2">
        <v>43234</v>
      </c>
      <c r="B7842" s="40" t="s">
        <v>113</v>
      </c>
      <c r="C7842" s="10">
        <v>74</v>
      </c>
      <c r="D7842" s="10">
        <v>338</v>
      </c>
      <c r="E7842" s="10" t="s">
        <v>32</v>
      </c>
      <c r="F7842" s="10" t="s">
        <v>360</v>
      </c>
      <c r="G7842" s="10" t="s">
        <v>161</v>
      </c>
    </row>
    <row r="7843" spans="1:7" x14ac:dyDescent="0.35">
      <c r="A7843" s="2">
        <v>43234</v>
      </c>
      <c r="B7843" s="40" t="s">
        <v>113</v>
      </c>
      <c r="C7843" s="10">
        <v>74</v>
      </c>
      <c r="D7843" s="10">
        <v>240</v>
      </c>
      <c r="E7843" s="10" t="s">
        <v>32</v>
      </c>
      <c r="F7843" s="10" t="s">
        <v>360</v>
      </c>
    </row>
    <row r="7844" spans="1:7" x14ac:dyDescent="0.35">
      <c r="A7844" s="2">
        <v>43234</v>
      </c>
      <c r="B7844" s="40" t="s">
        <v>113</v>
      </c>
      <c r="C7844" s="10">
        <v>71</v>
      </c>
      <c r="D7844" s="10">
        <v>357</v>
      </c>
      <c r="E7844" s="10" t="s">
        <v>159</v>
      </c>
      <c r="F7844" s="10" t="s">
        <v>360</v>
      </c>
    </row>
    <row r="7845" spans="1:7" x14ac:dyDescent="0.35">
      <c r="A7845" s="2">
        <v>43234</v>
      </c>
      <c r="B7845" s="40" t="s">
        <v>113</v>
      </c>
      <c r="C7845" s="10">
        <v>65</v>
      </c>
      <c r="D7845" s="10">
        <v>229</v>
      </c>
      <c r="E7845" s="10" t="s">
        <v>159</v>
      </c>
      <c r="F7845" s="10" t="s">
        <v>198</v>
      </c>
    </row>
    <row r="7846" spans="1:7" x14ac:dyDescent="0.35">
      <c r="A7846" s="2">
        <v>43234</v>
      </c>
      <c r="B7846" s="40" t="s">
        <v>113</v>
      </c>
      <c r="C7846" s="10">
        <v>69</v>
      </c>
      <c r="D7846" s="10">
        <v>259</v>
      </c>
      <c r="E7846" s="10" t="s">
        <v>32</v>
      </c>
      <c r="F7846" s="10" t="s">
        <v>198</v>
      </c>
      <c r="G7846" s="10" t="s">
        <v>161</v>
      </c>
    </row>
    <row r="7847" spans="1:7" x14ac:dyDescent="0.35">
      <c r="A7847" s="2">
        <v>43234</v>
      </c>
      <c r="B7847" s="40" t="s">
        <v>113</v>
      </c>
      <c r="C7847" s="10">
        <v>77</v>
      </c>
      <c r="D7847" s="10">
        <v>312</v>
      </c>
      <c r="E7847" s="10" t="s">
        <v>32</v>
      </c>
      <c r="F7847" s="10" t="s">
        <v>293</v>
      </c>
    </row>
    <row r="7848" spans="1:7" x14ac:dyDescent="0.35">
      <c r="A7848" s="2">
        <v>43234</v>
      </c>
      <c r="B7848" s="40" t="s">
        <v>113</v>
      </c>
      <c r="C7848" s="10">
        <v>73</v>
      </c>
      <c r="D7848" s="10">
        <v>375</v>
      </c>
      <c r="E7848" s="10" t="s">
        <v>37</v>
      </c>
      <c r="F7848" s="10" t="s">
        <v>360</v>
      </c>
      <c r="G7848" s="10" t="s">
        <v>161</v>
      </c>
    </row>
    <row r="7849" spans="1:7" x14ac:dyDescent="0.35">
      <c r="A7849" s="2">
        <v>43234</v>
      </c>
      <c r="B7849" s="40" t="s">
        <v>113</v>
      </c>
      <c r="C7849" s="10">
        <v>67</v>
      </c>
      <c r="D7849" s="10">
        <v>276</v>
      </c>
      <c r="E7849" s="10" t="s">
        <v>33</v>
      </c>
      <c r="F7849" s="10" t="s">
        <v>646</v>
      </c>
      <c r="G7849" s="10" t="s">
        <v>161</v>
      </c>
    </row>
    <row r="7850" spans="1:7" x14ac:dyDescent="0.35">
      <c r="A7850" s="2">
        <v>43234</v>
      </c>
      <c r="B7850" s="40" t="s">
        <v>113</v>
      </c>
      <c r="C7850" s="10">
        <v>70</v>
      </c>
      <c r="D7850" s="10">
        <v>316</v>
      </c>
      <c r="E7850" s="10" t="s">
        <v>32</v>
      </c>
      <c r="F7850" s="10" t="s">
        <v>360</v>
      </c>
      <c r="G7850" s="10" t="s">
        <v>161</v>
      </c>
    </row>
    <row r="7851" spans="1:7" x14ac:dyDescent="0.35">
      <c r="A7851" s="2">
        <v>43234</v>
      </c>
      <c r="B7851" s="40" t="s">
        <v>113</v>
      </c>
      <c r="C7851" s="10">
        <v>68</v>
      </c>
      <c r="D7851" s="10">
        <v>234</v>
      </c>
      <c r="E7851" s="10" t="s">
        <v>32</v>
      </c>
      <c r="F7851" s="10" t="s">
        <v>360</v>
      </c>
      <c r="G7851" s="10" t="s">
        <v>161</v>
      </c>
    </row>
    <row r="7852" spans="1:7" x14ac:dyDescent="0.35">
      <c r="A7852" s="2">
        <v>43234</v>
      </c>
      <c r="B7852" s="40" t="s">
        <v>113</v>
      </c>
      <c r="C7852" s="10">
        <v>72</v>
      </c>
      <c r="D7852" s="10">
        <v>248</v>
      </c>
      <c r="E7852" s="10" t="s">
        <v>32</v>
      </c>
      <c r="F7852" s="10" t="s">
        <v>360</v>
      </c>
      <c r="G7852" s="10" t="s">
        <v>161</v>
      </c>
    </row>
    <row r="7853" spans="1:7" x14ac:dyDescent="0.35">
      <c r="A7853" s="2">
        <v>43234</v>
      </c>
      <c r="B7853" s="40" t="s">
        <v>113</v>
      </c>
      <c r="C7853" s="10">
        <v>74</v>
      </c>
      <c r="D7853" s="10">
        <v>379</v>
      </c>
      <c r="E7853" s="10" t="s">
        <v>159</v>
      </c>
      <c r="F7853" s="10" t="s">
        <v>360</v>
      </c>
    </row>
    <row r="7854" spans="1:7" x14ac:dyDescent="0.35">
      <c r="A7854" s="2">
        <v>43234</v>
      </c>
      <c r="B7854" s="40" t="s">
        <v>113</v>
      </c>
      <c r="C7854" s="10">
        <v>71</v>
      </c>
      <c r="D7854" s="10">
        <v>306</v>
      </c>
      <c r="E7854" s="10" t="s">
        <v>32</v>
      </c>
      <c r="F7854" s="10" t="s">
        <v>198</v>
      </c>
    </row>
    <row r="7855" spans="1:7" x14ac:dyDescent="0.35">
      <c r="A7855" s="2">
        <v>43234</v>
      </c>
      <c r="B7855" s="40" t="s">
        <v>113</v>
      </c>
      <c r="C7855" s="10">
        <v>65</v>
      </c>
      <c r="D7855" s="10">
        <v>216</v>
      </c>
      <c r="E7855" s="10" t="s">
        <v>32</v>
      </c>
      <c r="F7855" s="10" t="s">
        <v>198</v>
      </c>
      <c r="G7855" s="10" t="s">
        <v>161</v>
      </c>
    </row>
    <row r="7856" spans="1:7" x14ac:dyDescent="0.35">
      <c r="A7856" s="2">
        <v>43234</v>
      </c>
      <c r="B7856" s="40" t="s">
        <v>113</v>
      </c>
      <c r="C7856" s="10">
        <v>68</v>
      </c>
      <c r="D7856" s="10">
        <v>323</v>
      </c>
      <c r="E7856" s="10" t="s">
        <v>32</v>
      </c>
      <c r="F7856" s="10" t="s">
        <v>360</v>
      </c>
      <c r="G7856" s="10" t="s">
        <v>161</v>
      </c>
    </row>
    <row r="7857" spans="1:7" x14ac:dyDescent="0.35">
      <c r="A7857" s="2">
        <v>43234</v>
      </c>
      <c r="B7857" s="40" t="s">
        <v>113</v>
      </c>
      <c r="C7857" s="10">
        <v>61</v>
      </c>
      <c r="D7857" s="10">
        <v>196</v>
      </c>
      <c r="E7857" s="10" t="s">
        <v>37</v>
      </c>
      <c r="F7857" s="10" t="s">
        <v>360</v>
      </c>
      <c r="G7857" s="10" t="s">
        <v>161</v>
      </c>
    </row>
    <row r="7858" spans="1:7" s="4" customFormat="1" x14ac:dyDescent="0.35">
      <c r="A7858" s="3">
        <v>43234</v>
      </c>
      <c r="B7858" s="44" t="s">
        <v>113</v>
      </c>
      <c r="C7858" s="11">
        <v>74</v>
      </c>
      <c r="D7858" s="11">
        <v>386</v>
      </c>
      <c r="E7858" s="11" t="s">
        <v>32</v>
      </c>
      <c r="F7858" s="11" t="s">
        <v>360</v>
      </c>
      <c r="G7858" s="11" t="s">
        <v>161</v>
      </c>
    </row>
    <row r="7859" spans="1:7" x14ac:dyDescent="0.35">
      <c r="A7859" s="2">
        <v>43234</v>
      </c>
      <c r="B7859" s="40" t="s">
        <v>102</v>
      </c>
      <c r="C7859" s="10">
        <v>111</v>
      </c>
      <c r="D7859" s="10">
        <v>1694</v>
      </c>
      <c r="E7859" s="10" t="s">
        <v>59</v>
      </c>
    </row>
    <row r="7860" spans="1:7" x14ac:dyDescent="0.35">
      <c r="A7860" s="2">
        <v>43234</v>
      </c>
      <c r="B7860" s="40" t="s">
        <v>102</v>
      </c>
      <c r="C7860" s="10">
        <v>71</v>
      </c>
      <c r="D7860" s="10">
        <v>271</v>
      </c>
      <c r="E7860" s="10" t="s">
        <v>159</v>
      </c>
      <c r="F7860" t="s">
        <v>360</v>
      </c>
    </row>
    <row r="7861" spans="1:7" x14ac:dyDescent="0.35">
      <c r="A7861" s="2">
        <v>43234</v>
      </c>
      <c r="B7861" s="40" t="s">
        <v>102</v>
      </c>
      <c r="C7861" s="10">
        <v>71</v>
      </c>
      <c r="D7861" s="10">
        <v>300</v>
      </c>
      <c r="E7861" s="10" t="s">
        <v>37</v>
      </c>
      <c r="F7861" t="s">
        <v>360</v>
      </c>
      <c r="G7861" t="s">
        <v>161</v>
      </c>
    </row>
    <row r="7862" spans="1:7" x14ac:dyDescent="0.35">
      <c r="A7862" s="2">
        <v>43234</v>
      </c>
      <c r="B7862" s="40" t="s">
        <v>102</v>
      </c>
      <c r="C7862" s="10">
        <v>79</v>
      </c>
      <c r="D7862" s="10">
        <v>417</v>
      </c>
      <c r="E7862" s="10" t="s">
        <v>32</v>
      </c>
      <c r="F7862" t="s">
        <v>360</v>
      </c>
    </row>
    <row r="7863" spans="1:7" x14ac:dyDescent="0.35">
      <c r="A7863" s="2">
        <v>43234</v>
      </c>
      <c r="B7863" s="40" t="s">
        <v>102</v>
      </c>
      <c r="C7863" s="10">
        <v>74</v>
      </c>
      <c r="D7863" s="10">
        <v>408</v>
      </c>
      <c r="E7863" s="10" t="s">
        <v>32</v>
      </c>
      <c r="F7863" t="s">
        <v>360</v>
      </c>
      <c r="G7863" t="s">
        <v>161</v>
      </c>
    </row>
    <row r="7864" spans="1:7" x14ac:dyDescent="0.35">
      <c r="A7864" s="2">
        <v>43234</v>
      </c>
      <c r="B7864" s="40" t="s">
        <v>102</v>
      </c>
      <c r="C7864" s="10">
        <v>77</v>
      </c>
      <c r="D7864" s="10">
        <v>376</v>
      </c>
      <c r="E7864" s="10" t="s">
        <v>37</v>
      </c>
      <c r="F7864" t="s">
        <v>360</v>
      </c>
      <c r="G7864" t="s">
        <v>161</v>
      </c>
    </row>
    <row r="7865" spans="1:7" x14ac:dyDescent="0.35">
      <c r="A7865" s="2">
        <v>43234</v>
      </c>
      <c r="B7865" s="40" t="s">
        <v>102</v>
      </c>
      <c r="C7865" s="10">
        <v>68</v>
      </c>
      <c r="D7865" s="10">
        <v>292</v>
      </c>
      <c r="E7865" s="10" t="s">
        <v>32</v>
      </c>
      <c r="F7865" t="s">
        <v>293</v>
      </c>
    </row>
    <row r="7866" spans="1:7" x14ac:dyDescent="0.35">
      <c r="A7866" s="2">
        <v>43234</v>
      </c>
      <c r="B7866" s="40" t="s">
        <v>102</v>
      </c>
      <c r="C7866" s="10">
        <v>73</v>
      </c>
      <c r="D7866" s="10">
        <v>317</v>
      </c>
      <c r="E7866" s="10" t="s">
        <v>32</v>
      </c>
      <c r="F7866" t="s">
        <v>360</v>
      </c>
    </row>
    <row r="7867" spans="1:7" x14ac:dyDescent="0.35">
      <c r="A7867" s="2">
        <v>43234</v>
      </c>
      <c r="B7867" s="40" t="s">
        <v>102</v>
      </c>
      <c r="C7867" s="10">
        <v>68</v>
      </c>
      <c r="D7867" s="10">
        <v>212</v>
      </c>
      <c r="E7867" s="10" t="s">
        <v>32</v>
      </c>
      <c r="F7867" t="s">
        <v>360</v>
      </c>
      <c r="G7867" t="s">
        <v>161</v>
      </c>
    </row>
    <row r="7868" spans="1:7" x14ac:dyDescent="0.35">
      <c r="A7868" s="2">
        <v>43234</v>
      </c>
      <c r="B7868" s="40" t="s">
        <v>102</v>
      </c>
      <c r="C7868" s="10">
        <v>73</v>
      </c>
      <c r="D7868" s="10">
        <v>355</v>
      </c>
      <c r="E7868" s="10" t="s">
        <v>32</v>
      </c>
      <c r="F7868" t="s">
        <v>360</v>
      </c>
      <c r="G7868" t="s">
        <v>161</v>
      </c>
    </row>
    <row r="7869" spans="1:7" x14ac:dyDescent="0.35">
      <c r="A7869" s="2">
        <v>43234</v>
      </c>
      <c r="B7869" s="40" t="s">
        <v>102</v>
      </c>
      <c r="C7869" s="10">
        <v>69</v>
      </c>
      <c r="D7869" s="10">
        <v>288</v>
      </c>
      <c r="E7869" s="10" t="s">
        <v>37</v>
      </c>
      <c r="F7869" t="s">
        <v>360</v>
      </c>
      <c r="G7869" t="s">
        <v>161</v>
      </c>
    </row>
    <row r="7870" spans="1:7" x14ac:dyDescent="0.35">
      <c r="A7870" s="2">
        <v>43234</v>
      </c>
      <c r="B7870" s="40" t="s">
        <v>102</v>
      </c>
      <c r="C7870" s="10">
        <v>68</v>
      </c>
      <c r="D7870" s="10">
        <v>278</v>
      </c>
      <c r="E7870" s="10" t="s">
        <v>159</v>
      </c>
      <c r="F7870" t="s">
        <v>783</v>
      </c>
    </row>
    <row r="7871" spans="1:7" x14ac:dyDescent="0.35">
      <c r="A7871" s="2">
        <v>43234</v>
      </c>
      <c r="B7871" s="40" t="s">
        <v>102</v>
      </c>
      <c r="C7871" s="10">
        <v>74</v>
      </c>
      <c r="D7871" s="10">
        <v>313</v>
      </c>
      <c r="E7871" s="10" t="s">
        <v>37</v>
      </c>
      <c r="F7871" t="s">
        <v>360</v>
      </c>
      <c r="G7871" t="s">
        <v>161</v>
      </c>
    </row>
    <row r="7872" spans="1:7" x14ac:dyDescent="0.35">
      <c r="A7872" s="2">
        <v>43234</v>
      </c>
      <c r="B7872" s="40" t="s">
        <v>102</v>
      </c>
      <c r="C7872" s="10">
        <v>67</v>
      </c>
      <c r="D7872" s="10">
        <v>304</v>
      </c>
      <c r="E7872" s="10" t="s">
        <v>159</v>
      </c>
      <c r="F7872" t="s">
        <v>360</v>
      </c>
    </row>
    <row r="7873" spans="1:7" x14ac:dyDescent="0.35">
      <c r="A7873" s="2">
        <v>43234</v>
      </c>
      <c r="B7873" s="40" t="s">
        <v>102</v>
      </c>
      <c r="C7873" s="10">
        <v>72</v>
      </c>
      <c r="D7873" s="10">
        <v>230</v>
      </c>
      <c r="E7873" s="10" t="s">
        <v>32</v>
      </c>
      <c r="F7873" t="s">
        <v>360</v>
      </c>
    </row>
    <row r="7874" spans="1:7" x14ac:dyDescent="0.35">
      <c r="A7874" s="2">
        <v>43234</v>
      </c>
      <c r="B7874" s="40" t="s">
        <v>102</v>
      </c>
      <c r="C7874" s="10">
        <v>71</v>
      </c>
      <c r="D7874" s="10">
        <v>267</v>
      </c>
      <c r="E7874" s="10" t="s">
        <v>159</v>
      </c>
      <c r="F7874" t="s">
        <v>360</v>
      </c>
    </row>
    <row r="7875" spans="1:7" x14ac:dyDescent="0.35">
      <c r="A7875" s="2">
        <v>43234</v>
      </c>
      <c r="B7875" s="40" t="s">
        <v>102</v>
      </c>
      <c r="C7875" s="10">
        <v>68</v>
      </c>
      <c r="D7875" s="10">
        <v>237</v>
      </c>
      <c r="E7875" s="10" t="s">
        <v>32</v>
      </c>
      <c r="F7875" t="s">
        <v>646</v>
      </c>
    </row>
    <row r="7876" spans="1:7" x14ac:dyDescent="0.35">
      <c r="A7876" s="2">
        <v>43234</v>
      </c>
      <c r="B7876" s="40" t="s">
        <v>102</v>
      </c>
      <c r="C7876" s="10">
        <v>73</v>
      </c>
      <c r="D7876" s="10">
        <v>362</v>
      </c>
      <c r="E7876" s="10" t="s">
        <v>32</v>
      </c>
      <c r="F7876" t="s">
        <v>360</v>
      </c>
    </row>
    <row r="7877" spans="1:7" x14ac:dyDescent="0.35">
      <c r="A7877" s="2">
        <v>43234</v>
      </c>
      <c r="B7877" s="40" t="s">
        <v>102</v>
      </c>
      <c r="C7877" s="10">
        <v>64</v>
      </c>
      <c r="D7877" s="10">
        <v>230</v>
      </c>
      <c r="E7877" s="10" t="s">
        <v>32</v>
      </c>
      <c r="F7877" t="s">
        <v>360</v>
      </c>
    </row>
    <row r="7878" spans="1:7" x14ac:dyDescent="0.35">
      <c r="A7878" s="2">
        <v>43234</v>
      </c>
      <c r="B7878" s="40" t="s">
        <v>102</v>
      </c>
      <c r="C7878" s="10">
        <v>63</v>
      </c>
      <c r="D7878" s="10">
        <v>250</v>
      </c>
      <c r="E7878" s="10" t="s">
        <v>32</v>
      </c>
      <c r="F7878" t="s">
        <v>360</v>
      </c>
      <c r="G7878" t="s">
        <v>161</v>
      </c>
    </row>
    <row r="7879" spans="1:7" x14ac:dyDescent="0.35">
      <c r="A7879" s="2">
        <v>43234</v>
      </c>
      <c r="B7879" s="40" t="s">
        <v>102</v>
      </c>
      <c r="C7879" s="10">
        <v>70</v>
      </c>
      <c r="D7879" s="10">
        <v>305</v>
      </c>
      <c r="E7879" s="10" t="s">
        <v>37</v>
      </c>
      <c r="F7879" t="s">
        <v>198</v>
      </c>
      <c r="G7879" t="s">
        <v>161</v>
      </c>
    </row>
    <row r="7880" spans="1:7" x14ac:dyDescent="0.35">
      <c r="A7880" s="2">
        <v>43234</v>
      </c>
      <c r="B7880" s="40" t="s">
        <v>102</v>
      </c>
      <c r="C7880" s="10">
        <v>68</v>
      </c>
      <c r="D7880" s="10">
        <v>153</v>
      </c>
      <c r="E7880" s="10" t="s">
        <v>32</v>
      </c>
      <c r="F7880" t="s">
        <v>646</v>
      </c>
    </row>
    <row r="7881" spans="1:7" x14ac:dyDescent="0.35">
      <c r="A7881" s="2">
        <v>43234</v>
      </c>
      <c r="B7881" s="40" t="s">
        <v>102</v>
      </c>
      <c r="C7881" s="10">
        <v>65</v>
      </c>
      <c r="D7881" s="10">
        <v>233</v>
      </c>
      <c r="E7881" s="10" t="s">
        <v>32</v>
      </c>
      <c r="F7881" t="s">
        <v>360</v>
      </c>
      <c r="G7881" t="s">
        <v>161</v>
      </c>
    </row>
    <row r="7882" spans="1:7" x14ac:dyDescent="0.35">
      <c r="A7882" s="2">
        <v>43234</v>
      </c>
      <c r="B7882" s="40" t="s">
        <v>102</v>
      </c>
      <c r="C7882" s="10">
        <v>68</v>
      </c>
      <c r="D7882" s="10">
        <v>264</v>
      </c>
      <c r="E7882" s="10" t="s">
        <v>34</v>
      </c>
      <c r="F7882" t="s">
        <v>198</v>
      </c>
    </row>
    <row r="7883" spans="1:7" x14ac:dyDescent="0.35">
      <c r="A7883" s="2">
        <v>43234</v>
      </c>
      <c r="B7883" s="40" t="s">
        <v>102</v>
      </c>
      <c r="C7883" s="10">
        <v>73</v>
      </c>
      <c r="D7883" s="10">
        <v>271</v>
      </c>
      <c r="E7883" s="10" t="s">
        <v>32</v>
      </c>
      <c r="F7883" t="s">
        <v>360</v>
      </c>
      <c r="G7883" t="s">
        <v>161</v>
      </c>
    </row>
    <row r="7884" spans="1:7" x14ac:dyDescent="0.35">
      <c r="A7884" s="2">
        <v>43234</v>
      </c>
      <c r="B7884" s="40" t="s">
        <v>102</v>
      </c>
      <c r="C7884" s="10">
        <v>66</v>
      </c>
      <c r="D7884" s="10">
        <v>255</v>
      </c>
      <c r="E7884" s="10" t="s">
        <v>32</v>
      </c>
      <c r="F7884" t="s">
        <v>360</v>
      </c>
    </row>
    <row r="7885" spans="1:7" x14ac:dyDescent="0.35">
      <c r="A7885" s="2">
        <v>43234</v>
      </c>
      <c r="B7885" s="40" t="s">
        <v>102</v>
      </c>
      <c r="C7885" s="10">
        <v>68</v>
      </c>
      <c r="D7885" s="10">
        <v>232</v>
      </c>
      <c r="E7885" s="10" t="s">
        <v>34</v>
      </c>
      <c r="F7885" t="s">
        <v>476</v>
      </c>
      <c r="G7885" t="s">
        <v>161</v>
      </c>
    </row>
    <row r="7886" spans="1:7" x14ac:dyDescent="0.35">
      <c r="A7886" s="2">
        <v>43234</v>
      </c>
      <c r="B7886" s="40" t="s">
        <v>102</v>
      </c>
      <c r="C7886" s="10">
        <v>73</v>
      </c>
      <c r="D7886" s="10">
        <v>313</v>
      </c>
      <c r="E7886" s="10" t="s">
        <v>37</v>
      </c>
      <c r="F7886" t="s">
        <v>360</v>
      </c>
    </row>
    <row r="7887" spans="1:7" x14ac:dyDescent="0.35">
      <c r="A7887" s="2">
        <v>43234</v>
      </c>
      <c r="B7887" s="40" t="s">
        <v>102</v>
      </c>
      <c r="C7887" s="10">
        <v>69</v>
      </c>
      <c r="D7887" s="10">
        <v>275</v>
      </c>
      <c r="E7887" s="10" t="s">
        <v>37</v>
      </c>
      <c r="F7887" t="s">
        <v>783</v>
      </c>
    </row>
    <row r="7888" spans="1:7" x14ac:dyDescent="0.35">
      <c r="A7888" s="2">
        <v>43234</v>
      </c>
      <c r="B7888" s="40" t="s">
        <v>102</v>
      </c>
      <c r="C7888" s="10">
        <v>61</v>
      </c>
      <c r="D7888" s="10">
        <v>200</v>
      </c>
      <c r="E7888" s="10" t="s">
        <v>32</v>
      </c>
      <c r="F7888" t="s">
        <v>360</v>
      </c>
    </row>
    <row r="7889" spans="1:7" x14ac:dyDescent="0.35">
      <c r="A7889" s="2">
        <v>43234</v>
      </c>
      <c r="B7889" s="40" t="s">
        <v>102</v>
      </c>
      <c r="C7889" s="10">
        <v>74</v>
      </c>
      <c r="D7889" s="10">
        <v>363</v>
      </c>
      <c r="E7889" s="10" t="s">
        <v>32</v>
      </c>
      <c r="F7889" t="s">
        <v>360</v>
      </c>
      <c r="G7889" t="s">
        <v>161</v>
      </c>
    </row>
    <row r="7890" spans="1:7" x14ac:dyDescent="0.35">
      <c r="A7890" s="2">
        <v>43234</v>
      </c>
      <c r="B7890" s="40" t="s">
        <v>102</v>
      </c>
      <c r="C7890" s="10">
        <v>72</v>
      </c>
      <c r="D7890" s="10">
        <v>296</v>
      </c>
      <c r="E7890" s="10" t="s">
        <v>37</v>
      </c>
      <c r="F7890" t="s">
        <v>360</v>
      </c>
    </row>
    <row r="7891" spans="1:7" x14ac:dyDescent="0.35">
      <c r="A7891" s="2">
        <v>43234</v>
      </c>
      <c r="B7891" s="40" t="s">
        <v>102</v>
      </c>
      <c r="C7891" s="10">
        <v>77</v>
      </c>
      <c r="D7891" s="10">
        <v>423</v>
      </c>
      <c r="E7891" s="10" t="s">
        <v>37</v>
      </c>
      <c r="F7891" t="s">
        <v>783</v>
      </c>
      <c r="G7891" t="s">
        <v>161</v>
      </c>
    </row>
    <row r="7892" spans="1:7" x14ac:dyDescent="0.35">
      <c r="A7892" s="2">
        <v>43234</v>
      </c>
      <c r="B7892" s="40" t="s">
        <v>102</v>
      </c>
      <c r="C7892" s="10">
        <v>66</v>
      </c>
      <c r="D7892" s="10">
        <v>251</v>
      </c>
      <c r="E7892" s="10" t="s">
        <v>37</v>
      </c>
      <c r="F7892" t="s">
        <v>783</v>
      </c>
      <c r="G7892" t="s">
        <v>161</v>
      </c>
    </row>
    <row r="7893" spans="1:7" x14ac:dyDescent="0.35">
      <c r="A7893" s="2">
        <v>43234</v>
      </c>
      <c r="B7893" s="40" t="s">
        <v>102</v>
      </c>
      <c r="C7893" s="10">
        <v>68</v>
      </c>
      <c r="D7893" s="10">
        <v>225</v>
      </c>
      <c r="E7893" s="10" t="s">
        <v>37</v>
      </c>
      <c r="F7893" t="s">
        <v>360</v>
      </c>
      <c r="G7893" t="s">
        <v>161</v>
      </c>
    </row>
    <row r="7894" spans="1:7" x14ac:dyDescent="0.35">
      <c r="A7894" s="2">
        <v>43234</v>
      </c>
      <c r="B7894" s="40" t="s">
        <v>102</v>
      </c>
      <c r="C7894" s="10">
        <v>64</v>
      </c>
      <c r="D7894" s="10">
        <v>246</v>
      </c>
      <c r="E7894" s="10" t="s">
        <v>37</v>
      </c>
      <c r="F7894" t="s">
        <v>360</v>
      </c>
      <c r="G7894" t="s">
        <v>161</v>
      </c>
    </row>
    <row r="7895" spans="1:7" x14ac:dyDescent="0.35">
      <c r="A7895" s="2">
        <v>43234</v>
      </c>
      <c r="B7895" s="40" t="s">
        <v>102</v>
      </c>
      <c r="C7895" s="10">
        <v>68</v>
      </c>
      <c r="D7895" s="10">
        <v>296</v>
      </c>
      <c r="E7895" s="10" t="s">
        <v>159</v>
      </c>
      <c r="F7895" t="s">
        <v>783</v>
      </c>
    </row>
    <row r="7896" spans="1:7" x14ac:dyDescent="0.35">
      <c r="A7896" s="2">
        <v>43234</v>
      </c>
      <c r="B7896" s="40" t="s">
        <v>102</v>
      </c>
      <c r="C7896" s="10">
        <v>74</v>
      </c>
      <c r="D7896" s="10">
        <v>339</v>
      </c>
      <c r="E7896" s="10" t="s">
        <v>37</v>
      </c>
      <c r="F7896" t="s">
        <v>360</v>
      </c>
      <c r="G7896" t="s">
        <v>161</v>
      </c>
    </row>
    <row r="7897" spans="1:7" x14ac:dyDescent="0.35">
      <c r="A7897" s="2">
        <v>43234</v>
      </c>
      <c r="B7897" s="40" t="s">
        <v>102</v>
      </c>
      <c r="C7897" s="10">
        <v>73</v>
      </c>
      <c r="D7897" s="10">
        <v>400</v>
      </c>
      <c r="E7897" s="10" t="s">
        <v>32</v>
      </c>
      <c r="F7897" t="s">
        <v>360</v>
      </c>
      <c r="G7897" t="s">
        <v>161</v>
      </c>
    </row>
    <row r="7898" spans="1:7" x14ac:dyDescent="0.35">
      <c r="A7898" s="2">
        <v>43234</v>
      </c>
      <c r="B7898" s="40" t="s">
        <v>102</v>
      </c>
      <c r="C7898" s="10">
        <v>73</v>
      </c>
      <c r="D7898" s="10">
        <v>377</v>
      </c>
      <c r="E7898" s="10" t="s">
        <v>37</v>
      </c>
      <c r="F7898" t="s">
        <v>360</v>
      </c>
    </row>
    <row r="7899" spans="1:7" x14ac:dyDescent="0.35">
      <c r="A7899" s="2">
        <v>43234</v>
      </c>
      <c r="B7899" s="40" t="s">
        <v>102</v>
      </c>
      <c r="C7899" s="10">
        <v>77</v>
      </c>
      <c r="D7899" s="10">
        <v>385</v>
      </c>
      <c r="E7899" s="10" t="s">
        <v>159</v>
      </c>
      <c r="F7899" t="s">
        <v>360</v>
      </c>
    </row>
    <row r="7900" spans="1:7" x14ac:dyDescent="0.35">
      <c r="A7900" s="2">
        <v>43234</v>
      </c>
      <c r="B7900" s="40" t="s">
        <v>102</v>
      </c>
      <c r="C7900" s="10">
        <v>70</v>
      </c>
      <c r="D7900" s="10">
        <v>318</v>
      </c>
      <c r="E7900" s="10" t="s">
        <v>32</v>
      </c>
      <c r="F7900" t="s">
        <v>360</v>
      </c>
      <c r="G7900" t="s">
        <v>161</v>
      </c>
    </row>
    <row r="7901" spans="1:7" x14ac:dyDescent="0.35">
      <c r="A7901" s="2">
        <v>43234</v>
      </c>
      <c r="B7901" s="40" t="s">
        <v>102</v>
      </c>
      <c r="C7901" s="10">
        <v>78</v>
      </c>
      <c r="D7901" s="10">
        <v>378</v>
      </c>
      <c r="E7901" s="10" t="s">
        <v>159</v>
      </c>
      <c r="F7901" t="s">
        <v>360</v>
      </c>
    </row>
    <row r="7902" spans="1:7" x14ac:dyDescent="0.35">
      <c r="A7902" s="2">
        <v>43234</v>
      </c>
      <c r="B7902" s="40" t="s">
        <v>102</v>
      </c>
      <c r="C7902" s="10">
        <v>71</v>
      </c>
      <c r="D7902" s="10">
        <v>236</v>
      </c>
      <c r="E7902" s="10" t="s">
        <v>34</v>
      </c>
      <c r="F7902" t="s">
        <v>476</v>
      </c>
    </row>
    <row r="7903" spans="1:7" x14ac:dyDescent="0.35">
      <c r="A7903" s="2">
        <v>43234</v>
      </c>
      <c r="B7903" s="40" t="s">
        <v>102</v>
      </c>
      <c r="C7903" s="10">
        <v>68</v>
      </c>
      <c r="D7903" s="10">
        <v>264</v>
      </c>
      <c r="E7903" s="10" t="s">
        <v>37</v>
      </c>
      <c r="F7903" t="s">
        <v>360</v>
      </c>
      <c r="G7903" t="s">
        <v>161</v>
      </c>
    </row>
    <row r="7904" spans="1:7" x14ac:dyDescent="0.35">
      <c r="A7904" s="2">
        <v>43234</v>
      </c>
      <c r="B7904" s="40" t="s">
        <v>102</v>
      </c>
      <c r="C7904" s="10">
        <v>62</v>
      </c>
      <c r="D7904" s="10">
        <v>190</v>
      </c>
      <c r="E7904" s="10" t="s">
        <v>32</v>
      </c>
      <c r="F7904" t="s">
        <v>360</v>
      </c>
    </row>
    <row r="7905" spans="1:7" x14ac:dyDescent="0.35">
      <c r="A7905" s="2">
        <v>43234</v>
      </c>
      <c r="B7905" s="40" t="s">
        <v>102</v>
      </c>
      <c r="C7905" s="10">
        <v>68</v>
      </c>
      <c r="D7905" s="10">
        <v>227</v>
      </c>
      <c r="E7905" s="10" t="s">
        <v>32</v>
      </c>
      <c r="F7905" t="s">
        <v>360</v>
      </c>
    </row>
    <row r="7906" spans="1:7" x14ac:dyDescent="0.35">
      <c r="A7906" s="2">
        <v>43234</v>
      </c>
      <c r="B7906" s="40" t="s">
        <v>102</v>
      </c>
      <c r="C7906" s="10">
        <v>70</v>
      </c>
      <c r="D7906" s="10">
        <v>279</v>
      </c>
      <c r="E7906" s="10" t="s">
        <v>37</v>
      </c>
      <c r="F7906" t="s">
        <v>360</v>
      </c>
      <c r="G7906" t="s">
        <v>161</v>
      </c>
    </row>
    <row r="7907" spans="1:7" x14ac:dyDescent="0.35">
      <c r="A7907" s="2">
        <v>43234</v>
      </c>
      <c r="B7907" s="40" t="s">
        <v>102</v>
      </c>
      <c r="C7907" s="10">
        <v>76</v>
      </c>
      <c r="D7907" s="10">
        <v>393</v>
      </c>
      <c r="E7907" s="10" t="s">
        <v>159</v>
      </c>
      <c r="F7907" t="s">
        <v>360</v>
      </c>
    </row>
    <row r="7908" spans="1:7" x14ac:dyDescent="0.35">
      <c r="A7908" s="2">
        <v>43234</v>
      </c>
      <c r="B7908" s="40" t="s">
        <v>102</v>
      </c>
      <c r="C7908" s="10">
        <v>71</v>
      </c>
      <c r="D7908" s="10">
        <v>307</v>
      </c>
      <c r="E7908" s="10" t="s">
        <v>159</v>
      </c>
      <c r="F7908" t="s">
        <v>360</v>
      </c>
    </row>
    <row r="7909" spans="1:7" s="4" customFormat="1" x14ac:dyDescent="0.35">
      <c r="A7909" s="3">
        <v>43234</v>
      </c>
      <c r="B7909" s="44" t="s">
        <v>102</v>
      </c>
      <c r="C7909" s="11">
        <v>70</v>
      </c>
      <c r="D7909" s="11">
        <v>350</v>
      </c>
      <c r="E7909" s="11" t="s">
        <v>159</v>
      </c>
      <c r="F7909" s="4" t="s">
        <v>360</v>
      </c>
    </row>
    <row r="7910" spans="1:7" x14ac:dyDescent="0.35">
      <c r="A7910" s="2">
        <v>43234</v>
      </c>
      <c r="B7910" s="40" t="s">
        <v>66</v>
      </c>
      <c r="C7910" s="10">
        <v>108</v>
      </c>
      <c r="D7910" s="10">
        <v>1640</v>
      </c>
      <c r="E7910" s="10" t="s">
        <v>59</v>
      </c>
    </row>
    <row r="7911" spans="1:7" x14ac:dyDescent="0.35">
      <c r="A7911" s="2">
        <v>43234</v>
      </c>
      <c r="B7911" s="40" t="s">
        <v>66</v>
      </c>
      <c r="C7911" s="10">
        <v>144</v>
      </c>
      <c r="D7911" s="10">
        <v>4206</v>
      </c>
      <c r="E7911" s="10" t="s">
        <v>59</v>
      </c>
    </row>
    <row r="7912" spans="1:7" x14ac:dyDescent="0.35">
      <c r="A7912" s="2">
        <v>43234</v>
      </c>
      <c r="B7912" s="40" t="s">
        <v>66</v>
      </c>
      <c r="C7912" s="10">
        <v>69</v>
      </c>
      <c r="D7912" s="10">
        <v>273</v>
      </c>
      <c r="E7912" t="s">
        <v>32</v>
      </c>
      <c r="F7912" s="10" t="s">
        <v>646</v>
      </c>
    </row>
    <row r="7913" spans="1:7" x14ac:dyDescent="0.35">
      <c r="A7913" s="2">
        <v>43234</v>
      </c>
      <c r="B7913" s="40" t="s">
        <v>66</v>
      </c>
      <c r="C7913" s="10">
        <v>74</v>
      </c>
      <c r="D7913" s="10">
        <v>298</v>
      </c>
      <c r="E7913" t="s">
        <v>37</v>
      </c>
      <c r="F7913" s="10" t="s">
        <v>360</v>
      </c>
    </row>
    <row r="7914" spans="1:7" x14ac:dyDescent="0.35">
      <c r="A7914" s="2">
        <v>43234</v>
      </c>
      <c r="B7914" s="40" t="s">
        <v>66</v>
      </c>
      <c r="C7914" s="10">
        <v>78</v>
      </c>
      <c r="D7914" s="10">
        <v>307</v>
      </c>
      <c r="E7914" t="s">
        <v>37</v>
      </c>
      <c r="F7914" s="10" t="s">
        <v>360</v>
      </c>
      <c r="G7914" t="s">
        <v>161</v>
      </c>
    </row>
    <row r="7915" spans="1:7" x14ac:dyDescent="0.35">
      <c r="A7915" s="2">
        <v>43234</v>
      </c>
      <c r="B7915" s="40" t="s">
        <v>66</v>
      </c>
      <c r="C7915" s="10">
        <v>75</v>
      </c>
      <c r="D7915" s="10">
        <v>282</v>
      </c>
      <c r="E7915" t="s">
        <v>33</v>
      </c>
      <c r="F7915" s="10" t="s">
        <v>476</v>
      </c>
    </row>
    <row r="7916" spans="1:7" x14ac:dyDescent="0.35">
      <c r="A7916" s="2">
        <v>43234</v>
      </c>
      <c r="B7916" s="40" t="s">
        <v>66</v>
      </c>
      <c r="C7916" s="10">
        <v>65</v>
      </c>
      <c r="D7916" s="10">
        <v>258</v>
      </c>
      <c r="E7916" t="s">
        <v>34</v>
      </c>
      <c r="F7916" s="10" t="s">
        <v>646</v>
      </c>
    </row>
    <row r="7917" spans="1:7" x14ac:dyDescent="0.35">
      <c r="A7917" s="2">
        <v>43234</v>
      </c>
      <c r="B7917" s="40" t="s">
        <v>66</v>
      </c>
      <c r="C7917" s="10">
        <v>69</v>
      </c>
      <c r="D7917" s="10">
        <v>231</v>
      </c>
      <c r="E7917" t="s">
        <v>37</v>
      </c>
      <c r="F7917" s="10" t="s">
        <v>360</v>
      </c>
    </row>
    <row r="7918" spans="1:7" x14ac:dyDescent="0.35">
      <c r="A7918" s="2">
        <v>43234</v>
      </c>
      <c r="B7918" s="40" t="s">
        <v>66</v>
      </c>
      <c r="C7918" s="10">
        <v>67</v>
      </c>
      <c r="D7918" s="10">
        <v>191</v>
      </c>
      <c r="E7918" t="s">
        <v>37</v>
      </c>
      <c r="F7918" s="10" t="s">
        <v>198</v>
      </c>
    </row>
    <row r="7919" spans="1:7" x14ac:dyDescent="0.35">
      <c r="A7919" s="2">
        <v>43234</v>
      </c>
      <c r="B7919" s="40" t="s">
        <v>66</v>
      </c>
      <c r="C7919" s="10">
        <v>73</v>
      </c>
      <c r="D7919" s="10">
        <v>231</v>
      </c>
      <c r="E7919" t="s">
        <v>32</v>
      </c>
      <c r="F7919" s="10" t="s">
        <v>360</v>
      </c>
    </row>
    <row r="7920" spans="1:7" x14ac:dyDescent="0.35">
      <c r="A7920" s="2">
        <v>43234</v>
      </c>
      <c r="B7920" s="40" t="s">
        <v>66</v>
      </c>
      <c r="C7920" s="10">
        <v>74</v>
      </c>
      <c r="D7920" s="10">
        <v>260</v>
      </c>
      <c r="E7920" t="s">
        <v>37</v>
      </c>
      <c r="F7920" s="10" t="s">
        <v>293</v>
      </c>
    </row>
    <row r="7921" spans="1:8" x14ac:dyDescent="0.35">
      <c r="A7921" s="2">
        <v>43234</v>
      </c>
      <c r="B7921" s="40" t="s">
        <v>66</v>
      </c>
      <c r="C7921" s="10">
        <v>77</v>
      </c>
      <c r="D7921" s="10">
        <v>328</v>
      </c>
      <c r="E7921" t="s">
        <v>32</v>
      </c>
      <c r="F7921" s="10" t="s">
        <v>198</v>
      </c>
      <c r="G7921" s="10" t="s">
        <v>161</v>
      </c>
      <c r="H7921" s="10" t="s">
        <v>682</v>
      </c>
    </row>
    <row r="7922" spans="1:8" x14ac:dyDescent="0.35">
      <c r="A7922" s="2">
        <v>43234</v>
      </c>
      <c r="B7922" s="40" t="s">
        <v>66</v>
      </c>
      <c r="C7922" s="10">
        <v>70</v>
      </c>
      <c r="D7922" s="10">
        <v>295</v>
      </c>
      <c r="E7922" t="s">
        <v>159</v>
      </c>
      <c r="F7922" s="10" t="s">
        <v>360</v>
      </c>
    </row>
    <row r="7923" spans="1:8" x14ac:dyDescent="0.35">
      <c r="A7923" s="2">
        <v>43234</v>
      </c>
      <c r="B7923" s="40" t="s">
        <v>66</v>
      </c>
      <c r="C7923" s="10">
        <v>70</v>
      </c>
      <c r="D7923" s="10">
        <v>272</v>
      </c>
      <c r="E7923" t="s">
        <v>159</v>
      </c>
      <c r="F7923" s="10" t="s">
        <v>360</v>
      </c>
    </row>
    <row r="7924" spans="1:8" x14ac:dyDescent="0.35">
      <c r="A7924" s="2">
        <v>43234</v>
      </c>
      <c r="B7924" s="40" t="s">
        <v>66</v>
      </c>
      <c r="C7924" s="10">
        <v>72</v>
      </c>
      <c r="D7924" s="10">
        <v>287</v>
      </c>
      <c r="E7924" t="s">
        <v>37</v>
      </c>
      <c r="F7924" s="10" t="s">
        <v>360</v>
      </c>
      <c r="G7924" s="10" t="s">
        <v>161</v>
      </c>
    </row>
    <row r="7925" spans="1:8" x14ac:dyDescent="0.35">
      <c r="A7925" s="2">
        <v>43234</v>
      </c>
      <c r="B7925" s="40" t="s">
        <v>66</v>
      </c>
      <c r="C7925" s="10">
        <v>74</v>
      </c>
      <c r="D7925" s="10">
        <v>351</v>
      </c>
      <c r="E7925" t="s">
        <v>37</v>
      </c>
      <c r="F7925" s="10" t="s">
        <v>360</v>
      </c>
      <c r="G7925" s="10" t="s">
        <v>161</v>
      </c>
    </row>
    <row r="7926" spans="1:8" x14ac:dyDescent="0.35">
      <c r="A7926" s="2">
        <v>43234</v>
      </c>
      <c r="B7926" s="40" t="s">
        <v>66</v>
      </c>
      <c r="C7926" s="10">
        <v>74</v>
      </c>
      <c r="D7926" s="10">
        <v>361</v>
      </c>
      <c r="E7926" t="s">
        <v>34</v>
      </c>
      <c r="F7926" s="10" t="s">
        <v>646</v>
      </c>
    </row>
    <row r="7927" spans="1:8" x14ac:dyDescent="0.35">
      <c r="A7927" s="2">
        <v>43234</v>
      </c>
      <c r="B7927" s="40" t="s">
        <v>66</v>
      </c>
      <c r="C7927" s="53">
        <v>80</v>
      </c>
      <c r="D7927" s="53">
        <v>342</v>
      </c>
      <c r="E7927" s="12" t="s">
        <v>37</v>
      </c>
      <c r="F7927" s="10" t="s">
        <v>293</v>
      </c>
    </row>
    <row r="7928" spans="1:8" x14ac:dyDescent="0.35">
      <c r="A7928" s="2">
        <v>43234</v>
      </c>
      <c r="B7928" s="40" t="s">
        <v>66</v>
      </c>
      <c r="C7928" s="10">
        <v>75</v>
      </c>
      <c r="D7928" s="10">
        <v>409</v>
      </c>
      <c r="E7928" t="s">
        <v>159</v>
      </c>
      <c r="F7928" s="10" t="s">
        <v>360</v>
      </c>
    </row>
    <row r="7929" spans="1:8" x14ac:dyDescent="0.35">
      <c r="A7929" s="2">
        <v>43234</v>
      </c>
      <c r="B7929" s="40" t="s">
        <v>66</v>
      </c>
      <c r="C7929" s="10">
        <v>72</v>
      </c>
      <c r="D7929" s="10">
        <v>251</v>
      </c>
      <c r="E7929" t="s">
        <v>32</v>
      </c>
      <c r="F7929" s="10" t="s">
        <v>646</v>
      </c>
    </row>
    <row r="7930" spans="1:8" x14ac:dyDescent="0.35">
      <c r="A7930" s="2">
        <v>43234</v>
      </c>
      <c r="B7930" s="40" t="s">
        <v>66</v>
      </c>
      <c r="C7930" s="10">
        <v>66</v>
      </c>
      <c r="D7930" s="10">
        <v>200</v>
      </c>
      <c r="E7930" t="s">
        <v>32</v>
      </c>
      <c r="F7930" s="10" t="s">
        <v>360</v>
      </c>
      <c r="G7930" s="10" t="s">
        <v>161</v>
      </c>
    </row>
    <row r="7931" spans="1:8" x14ac:dyDescent="0.35">
      <c r="A7931" s="2">
        <v>43234</v>
      </c>
      <c r="B7931" s="40" t="s">
        <v>66</v>
      </c>
      <c r="C7931" s="10">
        <v>64</v>
      </c>
      <c r="D7931" s="10">
        <v>238</v>
      </c>
      <c r="E7931" t="s">
        <v>32</v>
      </c>
      <c r="F7931" s="10" t="s">
        <v>360</v>
      </c>
    </row>
    <row r="7932" spans="1:8" x14ac:dyDescent="0.35">
      <c r="A7932" s="2">
        <v>43234</v>
      </c>
      <c r="B7932" s="40" t="s">
        <v>66</v>
      </c>
      <c r="C7932" s="10">
        <v>78</v>
      </c>
      <c r="D7932" s="10">
        <v>371</v>
      </c>
      <c r="E7932" t="s">
        <v>34</v>
      </c>
      <c r="F7932" s="10" t="s">
        <v>476</v>
      </c>
    </row>
    <row r="7933" spans="1:8" x14ac:dyDescent="0.35">
      <c r="A7933" s="2">
        <v>43234</v>
      </c>
      <c r="B7933" s="40" t="s">
        <v>66</v>
      </c>
      <c r="C7933" s="10">
        <v>68</v>
      </c>
      <c r="D7933" s="10">
        <v>223</v>
      </c>
      <c r="E7933" t="s">
        <v>37</v>
      </c>
      <c r="F7933" s="10" t="s">
        <v>360</v>
      </c>
    </row>
    <row r="7934" spans="1:8" x14ac:dyDescent="0.35">
      <c r="A7934" s="2">
        <v>43234</v>
      </c>
      <c r="B7934" s="40" t="s">
        <v>66</v>
      </c>
      <c r="C7934" s="10">
        <v>66</v>
      </c>
      <c r="D7934" s="10">
        <v>280</v>
      </c>
      <c r="E7934" t="s">
        <v>32</v>
      </c>
      <c r="F7934" s="10" t="s">
        <v>360</v>
      </c>
      <c r="G7934" s="10" t="s">
        <v>161</v>
      </c>
    </row>
    <row r="7935" spans="1:8" x14ac:dyDescent="0.35">
      <c r="A7935" s="2">
        <v>43234</v>
      </c>
      <c r="B7935" s="40" t="s">
        <v>66</v>
      </c>
      <c r="C7935" s="10">
        <v>74</v>
      </c>
      <c r="D7935" s="10">
        <v>293</v>
      </c>
      <c r="E7935" t="s">
        <v>34</v>
      </c>
      <c r="F7935" s="10" t="s">
        <v>360</v>
      </c>
      <c r="G7935" s="10" t="s">
        <v>161</v>
      </c>
    </row>
    <row r="7936" spans="1:8" x14ac:dyDescent="0.35">
      <c r="A7936" s="2">
        <v>43234</v>
      </c>
      <c r="B7936" s="40" t="s">
        <v>66</v>
      </c>
      <c r="C7936" s="10">
        <v>70</v>
      </c>
      <c r="D7936" s="10">
        <v>220</v>
      </c>
      <c r="E7936" t="s">
        <v>37</v>
      </c>
      <c r="F7936" s="10" t="s">
        <v>293</v>
      </c>
    </row>
    <row r="7937" spans="1:7" x14ac:dyDescent="0.35">
      <c r="A7937" s="2">
        <v>43234</v>
      </c>
      <c r="B7937" s="40" t="s">
        <v>66</v>
      </c>
      <c r="C7937" s="10">
        <v>72</v>
      </c>
      <c r="D7937" s="10">
        <v>265</v>
      </c>
      <c r="E7937" t="s">
        <v>37</v>
      </c>
      <c r="F7937" s="10" t="s">
        <v>293</v>
      </c>
    </row>
    <row r="7938" spans="1:7" x14ac:dyDescent="0.35">
      <c r="A7938" s="2">
        <v>43234</v>
      </c>
      <c r="B7938" s="40" t="s">
        <v>66</v>
      </c>
      <c r="C7938" s="10">
        <v>74</v>
      </c>
      <c r="D7938" s="10">
        <v>320</v>
      </c>
      <c r="E7938" t="s">
        <v>159</v>
      </c>
      <c r="F7938" s="10" t="s">
        <v>360</v>
      </c>
    </row>
    <row r="7939" spans="1:7" x14ac:dyDescent="0.35">
      <c r="A7939" s="2">
        <v>43234</v>
      </c>
      <c r="B7939" s="40" t="s">
        <v>66</v>
      </c>
      <c r="C7939" s="10">
        <v>68</v>
      </c>
      <c r="D7939" s="10">
        <v>280</v>
      </c>
      <c r="E7939" t="s">
        <v>37</v>
      </c>
      <c r="F7939" s="10" t="s">
        <v>360</v>
      </c>
      <c r="G7939" s="10" t="s">
        <v>161</v>
      </c>
    </row>
    <row r="7940" spans="1:7" x14ac:dyDescent="0.35">
      <c r="A7940" s="2">
        <v>43234</v>
      </c>
      <c r="B7940" s="40" t="s">
        <v>66</v>
      </c>
      <c r="C7940" s="10">
        <v>68</v>
      </c>
      <c r="D7940" s="10">
        <v>300</v>
      </c>
      <c r="E7940" t="s">
        <v>32</v>
      </c>
      <c r="F7940" s="10" t="s">
        <v>360</v>
      </c>
      <c r="G7940" s="10" t="s">
        <v>161</v>
      </c>
    </row>
    <row r="7941" spans="1:7" x14ac:dyDescent="0.35">
      <c r="A7941" s="2">
        <v>43234</v>
      </c>
      <c r="B7941" s="40" t="s">
        <v>66</v>
      </c>
      <c r="C7941" s="10">
        <v>68</v>
      </c>
      <c r="D7941" s="10">
        <v>253</v>
      </c>
      <c r="E7941" t="s">
        <v>33</v>
      </c>
      <c r="F7941" s="10" t="s">
        <v>646</v>
      </c>
    </row>
    <row r="7942" spans="1:7" x14ac:dyDescent="0.35">
      <c r="A7942" s="2">
        <v>43234</v>
      </c>
      <c r="B7942" s="40" t="s">
        <v>66</v>
      </c>
      <c r="C7942" s="10">
        <v>73</v>
      </c>
      <c r="D7942" s="10">
        <v>378</v>
      </c>
      <c r="E7942" t="s">
        <v>32</v>
      </c>
      <c r="F7942" s="10" t="s">
        <v>293</v>
      </c>
    </row>
    <row r="7943" spans="1:7" x14ac:dyDescent="0.35">
      <c r="A7943" s="2">
        <v>43234</v>
      </c>
      <c r="B7943" s="40" t="s">
        <v>66</v>
      </c>
      <c r="C7943" s="10">
        <v>75</v>
      </c>
      <c r="D7943" s="10">
        <v>308</v>
      </c>
      <c r="E7943" t="s">
        <v>32</v>
      </c>
      <c r="F7943" s="10" t="s">
        <v>646</v>
      </c>
    </row>
    <row r="7944" spans="1:7" x14ac:dyDescent="0.35">
      <c r="A7944" s="2">
        <v>43234</v>
      </c>
      <c r="B7944" s="40" t="s">
        <v>66</v>
      </c>
      <c r="C7944" s="10">
        <v>69</v>
      </c>
      <c r="D7944" s="10">
        <v>229</v>
      </c>
      <c r="E7944" t="s">
        <v>37</v>
      </c>
      <c r="F7944" s="10" t="s">
        <v>360</v>
      </c>
      <c r="G7944" s="10" t="s">
        <v>161</v>
      </c>
    </row>
    <row r="7945" spans="1:7" x14ac:dyDescent="0.35">
      <c r="A7945" s="2">
        <v>43234</v>
      </c>
      <c r="B7945" s="40" t="s">
        <v>66</v>
      </c>
      <c r="C7945" s="10">
        <v>63</v>
      </c>
      <c r="D7945" s="10">
        <v>197</v>
      </c>
      <c r="E7945" t="s">
        <v>32</v>
      </c>
      <c r="F7945" s="10" t="s">
        <v>360</v>
      </c>
    </row>
    <row r="7946" spans="1:7" x14ac:dyDescent="0.35">
      <c r="A7946" s="2">
        <v>43234</v>
      </c>
      <c r="B7946" s="40" t="s">
        <v>66</v>
      </c>
      <c r="C7946" s="10">
        <v>70</v>
      </c>
      <c r="D7946" s="10">
        <v>325</v>
      </c>
      <c r="E7946" t="s">
        <v>32</v>
      </c>
      <c r="F7946" s="10" t="s">
        <v>360</v>
      </c>
      <c r="G7946" s="10" t="s">
        <v>161</v>
      </c>
    </row>
    <row r="7947" spans="1:7" x14ac:dyDescent="0.35">
      <c r="A7947" s="2">
        <v>43234</v>
      </c>
      <c r="B7947" s="40" t="s">
        <v>66</v>
      </c>
      <c r="C7947" s="10">
        <v>74</v>
      </c>
      <c r="D7947" s="10">
        <v>301</v>
      </c>
      <c r="E7947" t="s">
        <v>37</v>
      </c>
      <c r="F7947" s="10" t="s">
        <v>360</v>
      </c>
      <c r="G7947" s="10" t="s">
        <v>161</v>
      </c>
    </row>
    <row r="7948" spans="1:7" x14ac:dyDescent="0.35">
      <c r="A7948" s="2">
        <v>43234</v>
      </c>
      <c r="B7948" s="40" t="s">
        <v>66</v>
      </c>
      <c r="C7948" s="10">
        <v>63</v>
      </c>
      <c r="D7948" s="10">
        <v>234</v>
      </c>
      <c r="E7948" t="s">
        <v>32</v>
      </c>
      <c r="F7948" s="10" t="s">
        <v>360</v>
      </c>
      <c r="G7948" s="10" t="s">
        <v>161</v>
      </c>
    </row>
    <row r="7949" spans="1:7" x14ac:dyDescent="0.35">
      <c r="A7949" s="2">
        <v>43234</v>
      </c>
      <c r="B7949" s="40" t="s">
        <v>66</v>
      </c>
      <c r="C7949" s="10">
        <v>72</v>
      </c>
      <c r="D7949" s="10">
        <v>286</v>
      </c>
      <c r="E7949" t="s">
        <v>34</v>
      </c>
      <c r="F7949" s="10" t="s">
        <v>646</v>
      </c>
    </row>
    <row r="7950" spans="1:7" x14ac:dyDescent="0.35">
      <c r="A7950" s="2">
        <v>43234</v>
      </c>
      <c r="B7950" s="40" t="s">
        <v>66</v>
      </c>
      <c r="C7950" s="10">
        <v>67</v>
      </c>
      <c r="D7950" s="10">
        <v>250</v>
      </c>
      <c r="E7950" t="s">
        <v>32</v>
      </c>
      <c r="F7950" s="10" t="s">
        <v>360</v>
      </c>
      <c r="G7950" s="10" t="s">
        <v>161</v>
      </c>
    </row>
    <row r="7951" spans="1:7" x14ac:dyDescent="0.35">
      <c r="A7951" s="2">
        <v>43234</v>
      </c>
      <c r="B7951" s="40" t="s">
        <v>66</v>
      </c>
      <c r="C7951" s="10">
        <v>68</v>
      </c>
      <c r="D7951" s="10">
        <v>225</v>
      </c>
      <c r="E7951" t="s">
        <v>34</v>
      </c>
      <c r="F7951" s="10" t="s">
        <v>476</v>
      </c>
    </row>
    <row r="7952" spans="1:7" x14ac:dyDescent="0.35">
      <c r="A7952" s="2">
        <v>43234</v>
      </c>
      <c r="B7952" s="40" t="s">
        <v>66</v>
      </c>
      <c r="C7952" s="10">
        <v>64</v>
      </c>
      <c r="D7952" s="10">
        <v>239</v>
      </c>
      <c r="E7952" t="s">
        <v>32</v>
      </c>
      <c r="F7952" s="10" t="s">
        <v>360</v>
      </c>
      <c r="G7952" s="10" t="s">
        <v>161</v>
      </c>
    </row>
    <row r="7953" spans="1:8" x14ac:dyDescent="0.35">
      <c r="A7953" s="2">
        <v>43234</v>
      </c>
      <c r="B7953" s="40" t="s">
        <v>66</v>
      </c>
      <c r="C7953" s="10">
        <v>77</v>
      </c>
      <c r="D7953" s="10">
        <v>349</v>
      </c>
      <c r="E7953" t="s">
        <v>33</v>
      </c>
      <c r="F7953" s="10" t="s">
        <v>476</v>
      </c>
      <c r="H7953" t="s">
        <v>932</v>
      </c>
    </row>
    <row r="7954" spans="1:8" x14ac:dyDescent="0.35">
      <c r="A7954" s="2">
        <v>43234</v>
      </c>
      <c r="B7954" s="40" t="s">
        <v>66</v>
      </c>
      <c r="C7954" s="10">
        <v>73</v>
      </c>
      <c r="D7954" s="10">
        <v>270</v>
      </c>
      <c r="E7954" t="s">
        <v>36</v>
      </c>
      <c r="F7954" s="10" t="s">
        <v>476</v>
      </c>
    </row>
    <row r="7955" spans="1:8" x14ac:dyDescent="0.35">
      <c r="A7955" s="2">
        <v>43234</v>
      </c>
      <c r="B7955" s="40" t="s">
        <v>66</v>
      </c>
      <c r="C7955" s="10">
        <v>68</v>
      </c>
      <c r="D7955" s="10">
        <v>198</v>
      </c>
      <c r="E7955" t="s">
        <v>32</v>
      </c>
      <c r="F7955" s="10" t="s">
        <v>198</v>
      </c>
    </row>
    <row r="7956" spans="1:8" x14ac:dyDescent="0.35">
      <c r="A7956" s="2">
        <v>43234</v>
      </c>
      <c r="B7956" s="40" t="s">
        <v>66</v>
      </c>
      <c r="C7956" s="10">
        <v>62</v>
      </c>
      <c r="D7956" s="10">
        <v>245</v>
      </c>
      <c r="E7956" t="s">
        <v>37</v>
      </c>
      <c r="F7956" s="10" t="s">
        <v>360</v>
      </c>
      <c r="G7956" s="10" t="s">
        <v>161</v>
      </c>
    </row>
    <row r="7957" spans="1:8" x14ac:dyDescent="0.35">
      <c r="A7957" s="2">
        <v>43234</v>
      </c>
      <c r="B7957" s="40" t="s">
        <v>66</v>
      </c>
      <c r="C7957" s="10">
        <v>67</v>
      </c>
      <c r="D7957" s="10">
        <v>229</v>
      </c>
      <c r="E7957" t="s">
        <v>32</v>
      </c>
      <c r="F7957" s="10" t="s">
        <v>198</v>
      </c>
      <c r="G7957" s="10" t="s">
        <v>161</v>
      </c>
    </row>
    <row r="7958" spans="1:8" x14ac:dyDescent="0.35">
      <c r="A7958" s="2">
        <v>43234</v>
      </c>
      <c r="B7958" s="40" t="s">
        <v>66</v>
      </c>
      <c r="C7958" s="10">
        <v>70</v>
      </c>
      <c r="D7958" s="10">
        <v>333</v>
      </c>
      <c r="E7958" t="s">
        <v>37</v>
      </c>
      <c r="F7958" s="10" t="s">
        <v>360</v>
      </c>
      <c r="G7958" s="10" t="s">
        <v>161</v>
      </c>
    </row>
    <row r="7959" spans="1:8" x14ac:dyDescent="0.35">
      <c r="A7959" s="2">
        <v>43234</v>
      </c>
      <c r="B7959" s="40" t="s">
        <v>66</v>
      </c>
      <c r="C7959" s="10">
        <v>70</v>
      </c>
      <c r="D7959" s="10">
        <v>312</v>
      </c>
      <c r="E7959" t="s">
        <v>159</v>
      </c>
      <c r="F7959" s="10" t="s">
        <v>360</v>
      </c>
    </row>
    <row r="7960" spans="1:8" x14ac:dyDescent="0.35">
      <c r="A7960" s="2">
        <v>43234</v>
      </c>
      <c r="B7960" s="40" t="s">
        <v>66</v>
      </c>
      <c r="C7960" s="10">
        <v>77</v>
      </c>
      <c r="D7960" s="10">
        <v>360</v>
      </c>
      <c r="E7960" t="s">
        <v>32</v>
      </c>
      <c r="F7960" s="10" t="s">
        <v>360</v>
      </c>
    </row>
    <row r="7961" spans="1:8" s="4" customFormat="1" x14ac:dyDescent="0.35">
      <c r="A7961" s="3">
        <v>43234</v>
      </c>
      <c r="B7961" s="44" t="s">
        <v>66</v>
      </c>
      <c r="C7961" s="11">
        <v>74</v>
      </c>
      <c r="D7961" s="11">
        <v>255</v>
      </c>
      <c r="E7961" s="4" t="s">
        <v>32</v>
      </c>
      <c r="F7961" s="4" t="s">
        <v>646</v>
      </c>
    </row>
    <row r="7962" spans="1:8" x14ac:dyDescent="0.35">
      <c r="A7962" s="2">
        <v>43234</v>
      </c>
      <c r="B7962" s="40" t="s">
        <v>63</v>
      </c>
      <c r="C7962" s="10">
        <v>68</v>
      </c>
      <c r="D7962" s="10">
        <v>269</v>
      </c>
      <c r="E7962" s="10" t="s">
        <v>37</v>
      </c>
      <c r="F7962" s="10" t="s">
        <v>646</v>
      </c>
    </row>
    <row r="7963" spans="1:8" x14ac:dyDescent="0.35">
      <c r="A7963" s="2">
        <v>43234</v>
      </c>
      <c r="B7963" s="40" t="s">
        <v>63</v>
      </c>
      <c r="C7963" s="10">
        <v>78</v>
      </c>
      <c r="D7963" s="10">
        <v>295</v>
      </c>
      <c r="E7963" s="10" t="s">
        <v>32</v>
      </c>
      <c r="F7963" s="10" t="s">
        <v>198</v>
      </c>
    </row>
    <row r="7964" spans="1:8" x14ac:dyDescent="0.35">
      <c r="A7964" s="2">
        <v>43234</v>
      </c>
      <c r="B7964" s="40" t="s">
        <v>63</v>
      </c>
      <c r="C7964" s="10">
        <v>69</v>
      </c>
      <c r="D7964" s="10">
        <v>210</v>
      </c>
      <c r="E7964" s="10" t="s">
        <v>34</v>
      </c>
      <c r="F7964" s="10" t="s">
        <v>198</v>
      </c>
    </row>
    <row r="7965" spans="1:8" x14ac:dyDescent="0.35">
      <c r="A7965" s="2">
        <v>43234</v>
      </c>
      <c r="B7965" s="40" t="s">
        <v>63</v>
      </c>
      <c r="C7965" s="10">
        <v>75</v>
      </c>
      <c r="D7965" s="10">
        <v>389</v>
      </c>
      <c r="E7965" s="10" t="s">
        <v>32</v>
      </c>
      <c r="F7965" s="10" t="s">
        <v>293</v>
      </c>
      <c r="G7965" s="10" t="s">
        <v>161</v>
      </c>
    </row>
    <row r="7966" spans="1:8" x14ac:dyDescent="0.35">
      <c r="A7966" s="2">
        <v>43234</v>
      </c>
      <c r="B7966" s="40" t="s">
        <v>63</v>
      </c>
      <c r="C7966" s="10">
        <v>68</v>
      </c>
      <c r="D7966" s="10">
        <v>202</v>
      </c>
      <c r="E7966" s="10" t="s">
        <v>37</v>
      </c>
      <c r="F7966" s="10" t="s">
        <v>646</v>
      </c>
    </row>
    <row r="7967" spans="1:8" x14ac:dyDescent="0.35">
      <c r="A7967" s="2">
        <v>43234</v>
      </c>
      <c r="B7967" s="40" t="s">
        <v>63</v>
      </c>
      <c r="C7967" s="10">
        <v>73</v>
      </c>
      <c r="D7967" s="10">
        <v>340</v>
      </c>
      <c r="E7967" s="10" t="s">
        <v>32</v>
      </c>
      <c r="F7967" s="10" t="s">
        <v>360</v>
      </c>
      <c r="G7967" s="10" t="s">
        <v>161</v>
      </c>
    </row>
    <row r="7968" spans="1:8" x14ac:dyDescent="0.35">
      <c r="A7968" s="2">
        <v>43234</v>
      </c>
      <c r="B7968" s="40" t="s">
        <v>63</v>
      </c>
      <c r="C7968" s="10">
        <v>65</v>
      </c>
      <c r="D7968" s="10">
        <v>190</v>
      </c>
      <c r="E7968" s="10" t="s">
        <v>34</v>
      </c>
      <c r="F7968" s="10" t="s">
        <v>476</v>
      </c>
    </row>
    <row r="7969" spans="1:7" x14ac:dyDescent="0.35">
      <c r="A7969" s="2">
        <v>43234</v>
      </c>
      <c r="B7969" s="40" t="s">
        <v>63</v>
      </c>
      <c r="C7969" s="10">
        <v>74</v>
      </c>
      <c r="D7969" s="10">
        <v>322</v>
      </c>
      <c r="E7969" s="10" t="s">
        <v>34</v>
      </c>
      <c r="F7969" s="10" t="s">
        <v>293</v>
      </c>
    </row>
    <row r="7970" spans="1:7" x14ac:dyDescent="0.35">
      <c r="A7970" s="2">
        <v>43234</v>
      </c>
      <c r="B7970" s="40" t="s">
        <v>63</v>
      </c>
      <c r="C7970" s="10">
        <v>65</v>
      </c>
      <c r="D7970" s="10">
        <v>234</v>
      </c>
      <c r="E7970" s="10" t="s">
        <v>37</v>
      </c>
      <c r="F7970" s="10" t="s">
        <v>360</v>
      </c>
    </row>
    <row r="7971" spans="1:7" x14ac:dyDescent="0.35">
      <c r="A7971" s="2">
        <v>43234</v>
      </c>
      <c r="B7971" s="40" t="s">
        <v>63</v>
      </c>
      <c r="C7971" s="10">
        <v>66</v>
      </c>
      <c r="D7971" s="10">
        <v>195</v>
      </c>
      <c r="E7971" s="10" t="s">
        <v>33</v>
      </c>
      <c r="F7971" s="10" t="s">
        <v>646</v>
      </c>
    </row>
    <row r="7972" spans="1:7" x14ac:dyDescent="0.35">
      <c r="A7972" s="2">
        <v>43234</v>
      </c>
      <c r="B7972" s="40" t="s">
        <v>63</v>
      </c>
      <c r="C7972" s="10">
        <v>73</v>
      </c>
      <c r="D7972" s="10">
        <v>247</v>
      </c>
      <c r="E7972" s="10" t="s">
        <v>32</v>
      </c>
      <c r="F7972" s="10" t="s">
        <v>293</v>
      </c>
    </row>
    <row r="7973" spans="1:7" x14ac:dyDescent="0.35">
      <c r="A7973" s="2">
        <v>43234</v>
      </c>
      <c r="B7973" s="40" t="s">
        <v>63</v>
      </c>
      <c r="C7973" s="10">
        <v>73</v>
      </c>
      <c r="D7973" s="10">
        <v>339</v>
      </c>
      <c r="E7973" s="10" t="s">
        <v>159</v>
      </c>
      <c r="F7973" s="10" t="s">
        <v>360</v>
      </c>
    </row>
    <row r="7974" spans="1:7" x14ac:dyDescent="0.35">
      <c r="A7974" s="2">
        <v>43234</v>
      </c>
      <c r="B7974" s="40" t="s">
        <v>63</v>
      </c>
      <c r="C7974" s="10">
        <v>68</v>
      </c>
      <c r="D7974" s="10">
        <v>174</v>
      </c>
      <c r="E7974" s="10" t="s">
        <v>159</v>
      </c>
      <c r="F7974" s="10" t="s">
        <v>360</v>
      </c>
    </row>
    <row r="7975" spans="1:7" x14ac:dyDescent="0.35">
      <c r="A7975" s="2">
        <v>43234</v>
      </c>
      <c r="B7975" s="40" t="s">
        <v>63</v>
      </c>
      <c r="C7975" s="10">
        <v>79</v>
      </c>
      <c r="D7975" s="10">
        <v>388</v>
      </c>
      <c r="E7975" s="10" t="s">
        <v>34</v>
      </c>
      <c r="F7975" s="10" t="s">
        <v>646</v>
      </c>
    </row>
    <row r="7976" spans="1:7" x14ac:dyDescent="0.35">
      <c r="A7976" s="2">
        <v>43234</v>
      </c>
      <c r="B7976" s="40" t="s">
        <v>63</v>
      </c>
      <c r="C7976" s="10">
        <v>65</v>
      </c>
      <c r="D7976" s="10">
        <v>212</v>
      </c>
      <c r="E7976" s="10" t="s">
        <v>32</v>
      </c>
      <c r="F7976" s="10" t="s">
        <v>198</v>
      </c>
    </row>
    <row r="7977" spans="1:7" x14ac:dyDescent="0.35">
      <c r="A7977" s="2">
        <v>43234</v>
      </c>
      <c r="B7977" s="40" t="s">
        <v>63</v>
      </c>
      <c r="C7977" s="10">
        <v>69</v>
      </c>
      <c r="D7977" s="10">
        <v>258</v>
      </c>
      <c r="E7977" s="10" t="s">
        <v>37</v>
      </c>
      <c r="F7977" s="10" t="s">
        <v>360</v>
      </c>
      <c r="G7977" s="10" t="s">
        <v>161</v>
      </c>
    </row>
    <row r="7978" spans="1:7" x14ac:dyDescent="0.35">
      <c r="A7978" s="2">
        <v>43234</v>
      </c>
      <c r="B7978" s="40" t="s">
        <v>63</v>
      </c>
      <c r="C7978" s="10">
        <v>63</v>
      </c>
      <c r="D7978" s="10">
        <v>199</v>
      </c>
      <c r="E7978" s="10" t="s">
        <v>37</v>
      </c>
      <c r="F7978" s="10" t="s">
        <v>360</v>
      </c>
    </row>
    <row r="7979" spans="1:7" x14ac:dyDescent="0.35">
      <c r="A7979" s="2">
        <v>43234</v>
      </c>
      <c r="B7979" s="40" t="s">
        <v>63</v>
      </c>
      <c r="C7979" s="10">
        <v>74</v>
      </c>
      <c r="D7979" s="10">
        <v>293</v>
      </c>
      <c r="E7979" s="10" t="s">
        <v>34</v>
      </c>
      <c r="F7979" s="10" t="s">
        <v>646</v>
      </c>
    </row>
    <row r="7980" spans="1:7" x14ac:dyDescent="0.35">
      <c r="A7980" s="2">
        <v>43234</v>
      </c>
      <c r="B7980" s="40" t="s">
        <v>63</v>
      </c>
      <c r="C7980" s="10">
        <v>75</v>
      </c>
      <c r="D7980" s="10">
        <v>303</v>
      </c>
      <c r="E7980" s="10" t="s">
        <v>37</v>
      </c>
      <c r="F7980" s="10" t="s">
        <v>646</v>
      </c>
    </row>
    <row r="7981" spans="1:7" x14ac:dyDescent="0.35">
      <c r="A7981" s="2">
        <v>43234</v>
      </c>
      <c r="B7981" s="40" t="s">
        <v>63</v>
      </c>
      <c r="C7981" s="10">
        <v>67</v>
      </c>
      <c r="D7981" s="10">
        <v>260</v>
      </c>
      <c r="E7981" s="10" t="s">
        <v>37</v>
      </c>
      <c r="F7981" s="10" t="s">
        <v>360</v>
      </c>
      <c r="G7981" s="10" t="s">
        <v>161</v>
      </c>
    </row>
    <row r="7982" spans="1:7" x14ac:dyDescent="0.35">
      <c r="A7982" s="2">
        <v>43234</v>
      </c>
      <c r="B7982" s="40" t="s">
        <v>63</v>
      </c>
      <c r="C7982" s="10">
        <v>72</v>
      </c>
      <c r="D7982" s="10">
        <v>282</v>
      </c>
      <c r="E7982" s="10" t="s">
        <v>34</v>
      </c>
      <c r="F7982" s="10" t="s">
        <v>476</v>
      </c>
    </row>
    <row r="7983" spans="1:7" x14ac:dyDescent="0.35">
      <c r="A7983" s="2">
        <v>43234</v>
      </c>
      <c r="B7983" s="40" t="s">
        <v>63</v>
      </c>
      <c r="C7983" s="10">
        <v>64</v>
      </c>
      <c r="D7983" s="10">
        <v>142</v>
      </c>
      <c r="E7983" s="10" t="s">
        <v>32</v>
      </c>
      <c r="F7983" s="10" t="s">
        <v>293</v>
      </c>
    </row>
    <row r="7984" spans="1:7" x14ac:dyDescent="0.35">
      <c r="A7984" s="2">
        <v>43234</v>
      </c>
      <c r="B7984" s="40" t="s">
        <v>63</v>
      </c>
      <c r="C7984" s="10">
        <v>68</v>
      </c>
      <c r="D7984" s="10">
        <v>211</v>
      </c>
      <c r="E7984" s="10" t="s">
        <v>33</v>
      </c>
      <c r="F7984" s="10" t="s">
        <v>476</v>
      </c>
    </row>
    <row r="7985" spans="1:6" x14ac:dyDescent="0.35">
      <c r="A7985" s="2">
        <v>43234</v>
      </c>
      <c r="B7985" s="40" t="s">
        <v>63</v>
      </c>
      <c r="C7985" s="10">
        <v>68</v>
      </c>
      <c r="D7985" s="10">
        <v>236</v>
      </c>
      <c r="E7985" s="10" t="s">
        <v>159</v>
      </c>
      <c r="F7985" s="10" t="s">
        <v>360</v>
      </c>
    </row>
    <row r="7986" spans="1:6" x14ac:dyDescent="0.35">
      <c r="A7986" s="2">
        <v>43234</v>
      </c>
      <c r="B7986" s="40" t="s">
        <v>63</v>
      </c>
      <c r="C7986" s="10">
        <v>78</v>
      </c>
      <c r="D7986" s="10">
        <v>349</v>
      </c>
      <c r="E7986" s="10" t="s">
        <v>34</v>
      </c>
      <c r="F7986" s="10" t="s">
        <v>646</v>
      </c>
    </row>
    <row r="7987" spans="1:6" x14ac:dyDescent="0.35">
      <c r="A7987" s="2">
        <v>43234</v>
      </c>
      <c r="B7987" s="40" t="s">
        <v>63</v>
      </c>
      <c r="C7987" s="10">
        <v>73</v>
      </c>
      <c r="D7987" s="10">
        <v>270</v>
      </c>
      <c r="E7987" s="10" t="s">
        <v>34</v>
      </c>
      <c r="F7987" s="10" t="s">
        <v>646</v>
      </c>
    </row>
    <row r="7988" spans="1:6" x14ac:dyDescent="0.35">
      <c r="A7988" s="2">
        <v>43234</v>
      </c>
      <c r="B7988" s="40" t="s">
        <v>63</v>
      </c>
      <c r="C7988" s="10">
        <v>73</v>
      </c>
      <c r="D7988" s="10">
        <v>238</v>
      </c>
      <c r="E7988" s="10" t="s">
        <v>32</v>
      </c>
      <c r="F7988" s="10" t="s">
        <v>646</v>
      </c>
    </row>
    <row r="7989" spans="1:6" x14ac:dyDescent="0.35">
      <c r="A7989" s="2">
        <v>43234</v>
      </c>
      <c r="B7989" s="40" t="s">
        <v>63</v>
      </c>
      <c r="C7989" s="10">
        <v>66</v>
      </c>
      <c r="D7989" s="10">
        <v>222</v>
      </c>
      <c r="E7989" s="10" t="s">
        <v>159</v>
      </c>
      <c r="F7989" s="10" t="s">
        <v>360</v>
      </c>
    </row>
    <row r="7990" spans="1:6" x14ac:dyDescent="0.35">
      <c r="A7990" s="2">
        <v>43234</v>
      </c>
      <c r="B7990" s="40" t="s">
        <v>63</v>
      </c>
      <c r="C7990" s="10">
        <v>63</v>
      </c>
      <c r="D7990" s="10">
        <v>236</v>
      </c>
      <c r="E7990" s="10" t="s">
        <v>159</v>
      </c>
      <c r="F7990" s="10" t="s">
        <v>360</v>
      </c>
    </row>
    <row r="7991" spans="1:6" x14ac:dyDescent="0.35">
      <c r="A7991" s="2">
        <v>43234</v>
      </c>
      <c r="B7991" s="40" t="s">
        <v>63</v>
      </c>
      <c r="C7991" s="10">
        <v>68</v>
      </c>
      <c r="D7991" s="10">
        <v>244</v>
      </c>
      <c r="E7991" s="10" t="s">
        <v>34</v>
      </c>
      <c r="F7991" s="10" t="s">
        <v>646</v>
      </c>
    </row>
    <row r="7992" spans="1:6" x14ac:dyDescent="0.35">
      <c r="A7992" s="2">
        <v>43234</v>
      </c>
      <c r="B7992" s="40" t="s">
        <v>63</v>
      </c>
      <c r="C7992" s="10">
        <v>72</v>
      </c>
      <c r="D7992" s="10">
        <v>307</v>
      </c>
      <c r="E7992" s="10" t="s">
        <v>37</v>
      </c>
      <c r="F7992" s="10" t="s">
        <v>360</v>
      </c>
    </row>
    <row r="7993" spans="1:6" x14ac:dyDescent="0.35">
      <c r="A7993" s="2">
        <v>43234</v>
      </c>
      <c r="B7993" s="40" t="s">
        <v>63</v>
      </c>
      <c r="C7993" s="10">
        <v>72</v>
      </c>
      <c r="D7993" s="10">
        <v>282</v>
      </c>
      <c r="E7993" s="10" t="s">
        <v>32</v>
      </c>
      <c r="F7993" s="10" t="s">
        <v>646</v>
      </c>
    </row>
    <row r="7994" spans="1:6" x14ac:dyDescent="0.35">
      <c r="A7994" s="2">
        <v>43234</v>
      </c>
      <c r="B7994" s="40" t="s">
        <v>63</v>
      </c>
      <c r="C7994" s="10">
        <v>68</v>
      </c>
      <c r="D7994" s="10">
        <v>252</v>
      </c>
      <c r="E7994" s="10" t="s">
        <v>37</v>
      </c>
      <c r="F7994" s="10" t="s">
        <v>198</v>
      </c>
    </row>
    <row r="7995" spans="1:6" x14ac:dyDescent="0.35">
      <c r="A7995" s="2">
        <v>43234</v>
      </c>
      <c r="B7995" s="40" t="s">
        <v>63</v>
      </c>
      <c r="C7995" s="10">
        <v>62</v>
      </c>
      <c r="D7995" s="10">
        <v>215</v>
      </c>
      <c r="E7995" s="10" t="s">
        <v>37</v>
      </c>
      <c r="F7995" s="10" t="s">
        <v>293</v>
      </c>
    </row>
    <row r="7996" spans="1:6" x14ac:dyDescent="0.35">
      <c r="A7996" s="2">
        <v>43234</v>
      </c>
      <c r="B7996" s="40" t="s">
        <v>63</v>
      </c>
      <c r="C7996" s="10">
        <v>74</v>
      </c>
      <c r="D7996" s="10">
        <v>319</v>
      </c>
      <c r="E7996" s="10" t="s">
        <v>33</v>
      </c>
      <c r="F7996" s="10" t="s">
        <v>476</v>
      </c>
    </row>
    <row r="7997" spans="1:6" x14ac:dyDescent="0.35">
      <c r="A7997" s="2">
        <v>43234</v>
      </c>
      <c r="B7997" s="40" t="s">
        <v>63</v>
      </c>
      <c r="C7997" s="10">
        <v>68</v>
      </c>
      <c r="D7997" s="10">
        <v>217</v>
      </c>
      <c r="E7997" s="10" t="s">
        <v>37</v>
      </c>
      <c r="F7997" s="10" t="s">
        <v>360</v>
      </c>
    </row>
    <row r="7998" spans="1:6" x14ac:dyDescent="0.35">
      <c r="A7998" s="2">
        <v>43234</v>
      </c>
      <c r="B7998" s="40" t="s">
        <v>63</v>
      </c>
      <c r="C7998" s="10">
        <v>66</v>
      </c>
      <c r="D7998" s="10">
        <v>235</v>
      </c>
      <c r="E7998" s="10" t="s">
        <v>32</v>
      </c>
      <c r="F7998" s="10" t="s">
        <v>476</v>
      </c>
    </row>
    <row r="7999" spans="1:6" x14ac:dyDescent="0.35">
      <c r="A7999" s="2">
        <v>43234</v>
      </c>
      <c r="B7999" s="40" t="s">
        <v>63</v>
      </c>
      <c r="C7999" s="10">
        <v>73</v>
      </c>
      <c r="D7999" s="10">
        <v>340</v>
      </c>
      <c r="E7999" s="10" t="s">
        <v>159</v>
      </c>
      <c r="F7999" s="10" t="s">
        <v>198</v>
      </c>
    </row>
    <row r="8000" spans="1:6" x14ac:dyDescent="0.35">
      <c r="A8000" s="2">
        <v>43234</v>
      </c>
      <c r="B8000" s="40" t="s">
        <v>63</v>
      </c>
      <c r="C8000" s="10">
        <v>68</v>
      </c>
      <c r="D8000" s="10">
        <v>346</v>
      </c>
      <c r="E8000" s="10" t="s">
        <v>159</v>
      </c>
      <c r="F8000" s="10" t="s">
        <v>360</v>
      </c>
    </row>
    <row r="8001" spans="1:24" x14ac:dyDescent="0.35">
      <c r="A8001" s="2">
        <v>43234</v>
      </c>
      <c r="B8001" s="40" t="s">
        <v>63</v>
      </c>
      <c r="C8001" s="10">
        <v>67</v>
      </c>
      <c r="D8001" s="10">
        <v>278</v>
      </c>
      <c r="E8001" s="10" t="s">
        <v>32</v>
      </c>
      <c r="F8001" s="10" t="s">
        <v>293</v>
      </c>
    </row>
    <row r="8002" spans="1:24" x14ac:dyDescent="0.35">
      <c r="A8002" s="2">
        <v>43234</v>
      </c>
      <c r="B8002" s="40" t="s">
        <v>63</v>
      </c>
      <c r="C8002" s="10">
        <v>69</v>
      </c>
      <c r="D8002" s="10">
        <v>254</v>
      </c>
      <c r="E8002" s="10" t="s">
        <v>32</v>
      </c>
      <c r="F8002" s="10" t="s">
        <v>293</v>
      </c>
      <c r="G8002" s="10" t="s">
        <v>161</v>
      </c>
    </row>
    <row r="8003" spans="1:24" x14ac:dyDescent="0.35">
      <c r="A8003" s="2">
        <v>43234</v>
      </c>
      <c r="B8003" s="40" t="s">
        <v>63</v>
      </c>
      <c r="C8003" s="10">
        <v>67</v>
      </c>
      <c r="D8003" s="10">
        <v>204</v>
      </c>
      <c r="E8003" s="10" t="s">
        <v>32</v>
      </c>
      <c r="F8003" s="10" t="s">
        <v>293</v>
      </c>
      <c r="N8003" t="s">
        <v>42</v>
      </c>
      <c r="O8003" t="s">
        <v>39</v>
      </c>
      <c r="P8003" t="s">
        <v>40</v>
      </c>
      <c r="Q8003" t="s">
        <v>36</v>
      </c>
      <c r="R8003" t="s">
        <v>33</v>
      </c>
      <c r="S8003" t="s">
        <v>34</v>
      </c>
      <c r="T8003" t="s">
        <v>32</v>
      </c>
      <c r="U8003" t="s">
        <v>37</v>
      </c>
      <c r="V8003" t="s">
        <v>159</v>
      </c>
    </row>
    <row r="8004" spans="1:24" x14ac:dyDescent="0.35">
      <c r="A8004" s="2">
        <v>43234</v>
      </c>
      <c r="B8004" s="40" t="s">
        <v>63</v>
      </c>
      <c r="C8004" s="10">
        <v>69</v>
      </c>
      <c r="D8004" s="10">
        <v>204</v>
      </c>
      <c r="E8004" s="10" t="s">
        <v>32</v>
      </c>
      <c r="F8004" s="10" t="s">
        <v>198</v>
      </c>
      <c r="N8004" s="5">
        <f>COUNTIF(E7706:E8005,"VA")</f>
        <v>0</v>
      </c>
      <c r="O8004" s="5">
        <f>COUNTIF(E7706:E8005,"VB")</f>
        <v>0</v>
      </c>
      <c r="P8004" s="5">
        <f>COUNTIF(E7706:E8005,"VIA0")</f>
        <v>0</v>
      </c>
      <c r="Q8004" s="5">
        <f>COUNTIF(E7706:E8005,"VIA1")</f>
        <v>1</v>
      </c>
      <c r="R8004" s="5">
        <f>COUNTIF(E7706:E8005,"VIA2")</f>
        <v>8</v>
      </c>
      <c r="S8004" s="5">
        <f>COUNTIF(E7706:E8005,"VIA3")</f>
        <v>30</v>
      </c>
      <c r="T8004" s="5">
        <v>120</v>
      </c>
      <c r="U8004" s="5">
        <v>85</v>
      </c>
      <c r="V8004" s="5">
        <v>47</v>
      </c>
      <c r="W8004">
        <f>AVERAGE(C7962:C8005,C7912:C7961,C7860:C7909,C7759:C7858,C7709:C7755)</f>
        <v>70.058419243986251</v>
      </c>
      <c r="X8004">
        <f>AVERAGE(D7962:D8005,D7912:D7961,D7860:D7909,D7759:D7858,D7709:D7755)</f>
        <v>293.26804123711338</v>
      </c>
    </row>
    <row r="8005" spans="1:24" s="4" customFormat="1" x14ac:dyDescent="0.35">
      <c r="A8005" s="3">
        <v>43234</v>
      </c>
      <c r="B8005" s="44" t="s">
        <v>63</v>
      </c>
      <c r="C8005" s="11">
        <v>58</v>
      </c>
      <c r="D8005" s="11">
        <v>146</v>
      </c>
      <c r="E8005" s="11" t="s">
        <v>37</v>
      </c>
      <c r="F8005" s="11" t="s">
        <v>783</v>
      </c>
      <c r="G8005" s="11" t="s">
        <v>161</v>
      </c>
      <c r="N8005" s="6">
        <f>N8004/291*100</f>
        <v>0</v>
      </c>
      <c r="O8005" s="6">
        <f t="shared" ref="O8005:V8005" si="263">O8004/291*100</f>
        <v>0</v>
      </c>
      <c r="P8005" s="6">
        <f t="shared" si="263"/>
        <v>0</v>
      </c>
      <c r="Q8005" s="6">
        <f t="shared" si="263"/>
        <v>0.3436426116838488</v>
      </c>
      <c r="R8005" s="6">
        <f t="shared" si="263"/>
        <v>2.7491408934707904</v>
      </c>
      <c r="S8005" s="6">
        <f t="shared" si="263"/>
        <v>10.309278350515463</v>
      </c>
      <c r="T8005" s="6">
        <f t="shared" si="263"/>
        <v>41.237113402061851</v>
      </c>
      <c r="U8005" s="6">
        <f t="shared" si="263"/>
        <v>29.209621993127151</v>
      </c>
      <c r="V8005" s="6">
        <f t="shared" si="263"/>
        <v>16.151202749140893</v>
      </c>
    </row>
    <row r="8006" spans="1:24" x14ac:dyDescent="0.35">
      <c r="A8006" s="2">
        <v>43234</v>
      </c>
      <c r="B8006" s="40" t="s">
        <v>114</v>
      </c>
      <c r="C8006" s="10">
        <v>153</v>
      </c>
      <c r="D8006" s="10">
        <v>6063</v>
      </c>
      <c r="E8006" s="10" t="s">
        <v>59</v>
      </c>
    </row>
    <row r="8007" spans="1:24" x14ac:dyDescent="0.35">
      <c r="A8007" s="2">
        <v>43234</v>
      </c>
      <c r="B8007" s="40" t="s">
        <v>114</v>
      </c>
      <c r="C8007" s="10">
        <v>97</v>
      </c>
      <c r="D8007" s="10">
        <v>1566</v>
      </c>
      <c r="E8007" s="10" t="s">
        <v>59</v>
      </c>
    </row>
    <row r="8008" spans="1:24" x14ac:dyDescent="0.35">
      <c r="A8008" s="2">
        <v>43234</v>
      </c>
      <c r="B8008" s="40" t="s">
        <v>114</v>
      </c>
      <c r="C8008" s="10">
        <v>102</v>
      </c>
      <c r="D8008" s="10">
        <v>1580</v>
      </c>
      <c r="E8008" s="10" t="s">
        <v>59</v>
      </c>
    </row>
    <row r="8009" spans="1:24" x14ac:dyDescent="0.35">
      <c r="A8009" s="2">
        <v>43234</v>
      </c>
      <c r="B8009" s="40" t="s">
        <v>114</v>
      </c>
      <c r="C8009" s="10">
        <v>124</v>
      </c>
      <c r="D8009" s="10">
        <v>3254</v>
      </c>
      <c r="E8009" s="10" t="s">
        <v>59</v>
      </c>
    </row>
    <row r="8010" spans="1:24" x14ac:dyDescent="0.35">
      <c r="A8010" s="2">
        <v>43234</v>
      </c>
      <c r="B8010" s="40" t="s">
        <v>114</v>
      </c>
      <c r="C8010" s="10">
        <v>73</v>
      </c>
      <c r="D8010" s="10">
        <v>411</v>
      </c>
      <c r="E8010" s="10" t="s">
        <v>159</v>
      </c>
      <c r="F8010" t="s">
        <v>783</v>
      </c>
    </row>
    <row r="8011" spans="1:24" x14ac:dyDescent="0.35">
      <c r="A8011" s="2">
        <v>43234</v>
      </c>
      <c r="B8011" s="40" t="s">
        <v>114</v>
      </c>
      <c r="C8011" s="10">
        <v>73</v>
      </c>
      <c r="D8011" s="10">
        <v>342</v>
      </c>
      <c r="E8011" s="10" t="s">
        <v>32</v>
      </c>
      <c r="F8011" t="s">
        <v>360</v>
      </c>
    </row>
    <row r="8012" spans="1:24" x14ac:dyDescent="0.35">
      <c r="A8012" s="2">
        <v>43234</v>
      </c>
      <c r="B8012" s="40" t="s">
        <v>114</v>
      </c>
      <c r="C8012" s="10">
        <v>76</v>
      </c>
      <c r="D8012" s="10">
        <v>278</v>
      </c>
      <c r="E8012" s="10" t="s">
        <v>37</v>
      </c>
      <c r="F8012" t="s">
        <v>360</v>
      </c>
    </row>
    <row r="8013" spans="1:24" x14ac:dyDescent="0.35">
      <c r="A8013" s="2">
        <v>43234</v>
      </c>
      <c r="B8013" s="40" t="s">
        <v>114</v>
      </c>
      <c r="C8013" s="10">
        <v>67</v>
      </c>
      <c r="D8013" s="10">
        <v>257</v>
      </c>
      <c r="E8013" s="10" t="s">
        <v>37</v>
      </c>
      <c r="F8013" t="s">
        <v>360</v>
      </c>
    </row>
    <row r="8014" spans="1:24" x14ac:dyDescent="0.35">
      <c r="A8014" s="2">
        <v>43234</v>
      </c>
      <c r="B8014" s="40" t="s">
        <v>114</v>
      </c>
      <c r="C8014" s="10">
        <v>68</v>
      </c>
      <c r="D8014" s="10">
        <v>263</v>
      </c>
      <c r="E8014" s="10" t="s">
        <v>32</v>
      </c>
      <c r="F8014" t="s">
        <v>360</v>
      </c>
      <c r="G8014" t="s">
        <v>161</v>
      </c>
    </row>
    <row r="8015" spans="1:24" x14ac:dyDescent="0.35">
      <c r="A8015" s="2">
        <v>43234</v>
      </c>
      <c r="B8015" s="40" t="s">
        <v>114</v>
      </c>
      <c r="C8015" s="10">
        <v>73</v>
      </c>
      <c r="D8015" s="10">
        <v>448</v>
      </c>
      <c r="E8015" s="10" t="s">
        <v>159</v>
      </c>
      <c r="F8015" t="s">
        <v>360</v>
      </c>
    </row>
    <row r="8016" spans="1:24" x14ac:dyDescent="0.35">
      <c r="A8016" s="2">
        <v>43234</v>
      </c>
      <c r="B8016" s="40" t="s">
        <v>114</v>
      </c>
      <c r="C8016" s="10">
        <v>70</v>
      </c>
      <c r="D8016" s="10">
        <v>314</v>
      </c>
      <c r="E8016" s="10" t="s">
        <v>37</v>
      </c>
      <c r="F8016" t="s">
        <v>783</v>
      </c>
      <c r="G8016" t="s">
        <v>161</v>
      </c>
    </row>
    <row r="8017" spans="1:13" s="4" customFormat="1" x14ac:dyDescent="0.35">
      <c r="A8017" s="3">
        <v>43234</v>
      </c>
      <c r="B8017" s="44" t="s">
        <v>114</v>
      </c>
      <c r="C8017" s="11">
        <v>78</v>
      </c>
      <c r="D8017" s="11">
        <v>480</v>
      </c>
      <c r="E8017" s="11" t="s">
        <v>37</v>
      </c>
      <c r="F8017" s="4" t="s">
        <v>783</v>
      </c>
      <c r="G8017" s="4" t="s">
        <v>161</v>
      </c>
    </row>
    <row r="8018" spans="1:13" x14ac:dyDescent="0.35">
      <c r="A8018" s="2">
        <v>43234</v>
      </c>
      <c r="B8018" s="36" t="s">
        <v>143</v>
      </c>
      <c r="C8018" s="10">
        <v>184</v>
      </c>
      <c r="D8018" s="10">
        <v>7902</v>
      </c>
      <c r="E8018" s="10" t="s">
        <v>59</v>
      </c>
    </row>
    <row r="8019" spans="1:13" x14ac:dyDescent="0.35">
      <c r="A8019" s="2">
        <v>43234</v>
      </c>
      <c r="B8019" s="36" t="s">
        <v>143</v>
      </c>
      <c r="C8019" s="10">
        <v>68</v>
      </c>
      <c r="D8019" s="10">
        <v>229</v>
      </c>
      <c r="E8019" s="10" t="s">
        <v>32</v>
      </c>
      <c r="F8019" t="s">
        <v>360</v>
      </c>
      <c r="G8019" t="s">
        <v>161</v>
      </c>
    </row>
    <row r="8020" spans="1:13" s="4" customFormat="1" x14ac:dyDescent="0.35">
      <c r="A8020" s="3">
        <v>43234</v>
      </c>
      <c r="B8020" s="26" t="s">
        <v>143</v>
      </c>
      <c r="C8020" s="11">
        <v>78</v>
      </c>
      <c r="D8020" s="11">
        <v>316</v>
      </c>
      <c r="E8020" s="11" t="s">
        <v>32</v>
      </c>
      <c r="F8020" s="4" t="s">
        <v>360</v>
      </c>
      <c r="G8020" s="4" t="s">
        <v>161</v>
      </c>
    </row>
    <row r="8021" spans="1:13" x14ac:dyDescent="0.35">
      <c r="A8021" s="2">
        <v>43235</v>
      </c>
      <c r="B8021" s="36" t="s">
        <v>667</v>
      </c>
      <c r="C8021" s="10">
        <v>66</v>
      </c>
      <c r="D8021" s="10">
        <v>215</v>
      </c>
      <c r="E8021" s="10" t="s">
        <v>34</v>
      </c>
      <c r="F8021" s="10" t="s">
        <v>646</v>
      </c>
      <c r="M8021">
        <f>COUNTIF(F8021:F8058,"F0")</f>
        <v>1</v>
      </c>
    </row>
    <row r="8022" spans="1:13" x14ac:dyDescent="0.35">
      <c r="A8022" s="2">
        <v>43235</v>
      </c>
      <c r="B8022" s="36" t="s">
        <v>667</v>
      </c>
      <c r="C8022" s="10">
        <v>67</v>
      </c>
      <c r="D8022" s="10">
        <v>279</v>
      </c>
      <c r="E8022" s="10" t="s">
        <v>37</v>
      </c>
      <c r="F8022" s="10" t="s">
        <v>360</v>
      </c>
      <c r="G8022" s="10" t="s">
        <v>161</v>
      </c>
    </row>
    <row r="8023" spans="1:13" x14ac:dyDescent="0.35">
      <c r="A8023" s="2">
        <v>43235</v>
      </c>
      <c r="B8023" s="36" t="s">
        <v>667</v>
      </c>
      <c r="C8023" s="10">
        <v>66</v>
      </c>
      <c r="D8023" s="10">
        <v>204</v>
      </c>
      <c r="E8023" s="10" t="s">
        <v>32</v>
      </c>
      <c r="F8023" s="10" t="s">
        <v>198</v>
      </c>
    </row>
    <row r="8024" spans="1:13" x14ac:dyDescent="0.35">
      <c r="A8024" s="2">
        <v>43235</v>
      </c>
      <c r="B8024" s="36" t="s">
        <v>667</v>
      </c>
      <c r="C8024" s="10">
        <v>71</v>
      </c>
      <c r="D8024" s="10">
        <v>295</v>
      </c>
      <c r="E8024" s="10" t="s">
        <v>32</v>
      </c>
      <c r="F8024" s="10" t="s">
        <v>293</v>
      </c>
    </row>
    <row r="8025" spans="1:13" x14ac:dyDescent="0.35">
      <c r="A8025" s="2">
        <v>43235</v>
      </c>
      <c r="B8025" s="36" t="s">
        <v>667</v>
      </c>
      <c r="C8025" s="10">
        <v>70</v>
      </c>
      <c r="D8025" s="10">
        <v>195</v>
      </c>
      <c r="E8025" s="10" t="s">
        <v>37</v>
      </c>
      <c r="F8025" s="10" t="s">
        <v>293</v>
      </c>
      <c r="G8025" s="10" t="s">
        <v>161</v>
      </c>
    </row>
    <row r="8026" spans="1:13" x14ac:dyDescent="0.35">
      <c r="A8026" s="2">
        <v>43235</v>
      </c>
      <c r="B8026" s="36" t="s">
        <v>667</v>
      </c>
      <c r="C8026" s="10">
        <v>72</v>
      </c>
      <c r="D8026" s="10">
        <v>297</v>
      </c>
      <c r="E8026" s="10" t="s">
        <v>32</v>
      </c>
      <c r="F8026" s="10" t="s">
        <v>360</v>
      </c>
    </row>
    <row r="8027" spans="1:13" x14ac:dyDescent="0.35">
      <c r="A8027" s="2">
        <v>43235</v>
      </c>
      <c r="B8027" s="36" t="s">
        <v>667</v>
      </c>
      <c r="C8027" s="10">
        <v>67</v>
      </c>
      <c r="D8027" s="10">
        <v>307</v>
      </c>
      <c r="E8027" s="10" t="s">
        <v>159</v>
      </c>
      <c r="F8027" s="10" t="s">
        <v>360</v>
      </c>
    </row>
    <row r="8028" spans="1:13" x14ac:dyDescent="0.35">
      <c r="A8028" s="2">
        <v>43235</v>
      </c>
      <c r="B8028" s="36" t="s">
        <v>667</v>
      </c>
      <c r="C8028" s="10">
        <v>70</v>
      </c>
      <c r="D8028" s="10">
        <v>257</v>
      </c>
      <c r="E8028" s="10" t="s">
        <v>32</v>
      </c>
      <c r="F8028" s="10" t="s">
        <v>646</v>
      </c>
    </row>
    <row r="8029" spans="1:13" x14ac:dyDescent="0.35">
      <c r="A8029" s="2">
        <v>43235</v>
      </c>
      <c r="B8029" s="36" t="s">
        <v>667</v>
      </c>
      <c r="C8029" s="10">
        <v>67</v>
      </c>
      <c r="D8029" s="10">
        <v>284</v>
      </c>
      <c r="E8029" s="10" t="s">
        <v>34</v>
      </c>
      <c r="F8029" s="10" t="s">
        <v>476</v>
      </c>
    </row>
    <row r="8030" spans="1:13" x14ac:dyDescent="0.35">
      <c r="A8030" s="2">
        <v>43235</v>
      </c>
      <c r="B8030" s="36" t="s">
        <v>667</v>
      </c>
      <c r="C8030" s="10">
        <v>76</v>
      </c>
      <c r="D8030" s="10">
        <v>326</v>
      </c>
      <c r="E8030" s="10" t="s">
        <v>32</v>
      </c>
      <c r="F8030" s="10" t="s">
        <v>293</v>
      </c>
    </row>
    <row r="8031" spans="1:13" x14ac:dyDescent="0.35">
      <c r="A8031" s="2">
        <v>43235</v>
      </c>
      <c r="B8031" s="36" t="s">
        <v>667</v>
      </c>
      <c r="C8031" s="10">
        <v>70</v>
      </c>
      <c r="D8031" s="10">
        <v>234</v>
      </c>
      <c r="E8031" s="10" t="s">
        <v>159</v>
      </c>
      <c r="F8031" s="10" t="s">
        <v>293</v>
      </c>
    </row>
    <row r="8032" spans="1:13" x14ac:dyDescent="0.35">
      <c r="A8032" s="2">
        <v>43235</v>
      </c>
      <c r="B8032" s="36" t="s">
        <v>667</v>
      </c>
      <c r="C8032" s="10">
        <v>66</v>
      </c>
      <c r="D8032" s="10">
        <v>291</v>
      </c>
      <c r="E8032" s="10" t="s">
        <v>32</v>
      </c>
      <c r="F8032" s="10" t="s">
        <v>646</v>
      </c>
    </row>
    <row r="8033" spans="1:7" x14ac:dyDescent="0.35">
      <c r="A8033" s="2">
        <v>43235</v>
      </c>
      <c r="B8033" s="36" t="s">
        <v>667</v>
      </c>
      <c r="C8033" s="10">
        <v>62</v>
      </c>
      <c r="D8033" s="10">
        <v>179</v>
      </c>
      <c r="E8033" s="10" t="s">
        <v>37</v>
      </c>
      <c r="F8033" s="10" t="s">
        <v>360</v>
      </c>
      <c r="G8033" s="10" t="s">
        <v>161</v>
      </c>
    </row>
    <row r="8034" spans="1:7" x14ac:dyDescent="0.35">
      <c r="A8034" s="2">
        <v>43235</v>
      </c>
      <c r="B8034" s="36" t="s">
        <v>667</v>
      </c>
      <c r="C8034" s="10">
        <v>73</v>
      </c>
      <c r="D8034" s="10">
        <v>287</v>
      </c>
      <c r="E8034" s="10" t="s">
        <v>34</v>
      </c>
      <c r="F8034" s="10" t="s">
        <v>646</v>
      </c>
    </row>
    <row r="8035" spans="1:7" x14ac:dyDescent="0.35">
      <c r="A8035" s="2">
        <v>43235</v>
      </c>
      <c r="B8035" s="36" t="s">
        <v>667</v>
      </c>
      <c r="C8035" s="10">
        <v>78</v>
      </c>
      <c r="D8035" s="10">
        <v>299</v>
      </c>
      <c r="E8035" s="10" t="s">
        <v>32</v>
      </c>
      <c r="F8035" s="10" t="s">
        <v>293</v>
      </c>
    </row>
    <row r="8036" spans="1:7" x14ac:dyDescent="0.35">
      <c r="A8036" s="2">
        <v>43235</v>
      </c>
      <c r="B8036" s="36" t="s">
        <v>667</v>
      </c>
      <c r="C8036" s="10">
        <v>70</v>
      </c>
      <c r="D8036" s="10">
        <v>302</v>
      </c>
      <c r="E8036" s="10" t="s">
        <v>159</v>
      </c>
      <c r="F8036" s="10" t="s">
        <v>360</v>
      </c>
    </row>
    <row r="8037" spans="1:7" x14ac:dyDescent="0.35">
      <c r="A8037" s="2">
        <v>43235</v>
      </c>
      <c r="B8037" s="36" t="s">
        <v>667</v>
      </c>
      <c r="C8037" s="10">
        <v>74</v>
      </c>
      <c r="D8037" s="10">
        <v>308</v>
      </c>
      <c r="E8037" s="10" t="s">
        <v>159</v>
      </c>
      <c r="F8037" s="10" t="s">
        <v>360</v>
      </c>
    </row>
    <row r="8038" spans="1:7" x14ac:dyDescent="0.35">
      <c r="A8038" s="2">
        <v>43235</v>
      </c>
      <c r="B8038" s="36" t="s">
        <v>667</v>
      </c>
      <c r="C8038" s="10">
        <v>69</v>
      </c>
      <c r="D8038" s="10">
        <v>274</v>
      </c>
      <c r="E8038" s="10" t="s">
        <v>34</v>
      </c>
      <c r="F8038" s="10" t="s">
        <v>646</v>
      </c>
    </row>
    <row r="8039" spans="1:7" x14ac:dyDescent="0.35">
      <c r="A8039" s="2">
        <v>43235</v>
      </c>
      <c r="B8039" s="36" t="s">
        <v>667</v>
      </c>
      <c r="C8039" s="10">
        <v>71</v>
      </c>
      <c r="D8039" s="10">
        <v>229</v>
      </c>
      <c r="E8039" s="10" t="s">
        <v>36</v>
      </c>
      <c r="F8039" s="10" t="s">
        <v>293</v>
      </c>
      <c r="G8039" s="10" t="s">
        <v>161</v>
      </c>
    </row>
    <row r="8040" spans="1:7" x14ac:dyDescent="0.35">
      <c r="A8040" s="2">
        <v>43235</v>
      </c>
      <c r="B8040" s="36" t="s">
        <v>667</v>
      </c>
      <c r="C8040" s="10">
        <v>75</v>
      </c>
      <c r="D8040" s="10">
        <v>218</v>
      </c>
      <c r="E8040" s="10" t="s">
        <v>37</v>
      </c>
      <c r="F8040" s="10" t="s">
        <v>360</v>
      </c>
    </row>
    <row r="8041" spans="1:7" x14ac:dyDescent="0.35">
      <c r="A8041" s="2">
        <v>43235</v>
      </c>
      <c r="B8041" s="36" t="s">
        <v>667</v>
      </c>
      <c r="C8041" s="10">
        <v>64</v>
      </c>
      <c r="D8041" s="10">
        <v>134</v>
      </c>
      <c r="E8041" s="10" t="s">
        <v>32</v>
      </c>
      <c r="F8041" s="10" t="s">
        <v>646</v>
      </c>
    </row>
    <row r="8042" spans="1:7" x14ac:dyDescent="0.35">
      <c r="A8042" s="2">
        <v>43235</v>
      </c>
      <c r="B8042" s="36" t="s">
        <v>667</v>
      </c>
      <c r="C8042" s="10">
        <v>70</v>
      </c>
      <c r="D8042" s="10">
        <v>367</v>
      </c>
      <c r="E8042" s="10" t="s">
        <v>32</v>
      </c>
      <c r="F8042" s="10" t="s">
        <v>198</v>
      </c>
      <c r="G8042" s="10" t="s">
        <v>161</v>
      </c>
    </row>
    <row r="8043" spans="1:7" x14ac:dyDescent="0.35">
      <c r="A8043" s="2">
        <v>43235</v>
      </c>
      <c r="B8043" s="36" t="s">
        <v>667</v>
      </c>
      <c r="C8043" s="10">
        <v>69</v>
      </c>
      <c r="D8043" s="10">
        <v>273</v>
      </c>
      <c r="E8043" s="10" t="s">
        <v>32</v>
      </c>
      <c r="F8043" s="10" t="s">
        <v>646</v>
      </c>
    </row>
    <row r="8044" spans="1:7" x14ac:dyDescent="0.35">
      <c r="A8044" s="2">
        <v>43235</v>
      </c>
      <c r="B8044" s="36" t="s">
        <v>667</v>
      </c>
      <c r="C8044" s="10">
        <v>72</v>
      </c>
      <c r="D8044" s="10">
        <v>238</v>
      </c>
      <c r="E8044" s="10" t="s">
        <v>32</v>
      </c>
      <c r="F8044" s="10" t="s">
        <v>646</v>
      </c>
    </row>
    <row r="8045" spans="1:7" x14ac:dyDescent="0.35">
      <c r="A8045" s="2">
        <v>43235</v>
      </c>
      <c r="B8045" s="36" t="s">
        <v>667</v>
      </c>
      <c r="C8045" s="10">
        <v>71</v>
      </c>
      <c r="D8045" s="10">
        <v>244</v>
      </c>
      <c r="E8045" s="10" t="s">
        <v>32</v>
      </c>
      <c r="F8045" s="10" t="s">
        <v>293</v>
      </c>
    </row>
    <row r="8046" spans="1:7" x14ac:dyDescent="0.35">
      <c r="A8046" s="2">
        <v>43235</v>
      </c>
      <c r="B8046" s="36" t="s">
        <v>667</v>
      </c>
      <c r="C8046" s="10">
        <v>75</v>
      </c>
      <c r="D8046" s="10">
        <v>296</v>
      </c>
      <c r="E8046" s="10" t="s">
        <v>34</v>
      </c>
      <c r="F8046" s="10" t="s">
        <v>646</v>
      </c>
    </row>
    <row r="8047" spans="1:7" x14ac:dyDescent="0.35">
      <c r="A8047" s="2">
        <v>43235</v>
      </c>
      <c r="B8047" s="36" t="s">
        <v>667</v>
      </c>
      <c r="C8047" s="10">
        <v>67</v>
      </c>
      <c r="D8047" s="10">
        <v>242</v>
      </c>
      <c r="E8047" s="10" t="s">
        <v>32</v>
      </c>
      <c r="F8047" s="10" t="s">
        <v>646</v>
      </c>
      <c r="G8047" s="10" t="s">
        <v>161</v>
      </c>
    </row>
    <row r="8048" spans="1:7" x14ac:dyDescent="0.35">
      <c r="A8048" s="2">
        <v>43235</v>
      </c>
      <c r="B8048" s="36" t="s">
        <v>667</v>
      </c>
      <c r="C8048" s="10">
        <v>69</v>
      </c>
      <c r="D8048" s="10">
        <v>229</v>
      </c>
      <c r="E8048" s="10" t="s">
        <v>32</v>
      </c>
      <c r="F8048" s="10" t="s">
        <v>646</v>
      </c>
      <c r="G8048" s="10" t="s">
        <v>161</v>
      </c>
    </row>
    <row r="8049" spans="1:24" x14ac:dyDescent="0.35">
      <c r="A8049" s="2">
        <v>43235</v>
      </c>
      <c r="B8049" s="36" t="s">
        <v>667</v>
      </c>
      <c r="C8049" s="10">
        <v>64</v>
      </c>
      <c r="D8049" s="10">
        <v>180</v>
      </c>
      <c r="E8049" s="10" t="s">
        <v>37</v>
      </c>
      <c r="F8049" s="10" t="s">
        <v>360</v>
      </c>
    </row>
    <row r="8050" spans="1:24" x14ac:dyDescent="0.35">
      <c r="A8050" s="2">
        <v>43235</v>
      </c>
      <c r="B8050" s="36" t="s">
        <v>667</v>
      </c>
      <c r="C8050" s="10">
        <v>65</v>
      </c>
      <c r="D8050" s="10">
        <v>210</v>
      </c>
      <c r="E8050" s="10" t="s">
        <v>37</v>
      </c>
      <c r="F8050" s="10" t="s">
        <v>293</v>
      </c>
      <c r="G8050" s="10" t="s">
        <v>161</v>
      </c>
    </row>
    <row r="8051" spans="1:24" x14ac:dyDescent="0.35">
      <c r="A8051" s="2">
        <v>43235</v>
      </c>
      <c r="B8051" s="36" t="s">
        <v>667</v>
      </c>
      <c r="C8051" s="10">
        <v>70</v>
      </c>
      <c r="D8051" s="10">
        <v>345</v>
      </c>
      <c r="E8051" s="10" t="s">
        <v>37</v>
      </c>
      <c r="F8051" s="10" t="s">
        <v>293</v>
      </c>
    </row>
    <row r="8052" spans="1:24" x14ac:dyDescent="0.35">
      <c r="A8052" s="2">
        <v>43235</v>
      </c>
      <c r="B8052" s="36" t="s">
        <v>667</v>
      </c>
      <c r="C8052" s="10">
        <v>69</v>
      </c>
      <c r="D8052" s="10">
        <v>258</v>
      </c>
      <c r="E8052" s="10" t="s">
        <v>37</v>
      </c>
      <c r="F8052" s="10" t="s">
        <v>360</v>
      </c>
    </row>
    <row r="8053" spans="1:24" x14ac:dyDescent="0.35">
      <c r="A8053" s="2">
        <v>43235</v>
      </c>
      <c r="B8053" s="36" t="s">
        <v>667</v>
      </c>
      <c r="C8053" s="10">
        <v>66</v>
      </c>
      <c r="D8053" s="10">
        <v>202</v>
      </c>
      <c r="E8053" s="10" t="s">
        <v>37</v>
      </c>
      <c r="F8053" s="10" t="s">
        <v>198</v>
      </c>
      <c r="H8053" t="s">
        <v>685</v>
      </c>
    </row>
    <row r="8054" spans="1:24" x14ac:dyDescent="0.35">
      <c r="A8054" s="2">
        <v>43235</v>
      </c>
      <c r="B8054" s="36" t="s">
        <v>667</v>
      </c>
      <c r="C8054" s="10">
        <v>67</v>
      </c>
      <c r="D8054" s="10">
        <v>323</v>
      </c>
      <c r="E8054" s="10" t="s">
        <v>159</v>
      </c>
      <c r="F8054" s="10" t="s">
        <v>360</v>
      </c>
    </row>
    <row r="8055" spans="1:24" x14ac:dyDescent="0.35">
      <c r="A8055" s="2">
        <v>43235</v>
      </c>
      <c r="B8055" s="36" t="s">
        <v>667</v>
      </c>
      <c r="C8055" s="10">
        <v>71</v>
      </c>
      <c r="D8055" s="10">
        <v>222</v>
      </c>
      <c r="E8055" s="10" t="s">
        <v>34</v>
      </c>
      <c r="F8055" s="10" t="s">
        <v>646</v>
      </c>
    </row>
    <row r="8056" spans="1:24" x14ac:dyDescent="0.35">
      <c r="A8056" s="2">
        <v>43235</v>
      </c>
      <c r="B8056" s="36" t="s">
        <v>667</v>
      </c>
      <c r="C8056" s="10">
        <v>65</v>
      </c>
      <c r="D8056" s="10">
        <v>253</v>
      </c>
      <c r="E8056" s="10" t="s">
        <v>34</v>
      </c>
      <c r="F8056" s="10" t="s">
        <v>646</v>
      </c>
      <c r="N8056" t="s">
        <v>42</v>
      </c>
      <c r="O8056" t="s">
        <v>39</v>
      </c>
      <c r="P8056" t="s">
        <v>40</v>
      </c>
      <c r="Q8056" t="s">
        <v>36</v>
      </c>
      <c r="R8056" t="s">
        <v>33</v>
      </c>
      <c r="S8056" t="s">
        <v>34</v>
      </c>
      <c r="T8056" t="s">
        <v>32</v>
      </c>
      <c r="U8056" t="s">
        <v>37</v>
      </c>
      <c r="V8056" t="s">
        <v>159</v>
      </c>
    </row>
    <row r="8057" spans="1:24" x14ac:dyDescent="0.35">
      <c r="A8057" s="2">
        <v>43235</v>
      </c>
      <c r="B8057" s="36" t="s">
        <v>667</v>
      </c>
      <c r="C8057" s="10">
        <v>65</v>
      </c>
      <c r="D8057" s="10">
        <v>279</v>
      </c>
      <c r="E8057" s="10" t="s">
        <v>159</v>
      </c>
      <c r="F8057" s="10" t="s">
        <v>360</v>
      </c>
      <c r="N8057" s="5">
        <f>COUNTIF(E8021:E8058,"VA")</f>
        <v>0</v>
      </c>
      <c r="O8057" s="5">
        <f>COUNTIF(E8021:E8058,"VB")</f>
        <v>0</v>
      </c>
      <c r="P8057" s="5">
        <f>COUNTIF(E8021:E8058,"VIA0")</f>
        <v>0</v>
      </c>
      <c r="Q8057" s="5">
        <f>COUNTIF(E8021:E8058,"VIA1")</f>
        <v>1</v>
      </c>
      <c r="R8057" s="5">
        <f>COUNTIF(E8021:E8058,"VIA2")</f>
        <v>0</v>
      </c>
      <c r="S8057" s="5">
        <f>COUNTIF(E8021:E8058,"VIA3")</f>
        <v>7</v>
      </c>
      <c r="T8057" s="5">
        <f>COUNTIF(E8021:E8058,"VIA4")</f>
        <v>14</v>
      </c>
      <c r="U8057" s="5">
        <f>COUNTIF(E8021:E8058,"VIB")</f>
        <v>10</v>
      </c>
      <c r="V8057" s="5">
        <f>COUNTIF(E8021:E8058,"VII")</f>
        <v>6</v>
      </c>
      <c r="W8057">
        <f>AVERAGE(C8021:C8058)</f>
        <v>69.263157894736835</v>
      </c>
      <c r="X8057">
        <f>AVERAGE(D8021:D8058)</f>
        <v>257.73684210526318</v>
      </c>
    </row>
    <row r="8058" spans="1:24" s="4" customFormat="1" x14ac:dyDescent="0.35">
      <c r="A8058" s="3">
        <v>43235</v>
      </c>
      <c r="B8058" s="26" t="s">
        <v>667</v>
      </c>
      <c r="C8058" s="11">
        <v>73</v>
      </c>
      <c r="D8058" s="11">
        <v>219</v>
      </c>
      <c r="E8058" s="11" t="s">
        <v>37</v>
      </c>
      <c r="F8058" s="11" t="s">
        <v>646</v>
      </c>
      <c r="N8058" s="6">
        <f>N8057/38*100</f>
        <v>0</v>
      </c>
      <c r="O8058" s="6">
        <f t="shared" ref="O8058:V8058" si="264">O8057/38*100</f>
        <v>0</v>
      </c>
      <c r="P8058" s="6">
        <f t="shared" si="264"/>
        <v>0</v>
      </c>
      <c r="Q8058" s="6">
        <f t="shared" si="264"/>
        <v>2.6315789473684208</v>
      </c>
      <c r="R8058" s="6">
        <f t="shared" si="264"/>
        <v>0</v>
      </c>
      <c r="S8058" s="6">
        <f t="shared" si="264"/>
        <v>18.421052631578945</v>
      </c>
      <c r="T8058" s="6">
        <f t="shared" si="264"/>
        <v>36.84210526315789</v>
      </c>
      <c r="U8058" s="6">
        <f t="shared" si="264"/>
        <v>26.315789473684209</v>
      </c>
      <c r="V8058" s="6">
        <f t="shared" si="264"/>
        <v>15.789473684210526</v>
      </c>
    </row>
    <row r="8059" spans="1:24" x14ac:dyDescent="0.35">
      <c r="A8059" s="2">
        <v>43242</v>
      </c>
      <c r="B8059" s="36" t="s">
        <v>29</v>
      </c>
      <c r="C8059" s="10">
        <v>68</v>
      </c>
      <c r="D8059" s="10">
        <v>228</v>
      </c>
      <c r="E8059" s="10" t="s">
        <v>37</v>
      </c>
      <c r="F8059" s="10" t="s">
        <v>360</v>
      </c>
      <c r="M8059">
        <f>COUNTIF(F8059:F8163,"F++")</f>
        <v>1</v>
      </c>
    </row>
    <row r="8060" spans="1:24" x14ac:dyDescent="0.35">
      <c r="A8060" s="2">
        <v>43242</v>
      </c>
      <c r="B8060" s="36" t="s">
        <v>29</v>
      </c>
      <c r="C8060" s="10">
        <v>72</v>
      </c>
      <c r="D8060" s="10">
        <v>339</v>
      </c>
      <c r="E8060" s="10" t="s">
        <v>32</v>
      </c>
      <c r="F8060" s="10" t="s">
        <v>476</v>
      </c>
    </row>
    <row r="8061" spans="1:24" x14ac:dyDescent="0.35">
      <c r="A8061" s="2">
        <v>43242</v>
      </c>
      <c r="B8061" s="36" t="s">
        <v>29</v>
      </c>
      <c r="C8061" s="10">
        <v>71</v>
      </c>
      <c r="D8061" s="10">
        <v>307</v>
      </c>
      <c r="E8061" s="10" t="s">
        <v>32</v>
      </c>
      <c r="F8061" s="10" t="s">
        <v>360</v>
      </c>
    </row>
    <row r="8062" spans="1:24" x14ac:dyDescent="0.35">
      <c r="A8062" s="2">
        <v>43242</v>
      </c>
      <c r="B8062" s="36" t="s">
        <v>29</v>
      </c>
      <c r="C8062" s="10">
        <v>68</v>
      </c>
      <c r="D8062" s="10">
        <v>179</v>
      </c>
      <c r="E8062" s="10" t="s">
        <v>32</v>
      </c>
      <c r="F8062" s="10" t="s">
        <v>360</v>
      </c>
      <c r="G8062" s="10" t="s">
        <v>933</v>
      </c>
    </row>
    <row r="8063" spans="1:24" x14ac:dyDescent="0.35">
      <c r="A8063" s="2">
        <v>43242</v>
      </c>
      <c r="B8063" s="36" t="s">
        <v>29</v>
      </c>
      <c r="C8063" s="10">
        <v>69</v>
      </c>
      <c r="D8063" s="10">
        <v>268</v>
      </c>
      <c r="E8063" s="10" t="s">
        <v>159</v>
      </c>
      <c r="F8063" s="10" t="s">
        <v>360</v>
      </c>
    </row>
    <row r="8064" spans="1:24" x14ac:dyDescent="0.35">
      <c r="A8064" s="2">
        <v>43242</v>
      </c>
      <c r="B8064" s="36" t="s">
        <v>29</v>
      </c>
      <c r="C8064" s="10">
        <v>73</v>
      </c>
      <c r="D8064" s="10">
        <v>319</v>
      </c>
      <c r="E8064" s="10" t="s">
        <v>37</v>
      </c>
      <c r="F8064" s="10" t="s">
        <v>360</v>
      </c>
      <c r="G8064" s="10" t="s">
        <v>161</v>
      </c>
    </row>
    <row r="8065" spans="1:7" x14ac:dyDescent="0.35">
      <c r="A8065" s="2">
        <v>43242</v>
      </c>
      <c r="B8065" s="36" t="s">
        <v>29</v>
      </c>
      <c r="C8065" s="10">
        <v>80</v>
      </c>
      <c r="D8065" s="10">
        <v>373</v>
      </c>
      <c r="E8065" s="10" t="s">
        <v>37</v>
      </c>
      <c r="F8065" s="10" t="s">
        <v>360</v>
      </c>
      <c r="G8065" s="10" t="s">
        <v>161</v>
      </c>
    </row>
    <row r="8066" spans="1:7" x14ac:dyDescent="0.35">
      <c r="A8066" s="2">
        <v>43242</v>
      </c>
      <c r="B8066" s="36" t="s">
        <v>29</v>
      </c>
      <c r="C8066" s="10">
        <v>73</v>
      </c>
      <c r="D8066" s="10">
        <v>266</v>
      </c>
      <c r="E8066" s="10" t="s">
        <v>32</v>
      </c>
      <c r="F8066" s="10" t="s">
        <v>360</v>
      </c>
    </row>
    <row r="8067" spans="1:7" x14ac:dyDescent="0.35">
      <c r="A8067" s="2">
        <v>43242</v>
      </c>
      <c r="B8067" s="36" t="s">
        <v>29</v>
      </c>
      <c r="C8067" s="10">
        <v>68</v>
      </c>
      <c r="D8067" s="10">
        <v>292</v>
      </c>
      <c r="E8067" s="10" t="s">
        <v>37</v>
      </c>
      <c r="F8067" s="10" t="s">
        <v>360</v>
      </c>
      <c r="G8067" s="10" t="s">
        <v>161</v>
      </c>
    </row>
    <row r="8068" spans="1:7" x14ac:dyDescent="0.35">
      <c r="A8068" s="2">
        <v>43242</v>
      </c>
      <c r="B8068" s="36" t="s">
        <v>29</v>
      </c>
      <c r="C8068" s="10">
        <v>65</v>
      </c>
      <c r="D8068" s="10">
        <v>225</v>
      </c>
      <c r="E8068" s="10" t="s">
        <v>37</v>
      </c>
      <c r="F8068" s="10" t="s">
        <v>360</v>
      </c>
    </row>
    <row r="8069" spans="1:7" x14ac:dyDescent="0.35">
      <c r="A8069" s="2">
        <v>43242</v>
      </c>
      <c r="B8069" s="36" t="s">
        <v>29</v>
      </c>
      <c r="C8069" s="10">
        <v>63</v>
      </c>
      <c r="D8069" s="10">
        <v>200</v>
      </c>
      <c r="E8069" s="10" t="s">
        <v>32</v>
      </c>
      <c r="F8069" s="10" t="s">
        <v>198</v>
      </c>
      <c r="G8069" s="10" t="s">
        <v>161</v>
      </c>
    </row>
    <row r="8070" spans="1:7" x14ac:dyDescent="0.35">
      <c r="A8070" s="2">
        <v>43242</v>
      </c>
      <c r="B8070" s="36" t="s">
        <v>29</v>
      </c>
      <c r="C8070" s="10">
        <v>72</v>
      </c>
      <c r="D8070" s="10">
        <v>252</v>
      </c>
      <c r="E8070" s="10" t="s">
        <v>159</v>
      </c>
      <c r="F8070" s="10" t="s">
        <v>360</v>
      </c>
    </row>
    <row r="8071" spans="1:7" x14ac:dyDescent="0.35">
      <c r="A8071" s="2">
        <v>43242</v>
      </c>
      <c r="B8071" s="36" t="s">
        <v>29</v>
      </c>
      <c r="C8071" s="10">
        <v>76</v>
      </c>
      <c r="D8071" s="10">
        <v>337</v>
      </c>
      <c r="E8071" s="10" t="s">
        <v>32</v>
      </c>
      <c r="F8071" s="10" t="s">
        <v>293</v>
      </c>
    </row>
    <row r="8072" spans="1:7" x14ac:dyDescent="0.35">
      <c r="A8072" s="2">
        <v>43242</v>
      </c>
      <c r="B8072" s="36" t="s">
        <v>29</v>
      </c>
      <c r="C8072" s="10">
        <v>69</v>
      </c>
      <c r="D8072" s="10">
        <v>307</v>
      </c>
      <c r="E8072" s="10" t="s">
        <v>32</v>
      </c>
      <c r="F8072" s="10" t="s">
        <v>476</v>
      </c>
    </row>
    <row r="8073" spans="1:7" x14ac:dyDescent="0.35">
      <c r="A8073" s="2">
        <v>43242</v>
      </c>
      <c r="B8073" s="36" t="s">
        <v>29</v>
      </c>
      <c r="C8073" s="10">
        <v>63</v>
      </c>
      <c r="D8073" s="10">
        <v>189</v>
      </c>
      <c r="E8073" s="10" t="s">
        <v>32</v>
      </c>
      <c r="F8073" s="10" t="s">
        <v>360</v>
      </c>
      <c r="G8073" s="10" t="s">
        <v>161</v>
      </c>
    </row>
    <row r="8074" spans="1:7" x14ac:dyDescent="0.35">
      <c r="A8074" s="2">
        <v>43242</v>
      </c>
      <c r="B8074" s="36" t="s">
        <v>29</v>
      </c>
      <c r="C8074" s="10">
        <v>69</v>
      </c>
      <c r="D8074" s="10">
        <v>259</v>
      </c>
      <c r="E8074" s="10" t="s">
        <v>37</v>
      </c>
      <c r="F8074" s="10" t="s">
        <v>360</v>
      </c>
      <c r="G8074" s="10" t="s">
        <v>161</v>
      </c>
    </row>
    <row r="8075" spans="1:7" x14ac:dyDescent="0.35">
      <c r="A8075" s="2">
        <v>43242</v>
      </c>
      <c r="B8075" s="36" t="s">
        <v>29</v>
      </c>
      <c r="C8075" s="10">
        <v>66</v>
      </c>
      <c r="D8075" s="10">
        <v>306</v>
      </c>
      <c r="E8075" s="10" t="s">
        <v>159</v>
      </c>
      <c r="F8075" s="10" t="s">
        <v>360</v>
      </c>
    </row>
    <row r="8076" spans="1:7" x14ac:dyDescent="0.35">
      <c r="A8076" s="2">
        <v>43242</v>
      </c>
      <c r="B8076" s="36" t="s">
        <v>29</v>
      </c>
      <c r="C8076" s="10">
        <v>78</v>
      </c>
      <c r="D8076" s="10">
        <v>425</v>
      </c>
      <c r="E8076" s="10" t="s">
        <v>159</v>
      </c>
      <c r="F8076" s="10" t="s">
        <v>360</v>
      </c>
    </row>
    <row r="8077" spans="1:7" x14ac:dyDescent="0.35">
      <c r="A8077" s="2">
        <v>43242</v>
      </c>
      <c r="B8077" s="36" t="s">
        <v>29</v>
      </c>
      <c r="C8077" s="10">
        <v>68</v>
      </c>
      <c r="D8077" s="10">
        <v>226</v>
      </c>
      <c r="E8077" s="10" t="s">
        <v>159</v>
      </c>
      <c r="F8077" s="10" t="s">
        <v>360</v>
      </c>
    </row>
    <row r="8078" spans="1:7" x14ac:dyDescent="0.35">
      <c r="A8078" s="2">
        <v>43242</v>
      </c>
      <c r="B8078" s="36" t="s">
        <v>29</v>
      </c>
      <c r="C8078" s="10">
        <v>79</v>
      </c>
      <c r="D8078" s="10">
        <v>372</v>
      </c>
      <c r="E8078" s="10" t="s">
        <v>32</v>
      </c>
      <c r="F8078" s="10" t="s">
        <v>360</v>
      </c>
    </row>
    <row r="8079" spans="1:7" x14ac:dyDescent="0.35">
      <c r="A8079" s="2">
        <v>43242</v>
      </c>
      <c r="B8079" s="36" t="s">
        <v>29</v>
      </c>
      <c r="C8079" s="10">
        <v>78</v>
      </c>
      <c r="D8079" s="10">
        <v>325</v>
      </c>
      <c r="E8079" s="10" t="s">
        <v>32</v>
      </c>
      <c r="F8079" s="10" t="s">
        <v>198</v>
      </c>
    </row>
    <row r="8080" spans="1:7" x14ac:dyDescent="0.35">
      <c r="A8080" s="2">
        <v>43242</v>
      </c>
      <c r="B8080" s="36" t="s">
        <v>29</v>
      </c>
      <c r="C8080" s="10">
        <v>68</v>
      </c>
      <c r="D8080" s="10">
        <v>203</v>
      </c>
      <c r="E8080" s="10" t="s">
        <v>37</v>
      </c>
      <c r="F8080" s="10" t="s">
        <v>360</v>
      </c>
    </row>
    <row r="8081" spans="1:7" x14ac:dyDescent="0.35">
      <c r="A8081" s="2">
        <v>43242</v>
      </c>
      <c r="B8081" s="36" t="s">
        <v>29</v>
      </c>
      <c r="C8081" s="10">
        <v>67</v>
      </c>
      <c r="D8081" s="10">
        <v>263</v>
      </c>
      <c r="E8081" s="10" t="s">
        <v>37</v>
      </c>
      <c r="F8081" s="10" t="s">
        <v>360</v>
      </c>
      <c r="G8081" s="10" t="s">
        <v>161</v>
      </c>
    </row>
    <row r="8082" spans="1:7" x14ac:dyDescent="0.35">
      <c r="A8082" s="2">
        <v>43242</v>
      </c>
      <c r="B8082" s="36" t="s">
        <v>29</v>
      </c>
      <c r="C8082" s="10">
        <v>69</v>
      </c>
      <c r="D8082" s="10">
        <v>220</v>
      </c>
      <c r="E8082" s="10" t="s">
        <v>37</v>
      </c>
      <c r="F8082" s="10" t="s">
        <v>360</v>
      </c>
    </row>
    <row r="8083" spans="1:7" x14ac:dyDescent="0.35">
      <c r="A8083" s="2">
        <v>43242</v>
      </c>
      <c r="B8083" s="36" t="s">
        <v>29</v>
      </c>
      <c r="C8083" s="10">
        <v>64</v>
      </c>
      <c r="D8083" s="10">
        <v>237</v>
      </c>
      <c r="E8083" s="10" t="s">
        <v>159</v>
      </c>
      <c r="F8083" s="10" t="s">
        <v>360</v>
      </c>
    </row>
    <row r="8084" spans="1:7" x14ac:dyDescent="0.35">
      <c r="A8084" s="2">
        <v>43242</v>
      </c>
      <c r="B8084" s="36" t="s">
        <v>29</v>
      </c>
      <c r="C8084" s="10">
        <v>73</v>
      </c>
      <c r="D8084" s="10">
        <v>277</v>
      </c>
      <c r="E8084" s="10" t="s">
        <v>159</v>
      </c>
      <c r="F8084" s="10" t="s">
        <v>360</v>
      </c>
    </row>
    <row r="8085" spans="1:7" x14ac:dyDescent="0.35">
      <c r="A8085" s="2">
        <v>43242</v>
      </c>
      <c r="B8085" s="36" t="s">
        <v>29</v>
      </c>
      <c r="C8085" s="10">
        <v>68</v>
      </c>
      <c r="D8085" s="10">
        <v>297</v>
      </c>
      <c r="E8085" s="10" t="s">
        <v>32</v>
      </c>
      <c r="F8085" s="10" t="s">
        <v>198</v>
      </c>
    </row>
    <row r="8086" spans="1:7" x14ac:dyDescent="0.35">
      <c r="A8086" s="2">
        <v>43242</v>
      </c>
      <c r="B8086" s="36" t="s">
        <v>29</v>
      </c>
      <c r="C8086" s="10">
        <v>67</v>
      </c>
      <c r="D8086" s="10">
        <v>216</v>
      </c>
      <c r="E8086" s="10" t="s">
        <v>37</v>
      </c>
      <c r="F8086" s="10" t="s">
        <v>360</v>
      </c>
    </row>
    <row r="8087" spans="1:7" x14ac:dyDescent="0.35">
      <c r="A8087" s="2">
        <v>43242</v>
      </c>
      <c r="B8087" s="36" t="s">
        <v>29</v>
      </c>
      <c r="C8087" s="10">
        <v>73</v>
      </c>
      <c r="D8087" s="10">
        <v>369</v>
      </c>
      <c r="E8087" s="10" t="s">
        <v>37</v>
      </c>
      <c r="F8087" s="10" t="s">
        <v>293</v>
      </c>
    </row>
    <row r="8088" spans="1:7" x14ac:dyDescent="0.35">
      <c r="A8088" s="2">
        <v>43242</v>
      </c>
      <c r="B8088" s="36" t="s">
        <v>29</v>
      </c>
      <c r="C8088" s="10">
        <v>69</v>
      </c>
      <c r="D8088" s="10">
        <v>290</v>
      </c>
      <c r="E8088" s="10" t="s">
        <v>37</v>
      </c>
      <c r="F8088" s="10" t="s">
        <v>360</v>
      </c>
      <c r="G8088" s="10" t="s">
        <v>161</v>
      </c>
    </row>
    <row r="8089" spans="1:7" x14ac:dyDescent="0.35">
      <c r="A8089" s="2">
        <v>43242</v>
      </c>
      <c r="B8089" s="36" t="s">
        <v>29</v>
      </c>
      <c r="C8089" s="10">
        <v>71</v>
      </c>
      <c r="D8089" s="10">
        <v>234</v>
      </c>
      <c r="E8089" s="10" t="s">
        <v>37</v>
      </c>
      <c r="F8089" s="10" t="s">
        <v>360</v>
      </c>
      <c r="G8089" s="10" t="s">
        <v>161</v>
      </c>
    </row>
    <row r="8090" spans="1:7" x14ac:dyDescent="0.35">
      <c r="A8090" s="2">
        <v>43242</v>
      </c>
      <c r="B8090" s="36" t="s">
        <v>29</v>
      </c>
      <c r="C8090" s="10">
        <v>77</v>
      </c>
      <c r="D8090" s="10">
        <v>390</v>
      </c>
      <c r="E8090" s="10" t="s">
        <v>34</v>
      </c>
      <c r="F8090" s="10" t="s">
        <v>646</v>
      </c>
    </row>
    <row r="8091" spans="1:7" x14ac:dyDescent="0.35">
      <c r="A8091" s="2">
        <v>43242</v>
      </c>
      <c r="B8091" s="36" t="s">
        <v>29</v>
      </c>
      <c r="C8091" s="10">
        <v>71</v>
      </c>
      <c r="D8091" s="10">
        <v>267</v>
      </c>
      <c r="E8091" s="10" t="s">
        <v>37</v>
      </c>
      <c r="F8091" s="10" t="s">
        <v>646</v>
      </c>
    </row>
    <row r="8092" spans="1:7" x14ac:dyDescent="0.35">
      <c r="A8092" s="2">
        <v>43242</v>
      </c>
      <c r="B8092" s="36" t="s">
        <v>29</v>
      </c>
      <c r="C8092" s="10">
        <v>64</v>
      </c>
      <c r="D8092" s="10">
        <v>173</v>
      </c>
      <c r="E8092" s="10" t="s">
        <v>37</v>
      </c>
      <c r="F8092" s="10" t="s">
        <v>360</v>
      </c>
      <c r="G8092" s="10" t="s">
        <v>161</v>
      </c>
    </row>
    <row r="8093" spans="1:7" x14ac:dyDescent="0.35">
      <c r="A8093" s="2">
        <v>43242</v>
      </c>
      <c r="B8093" s="36" t="s">
        <v>29</v>
      </c>
      <c r="C8093" s="10">
        <v>68</v>
      </c>
      <c r="D8093" s="10">
        <v>270</v>
      </c>
      <c r="E8093" s="10" t="s">
        <v>32</v>
      </c>
      <c r="F8093" s="10" t="s">
        <v>646</v>
      </c>
    </row>
    <row r="8094" spans="1:7" x14ac:dyDescent="0.35">
      <c r="A8094" s="2">
        <v>43242</v>
      </c>
      <c r="B8094" s="36" t="s">
        <v>29</v>
      </c>
      <c r="C8094" s="10">
        <v>69</v>
      </c>
      <c r="D8094" s="10">
        <v>307</v>
      </c>
      <c r="E8094" s="10" t="s">
        <v>159</v>
      </c>
      <c r="F8094" s="10" t="s">
        <v>360</v>
      </c>
    </row>
    <row r="8095" spans="1:7" x14ac:dyDescent="0.35">
      <c r="A8095" s="2">
        <v>43242</v>
      </c>
      <c r="B8095" s="36" t="s">
        <v>29</v>
      </c>
      <c r="C8095" s="10">
        <v>68</v>
      </c>
      <c r="D8095" s="10">
        <v>278</v>
      </c>
      <c r="E8095" s="10" t="s">
        <v>37</v>
      </c>
      <c r="F8095" s="10" t="s">
        <v>360</v>
      </c>
      <c r="G8095" s="10" t="s">
        <v>161</v>
      </c>
    </row>
    <row r="8096" spans="1:7" x14ac:dyDescent="0.35">
      <c r="A8096" s="2">
        <v>43242</v>
      </c>
      <c r="B8096" s="36" t="s">
        <v>29</v>
      </c>
      <c r="C8096" s="10">
        <v>68</v>
      </c>
      <c r="D8096" s="10">
        <v>227</v>
      </c>
      <c r="E8096" s="10" t="s">
        <v>159</v>
      </c>
      <c r="F8096" s="10" t="s">
        <v>360</v>
      </c>
    </row>
    <row r="8097" spans="1:24" x14ac:dyDescent="0.35">
      <c r="A8097" s="2">
        <v>43242</v>
      </c>
      <c r="B8097" s="36" t="s">
        <v>29</v>
      </c>
      <c r="C8097" s="10">
        <v>73</v>
      </c>
      <c r="D8097" s="10">
        <v>328</v>
      </c>
      <c r="E8097" s="10" t="s">
        <v>32</v>
      </c>
      <c r="F8097" s="10" t="s">
        <v>646</v>
      </c>
    </row>
    <row r="8098" spans="1:24" x14ac:dyDescent="0.35">
      <c r="A8098" s="2">
        <v>43242</v>
      </c>
      <c r="B8098" s="36" t="s">
        <v>29</v>
      </c>
      <c r="C8098" s="10">
        <v>73</v>
      </c>
      <c r="D8098" s="10">
        <v>255</v>
      </c>
      <c r="E8098" s="10" t="s">
        <v>32</v>
      </c>
      <c r="F8098" s="10" t="s">
        <v>646</v>
      </c>
    </row>
    <row r="8099" spans="1:24" x14ac:dyDescent="0.35">
      <c r="A8099" s="2">
        <v>43242</v>
      </c>
      <c r="B8099" s="36" t="s">
        <v>29</v>
      </c>
      <c r="C8099" s="10">
        <v>78</v>
      </c>
      <c r="D8099" s="10">
        <v>368</v>
      </c>
      <c r="E8099" s="10" t="s">
        <v>37</v>
      </c>
      <c r="F8099" s="10" t="s">
        <v>360</v>
      </c>
      <c r="G8099" s="10" t="s">
        <v>161</v>
      </c>
    </row>
    <row r="8100" spans="1:24" x14ac:dyDescent="0.35">
      <c r="A8100" s="2">
        <v>43242</v>
      </c>
      <c r="B8100" s="36" t="s">
        <v>29</v>
      </c>
      <c r="C8100" s="10">
        <v>67</v>
      </c>
      <c r="D8100" s="10">
        <v>201</v>
      </c>
      <c r="E8100" s="10" t="s">
        <v>37</v>
      </c>
      <c r="F8100" s="10" t="s">
        <v>360</v>
      </c>
      <c r="G8100" s="10" t="s">
        <v>161</v>
      </c>
    </row>
    <row r="8101" spans="1:24" x14ac:dyDescent="0.35">
      <c r="A8101" s="2">
        <v>43242</v>
      </c>
      <c r="B8101" s="36" t="s">
        <v>29</v>
      </c>
      <c r="C8101" s="10">
        <v>65</v>
      </c>
      <c r="D8101" s="10">
        <v>247</v>
      </c>
      <c r="E8101" s="10" t="s">
        <v>159</v>
      </c>
      <c r="F8101" s="10" t="s">
        <v>360</v>
      </c>
    </row>
    <row r="8102" spans="1:24" x14ac:dyDescent="0.35">
      <c r="A8102" s="2">
        <v>43242</v>
      </c>
      <c r="B8102" s="36" t="s">
        <v>29</v>
      </c>
      <c r="C8102" s="10">
        <v>67</v>
      </c>
      <c r="D8102" s="10">
        <v>254</v>
      </c>
      <c r="E8102" s="10" t="s">
        <v>37</v>
      </c>
      <c r="F8102" s="10" t="s">
        <v>360</v>
      </c>
      <c r="G8102" s="10" t="s">
        <v>161</v>
      </c>
    </row>
    <row r="8103" spans="1:24" x14ac:dyDescent="0.35">
      <c r="A8103" s="2">
        <v>43242</v>
      </c>
      <c r="B8103" s="36" t="s">
        <v>29</v>
      </c>
      <c r="C8103" s="10">
        <v>66</v>
      </c>
      <c r="D8103" s="10">
        <v>243</v>
      </c>
      <c r="E8103" s="10" t="s">
        <v>37</v>
      </c>
      <c r="F8103" s="10" t="s">
        <v>360</v>
      </c>
      <c r="G8103" s="10" t="s">
        <v>161</v>
      </c>
    </row>
    <row r="8104" spans="1:24" x14ac:dyDescent="0.35">
      <c r="A8104" s="2">
        <v>43242</v>
      </c>
      <c r="B8104" s="36" t="s">
        <v>29</v>
      </c>
      <c r="C8104" s="10">
        <v>67</v>
      </c>
      <c r="D8104" s="10">
        <v>240</v>
      </c>
      <c r="E8104" s="10" t="s">
        <v>37</v>
      </c>
      <c r="F8104" s="10" t="s">
        <v>360</v>
      </c>
    </row>
    <row r="8105" spans="1:24" x14ac:dyDescent="0.35">
      <c r="A8105" s="2">
        <v>43242</v>
      </c>
      <c r="B8105" s="36" t="s">
        <v>29</v>
      </c>
      <c r="C8105" s="10">
        <v>68</v>
      </c>
      <c r="D8105" s="10">
        <v>182</v>
      </c>
      <c r="E8105" s="10" t="s">
        <v>37</v>
      </c>
      <c r="F8105" s="10" t="s">
        <v>360</v>
      </c>
      <c r="G8105" s="10" t="s">
        <v>161</v>
      </c>
    </row>
    <row r="8106" spans="1:24" x14ac:dyDescent="0.35">
      <c r="A8106" s="2">
        <v>43242</v>
      </c>
      <c r="B8106" s="36" t="s">
        <v>29</v>
      </c>
      <c r="C8106" s="10">
        <v>77</v>
      </c>
      <c r="D8106" s="10">
        <v>373</v>
      </c>
      <c r="E8106" s="10" t="s">
        <v>159</v>
      </c>
      <c r="F8106" s="10" t="s">
        <v>783</v>
      </c>
    </row>
    <row r="8107" spans="1:24" x14ac:dyDescent="0.35">
      <c r="A8107" s="2">
        <v>43242</v>
      </c>
      <c r="B8107" s="36" t="s">
        <v>29</v>
      </c>
      <c r="C8107" s="10">
        <v>72</v>
      </c>
      <c r="D8107" s="10">
        <v>249</v>
      </c>
      <c r="E8107" s="10" t="s">
        <v>32</v>
      </c>
      <c r="F8107" s="10" t="s">
        <v>360</v>
      </c>
    </row>
    <row r="8108" spans="1:24" x14ac:dyDescent="0.35">
      <c r="A8108" s="2">
        <v>43242</v>
      </c>
      <c r="B8108" s="36" t="s">
        <v>29</v>
      </c>
      <c r="C8108" s="10">
        <v>63</v>
      </c>
      <c r="D8108" s="10">
        <v>212</v>
      </c>
      <c r="E8108" s="10" t="s">
        <v>37</v>
      </c>
      <c r="F8108" s="10" t="s">
        <v>360</v>
      </c>
      <c r="G8108" s="10" t="s">
        <v>161</v>
      </c>
      <c r="N8108" t="s">
        <v>42</v>
      </c>
      <c r="O8108" t="s">
        <v>39</v>
      </c>
      <c r="P8108" t="s">
        <v>40</v>
      </c>
      <c r="Q8108" t="s">
        <v>36</v>
      </c>
      <c r="R8108" t="s">
        <v>33</v>
      </c>
      <c r="S8108" t="s">
        <v>34</v>
      </c>
      <c r="T8108" t="s">
        <v>32</v>
      </c>
      <c r="U8108" t="s">
        <v>37</v>
      </c>
      <c r="V8108" t="s">
        <v>159</v>
      </c>
    </row>
    <row r="8109" spans="1:24" x14ac:dyDescent="0.35">
      <c r="A8109" s="2">
        <v>43242</v>
      </c>
      <c r="B8109" s="36" t="s">
        <v>29</v>
      </c>
      <c r="C8109" s="10">
        <v>138</v>
      </c>
      <c r="D8109" s="10">
        <v>3465</v>
      </c>
      <c r="E8109" t="s">
        <v>59</v>
      </c>
      <c r="N8109" s="5">
        <f>COUNTIF(E8060:E8110,"VA")</f>
        <v>0</v>
      </c>
      <c r="O8109" s="5">
        <f>COUNTIF(E8060:E8110,"VB")</f>
        <v>0</v>
      </c>
      <c r="P8109" s="5">
        <f>COUNTIF(E8060:E8110,"VIA0")</f>
        <v>0</v>
      </c>
      <c r="Q8109" s="5">
        <f>COUNTIF(E8060:E8110,"VIA1")</f>
        <v>0</v>
      </c>
      <c r="R8109" s="5">
        <f>COUNTIF(E8059:E8110,"VIA2")</f>
        <v>0</v>
      </c>
      <c r="S8109" s="5">
        <f>COUNTIF(E8059:E8110,"VIA3")</f>
        <v>1</v>
      </c>
      <c r="T8109" s="5">
        <f>COUNTIF(E8059:E8110,"VIA4")</f>
        <v>15</v>
      </c>
      <c r="U8109" s="5">
        <f>COUNTIF(E8059:E8110,"VIB")</f>
        <v>23</v>
      </c>
      <c r="V8109" s="5">
        <f>COUNTIF(E8060:E8110,"VII")</f>
        <v>11</v>
      </c>
      <c r="W8109">
        <f>AVERAGE(C8059:C8108)</f>
        <v>69.959999999999994</v>
      </c>
      <c r="X8109">
        <f>AVERAGE(D8059:D8108)</f>
        <v>273.27999999999997</v>
      </c>
    </row>
    <row r="8110" spans="1:24" s="4" customFormat="1" x14ac:dyDescent="0.35">
      <c r="A8110" s="3">
        <v>43242</v>
      </c>
      <c r="B8110" s="26" t="s">
        <v>29</v>
      </c>
      <c r="C8110" s="11">
        <v>139</v>
      </c>
      <c r="D8110" s="4">
        <v>2940</v>
      </c>
      <c r="E8110" s="4" t="s">
        <v>59</v>
      </c>
      <c r="N8110" s="6">
        <f>N8109/50*100</f>
        <v>0</v>
      </c>
      <c r="O8110" s="6">
        <f t="shared" ref="O8110" si="265">O8109/50*100</f>
        <v>0</v>
      </c>
      <c r="P8110" s="6">
        <f t="shared" ref="P8110" si="266">P8109/50*100</f>
        <v>0</v>
      </c>
      <c r="Q8110" s="6">
        <f t="shared" ref="Q8110" si="267">Q8109/50*100</f>
        <v>0</v>
      </c>
      <c r="R8110" s="6">
        <f t="shared" ref="R8110" si="268">R8109/50*100</f>
        <v>0</v>
      </c>
      <c r="S8110" s="6">
        <f t="shared" ref="S8110" si="269">S8109/50*100</f>
        <v>2</v>
      </c>
      <c r="T8110" s="6">
        <f t="shared" ref="T8110" si="270">T8109/50*100</f>
        <v>30</v>
      </c>
      <c r="U8110" s="6">
        <f t="shared" ref="U8110" si="271">U8109/50*100</f>
        <v>46</v>
      </c>
      <c r="V8110" s="6">
        <f t="shared" ref="V8110" si="272">V8109/50*100</f>
        <v>22</v>
      </c>
    </row>
    <row r="8111" spans="1:24" x14ac:dyDescent="0.35">
      <c r="A8111" s="2">
        <v>43242</v>
      </c>
      <c r="B8111" s="36" t="s">
        <v>38</v>
      </c>
      <c r="C8111" s="10">
        <v>121</v>
      </c>
      <c r="D8111" s="10">
        <v>2463</v>
      </c>
      <c r="E8111" s="10" t="s">
        <v>59</v>
      </c>
    </row>
    <row r="8112" spans="1:24" x14ac:dyDescent="0.35">
      <c r="A8112" s="2">
        <v>43242</v>
      </c>
      <c r="B8112" s="36" t="s">
        <v>38</v>
      </c>
      <c r="C8112" s="10">
        <v>124</v>
      </c>
      <c r="D8112" s="10">
        <v>2189</v>
      </c>
      <c r="E8112" s="10" t="s">
        <v>59</v>
      </c>
    </row>
    <row r="8113" spans="1:7" x14ac:dyDescent="0.35">
      <c r="A8113" s="2">
        <v>43242</v>
      </c>
      <c r="B8113" s="36" t="s">
        <v>38</v>
      </c>
      <c r="C8113" s="10">
        <v>147</v>
      </c>
      <c r="D8113" s="10">
        <v>3219</v>
      </c>
      <c r="E8113" s="10" t="s">
        <v>59</v>
      </c>
    </row>
    <row r="8114" spans="1:7" x14ac:dyDescent="0.35">
      <c r="A8114" s="2">
        <v>43242</v>
      </c>
      <c r="B8114" s="36" t="s">
        <v>38</v>
      </c>
      <c r="C8114" s="10">
        <v>65</v>
      </c>
      <c r="D8114" s="10">
        <v>200</v>
      </c>
      <c r="E8114" s="10" t="s">
        <v>37</v>
      </c>
      <c r="F8114" t="s">
        <v>646</v>
      </c>
    </row>
    <row r="8115" spans="1:7" x14ac:dyDescent="0.35">
      <c r="A8115" s="2">
        <v>43242</v>
      </c>
      <c r="B8115" s="36" t="s">
        <v>38</v>
      </c>
      <c r="C8115" s="10">
        <v>72</v>
      </c>
      <c r="D8115" s="10">
        <v>220</v>
      </c>
      <c r="E8115" s="10" t="s">
        <v>32</v>
      </c>
      <c r="F8115" t="s">
        <v>360</v>
      </c>
    </row>
    <row r="8116" spans="1:7" x14ac:dyDescent="0.35">
      <c r="A8116" s="2">
        <v>43242</v>
      </c>
      <c r="B8116" s="36" t="s">
        <v>38</v>
      </c>
      <c r="C8116" s="10">
        <v>72</v>
      </c>
      <c r="D8116" s="10">
        <v>257</v>
      </c>
      <c r="E8116" s="10" t="s">
        <v>37</v>
      </c>
      <c r="F8116" t="s">
        <v>198</v>
      </c>
    </row>
    <row r="8117" spans="1:7" x14ac:dyDescent="0.35">
      <c r="A8117" s="2">
        <v>43242</v>
      </c>
      <c r="B8117" s="36" t="s">
        <v>38</v>
      </c>
      <c r="C8117" s="10">
        <v>68</v>
      </c>
      <c r="D8117" s="10">
        <v>277</v>
      </c>
      <c r="E8117" s="10" t="s">
        <v>32</v>
      </c>
      <c r="F8117" t="s">
        <v>198</v>
      </c>
      <c r="G8117" t="s">
        <v>682</v>
      </c>
    </row>
    <row r="8118" spans="1:7" x14ac:dyDescent="0.35">
      <c r="A8118" s="2">
        <v>43242</v>
      </c>
      <c r="B8118" s="36" t="s">
        <v>38</v>
      </c>
      <c r="C8118" s="10">
        <v>77</v>
      </c>
      <c r="D8118" s="10">
        <v>301</v>
      </c>
      <c r="E8118" s="10" t="s">
        <v>32</v>
      </c>
      <c r="F8118" t="s">
        <v>360</v>
      </c>
    </row>
    <row r="8119" spans="1:7" x14ac:dyDescent="0.35">
      <c r="A8119" s="2">
        <v>43242</v>
      </c>
      <c r="B8119" s="36" t="s">
        <v>38</v>
      </c>
      <c r="C8119" s="10">
        <v>77</v>
      </c>
      <c r="D8119" s="10">
        <v>338</v>
      </c>
      <c r="E8119" s="10" t="s">
        <v>37</v>
      </c>
      <c r="F8119" t="s">
        <v>360</v>
      </c>
      <c r="G8119" t="s">
        <v>161</v>
      </c>
    </row>
    <row r="8120" spans="1:7" x14ac:dyDescent="0.35">
      <c r="A8120" s="2">
        <v>43242</v>
      </c>
      <c r="B8120" s="36" t="s">
        <v>38</v>
      </c>
      <c r="C8120" s="10">
        <v>68</v>
      </c>
      <c r="D8120" s="10">
        <v>238</v>
      </c>
      <c r="E8120" s="10" t="s">
        <v>32</v>
      </c>
      <c r="F8120" t="s">
        <v>646</v>
      </c>
    </row>
    <row r="8121" spans="1:7" x14ac:dyDescent="0.35">
      <c r="A8121" s="2">
        <v>43242</v>
      </c>
      <c r="B8121" s="36" t="s">
        <v>38</v>
      </c>
      <c r="C8121" s="10">
        <v>68</v>
      </c>
      <c r="D8121" s="10">
        <v>207</v>
      </c>
      <c r="E8121" s="10" t="s">
        <v>37</v>
      </c>
      <c r="F8121" t="s">
        <v>360</v>
      </c>
      <c r="G8121" t="s">
        <v>161</v>
      </c>
    </row>
    <row r="8122" spans="1:7" x14ac:dyDescent="0.35">
      <c r="A8122" s="2">
        <v>43242</v>
      </c>
      <c r="B8122" s="36" t="s">
        <v>38</v>
      </c>
      <c r="C8122" s="10">
        <v>69</v>
      </c>
      <c r="D8122" s="10">
        <v>291</v>
      </c>
      <c r="E8122" s="10" t="s">
        <v>37</v>
      </c>
      <c r="F8122" t="s">
        <v>360</v>
      </c>
    </row>
    <row r="8123" spans="1:7" x14ac:dyDescent="0.35">
      <c r="A8123" s="2">
        <v>43242</v>
      </c>
      <c r="B8123" s="36" t="s">
        <v>38</v>
      </c>
      <c r="C8123" s="10">
        <v>71</v>
      </c>
      <c r="D8123" s="10">
        <v>197</v>
      </c>
      <c r="E8123" s="10" t="s">
        <v>37</v>
      </c>
      <c r="F8123" t="s">
        <v>360</v>
      </c>
    </row>
    <row r="8124" spans="1:7" x14ac:dyDescent="0.35">
      <c r="A8124" s="2">
        <v>43242</v>
      </c>
      <c r="B8124" s="36" t="s">
        <v>38</v>
      </c>
      <c r="C8124" s="10">
        <v>63</v>
      </c>
      <c r="D8124" s="10">
        <v>235</v>
      </c>
      <c r="E8124" s="10" t="s">
        <v>32</v>
      </c>
      <c r="F8124" t="s">
        <v>360</v>
      </c>
      <c r="G8124" t="s">
        <v>161</v>
      </c>
    </row>
    <row r="8125" spans="1:7" x14ac:dyDescent="0.35">
      <c r="A8125" s="2">
        <v>43242</v>
      </c>
      <c r="B8125" s="36" t="s">
        <v>38</v>
      </c>
      <c r="C8125" s="10">
        <v>69</v>
      </c>
      <c r="D8125" s="10">
        <v>241</v>
      </c>
      <c r="E8125" s="10" t="s">
        <v>32</v>
      </c>
      <c r="F8125" t="s">
        <v>360</v>
      </c>
      <c r="G8125" t="s">
        <v>161</v>
      </c>
    </row>
    <row r="8126" spans="1:7" x14ac:dyDescent="0.35">
      <c r="A8126" s="2">
        <v>43242</v>
      </c>
      <c r="B8126" s="36" t="s">
        <v>38</v>
      </c>
      <c r="C8126" s="10">
        <v>79</v>
      </c>
      <c r="D8126" s="10">
        <v>256</v>
      </c>
      <c r="E8126" s="10" t="s">
        <v>37</v>
      </c>
      <c r="F8126" t="s">
        <v>293</v>
      </c>
      <c r="G8126" t="s">
        <v>161</v>
      </c>
    </row>
    <row r="8127" spans="1:7" x14ac:dyDescent="0.35">
      <c r="A8127" s="2">
        <v>43242</v>
      </c>
      <c r="B8127" s="36" t="s">
        <v>38</v>
      </c>
      <c r="C8127" s="10">
        <v>75</v>
      </c>
      <c r="D8127" s="10">
        <v>372</v>
      </c>
      <c r="E8127" s="10" t="s">
        <v>159</v>
      </c>
      <c r="F8127" t="s">
        <v>360</v>
      </c>
    </row>
    <row r="8128" spans="1:7" x14ac:dyDescent="0.35">
      <c r="A8128" s="2">
        <v>43242</v>
      </c>
      <c r="B8128" s="36" t="s">
        <v>38</v>
      </c>
      <c r="C8128" s="10">
        <v>68</v>
      </c>
      <c r="D8128" s="10">
        <v>251</v>
      </c>
      <c r="E8128" s="10" t="s">
        <v>37</v>
      </c>
      <c r="F8128" t="s">
        <v>360</v>
      </c>
    </row>
    <row r="8129" spans="1:7" x14ac:dyDescent="0.35">
      <c r="A8129" s="2">
        <v>43242</v>
      </c>
      <c r="B8129" s="36" t="s">
        <v>38</v>
      </c>
      <c r="C8129" s="10">
        <v>72</v>
      </c>
      <c r="D8129" s="10">
        <v>270</v>
      </c>
      <c r="E8129" s="10" t="s">
        <v>37</v>
      </c>
      <c r="F8129" t="s">
        <v>360</v>
      </c>
    </row>
    <row r="8130" spans="1:7" x14ac:dyDescent="0.35">
      <c r="A8130" s="2">
        <v>43242</v>
      </c>
      <c r="B8130" s="36" t="s">
        <v>38</v>
      </c>
      <c r="C8130" s="10">
        <v>73</v>
      </c>
      <c r="D8130" s="10">
        <v>319</v>
      </c>
      <c r="E8130" s="10" t="s">
        <v>37</v>
      </c>
      <c r="F8130" t="s">
        <v>360</v>
      </c>
    </row>
    <row r="8131" spans="1:7" x14ac:dyDescent="0.35">
      <c r="A8131" s="2">
        <v>43242</v>
      </c>
      <c r="B8131" s="36" t="s">
        <v>38</v>
      </c>
      <c r="C8131" s="10">
        <v>64</v>
      </c>
      <c r="D8131" s="10">
        <v>246</v>
      </c>
      <c r="E8131" s="10" t="s">
        <v>32</v>
      </c>
      <c r="F8131" t="s">
        <v>360</v>
      </c>
      <c r="G8131" t="s">
        <v>161</v>
      </c>
    </row>
    <row r="8132" spans="1:7" x14ac:dyDescent="0.35">
      <c r="A8132" s="2">
        <v>43242</v>
      </c>
      <c r="B8132" s="36" t="s">
        <v>38</v>
      </c>
      <c r="C8132" s="10">
        <v>73</v>
      </c>
      <c r="D8132" s="10">
        <v>242</v>
      </c>
      <c r="E8132" s="10" t="s">
        <v>32</v>
      </c>
      <c r="F8132" t="s">
        <v>360</v>
      </c>
    </row>
    <row r="8133" spans="1:7" x14ac:dyDescent="0.35">
      <c r="A8133" s="2">
        <v>43242</v>
      </c>
      <c r="B8133" s="36" t="s">
        <v>38</v>
      </c>
      <c r="C8133" s="10">
        <v>73</v>
      </c>
      <c r="D8133" s="10">
        <v>328</v>
      </c>
      <c r="E8133" s="10" t="s">
        <v>32</v>
      </c>
      <c r="F8133" t="s">
        <v>646</v>
      </c>
    </row>
    <row r="8134" spans="1:7" x14ac:dyDescent="0.35">
      <c r="A8134" s="2">
        <v>43242</v>
      </c>
      <c r="B8134" s="36" t="s">
        <v>38</v>
      </c>
      <c r="C8134" s="10">
        <v>68</v>
      </c>
      <c r="D8134" s="10">
        <v>287</v>
      </c>
      <c r="E8134" s="10" t="s">
        <v>32</v>
      </c>
      <c r="F8134" t="s">
        <v>360</v>
      </c>
      <c r="G8134" t="s">
        <v>161</v>
      </c>
    </row>
    <row r="8135" spans="1:7" x14ac:dyDescent="0.35">
      <c r="A8135" s="2">
        <v>43242</v>
      </c>
      <c r="B8135" s="36" t="s">
        <v>38</v>
      </c>
      <c r="C8135" s="10">
        <v>66</v>
      </c>
      <c r="D8135" s="10">
        <v>258</v>
      </c>
      <c r="E8135" s="10" t="s">
        <v>37</v>
      </c>
      <c r="F8135" t="s">
        <v>360</v>
      </c>
      <c r="G8135" t="s">
        <v>161</v>
      </c>
    </row>
    <row r="8136" spans="1:7" x14ac:dyDescent="0.35">
      <c r="A8136" s="2">
        <v>43242</v>
      </c>
      <c r="B8136" s="36" t="s">
        <v>38</v>
      </c>
      <c r="C8136" s="10">
        <v>73</v>
      </c>
      <c r="D8136" s="10">
        <v>319</v>
      </c>
      <c r="E8136" s="10" t="s">
        <v>37</v>
      </c>
      <c r="F8136" t="s">
        <v>293</v>
      </c>
    </row>
    <row r="8137" spans="1:7" x14ac:dyDescent="0.35">
      <c r="A8137" s="2">
        <v>43242</v>
      </c>
      <c r="B8137" s="36" t="s">
        <v>38</v>
      </c>
      <c r="C8137" s="10">
        <v>68</v>
      </c>
      <c r="D8137" s="10">
        <v>227</v>
      </c>
      <c r="E8137" s="10" t="s">
        <v>159</v>
      </c>
      <c r="F8137" t="s">
        <v>360</v>
      </c>
    </row>
    <row r="8138" spans="1:7" x14ac:dyDescent="0.35">
      <c r="A8138" s="2">
        <v>43242</v>
      </c>
      <c r="B8138" s="36" t="s">
        <v>38</v>
      </c>
      <c r="C8138" s="10">
        <v>64</v>
      </c>
      <c r="D8138" s="10">
        <v>203</v>
      </c>
      <c r="E8138" s="10" t="s">
        <v>32</v>
      </c>
      <c r="F8138" t="s">
        <v>360</v>
      </c>
      <c r="G8138" t="s">
        <v>161</v>
      </c>
    </row>
    <row r="8139" spans="1:7" x14ac:dyDescent="0.35">
      <c r="A8139" s="2">
        <v>43242</v>
      </c>
      <c r="B8139" s="36" t="s">
        <v>38</v>
      </c>
      <c r="C8139" s="10">
        <v>68</v>
      </c>
      <c r="D8139" s="10">
        <v>201</v>
      </c>
      <c r="E8139" s="10" t="s">
        <v>37</v>
      </c>
      <c r="F8139" t="s">
        <v>360</v>
      </c>
    </row>
    <row r="8140" spans="1:7" x14ac:dyDescent="0.35">
      <c r="A8140" s="2">
        <v>43242</v>
      </c>
      <c r="B8140" s="36" t="s">
        <v>38</v>
      </c>
      <c r="C8140" s="10">
        <v>72</v>
      </c>
      <c r="D8140" s="10">
        <v>254</v>
      </c>
      <c r="E8140" s="10" t="s">
        <v>32</v>
      </c>
      <c r="F8140" t="s">
        <v>360</v>
      </c>
    </row>
    <row r="8141" spans="1:7" x14ac:dyDescent="0.35">
      <c r="A8141" s="2">
        <v>43242</v>
      </c>
      <c r="B8141" s="36" t="s">
        <v>38</v>
      </c>
      <c r="C8141" s="10">
        <v>70</v>
      </c>
      <c r="D8141" s="10">
        <v>290</v>
      </c>
      <c r="E8141" s="10" t="s">
        <v>34</v>
      </c>
      <c r="F8141" t="s">
        <v>646</v>
      </c>
    </row>
    <row r="8142" spans="1:7" x14ac:dyDescent="0.35">
      <c r="A8142" s="2">
        <v>43242</v>
      </c>
      <c r="B8142" s="36" t="s">
        <v>38</v>
      </c>
      <c r="C8142" s="10">
        <v>71</v>
      </c>
      <c r="D8142" s="10">
        <v>262</v>
      </c>
      <c r="E8142" s="10" t="s">
        <v>32</v>
      </c>
      <c r="F8142" t="s">
        <v>360</v>
      </c>
      <c r="G8142" t="s">
        <v>161</v>
      </c>
    </row>
    <row r="8143" spans="1:7" x14ac:dyDescent="0.35">
      <c r="A8143" s="2">
        <v>43242</v>
      </c>
      <c r="B8143" s="36" t="s">
        <v>38</v>
      </c>
      <c r="C8143" s="10">
        <v>70</v>
      </c>
      <c r="D8143" s="10">
        <v>270</v>
      </c>
      <c r="E8143" s="10" t="s">
        <v>37</v>
      </c>
      <c r="F8143" t="s">
        <v>360</v>
      </c>
      <c r="G8143" t="s">
        <v>161</v>
      </c>
    </row>
    <row r="8144" spans="1:7" x14ac:dyDescent="0.35">
      <c r="A8144" s="2">
        <v>43242</v>
      </c>
      <c r="B8144" s="36" t="s">
        <v>38</v>
      </c>
      <c r="C8144" s="10">
        <v>73</v>
      </c>
      <c r="D8144" s="10">
        <v>246</v>
      </c>
      <c r="E8144" s="10" t="s">
        <v>37</v>
      </c>
      <c r="F8144" t="s">
        <v>360</v>
      </c>
    </row>
    <row r="8145" spans="1:24" x14ac:dyDescent="0.35">
      <c r="A8145" s="2">
        <v>43242</v>
      </c>
      <c r="B8145" s="36" t="s">
        <v>38</v>
      </c>
      <c r="C8145" s="10">
        <v>70</v>
      </c>
      <c r="D8145" s="10">
        <v>293</v>
      </c>
      <c r="E8145" s="10" t="s">
        <v>159</v>
      </c>
      <c r="F8145" t="s">
        <v>360</v>
      </c>
    </row>
    <row r="8146" spans="1:24" x14ac:dyDescent="0.35">
      <c r="A8146" s="2">
        <v>43242</v>
      </c>
      <c r="B8146" s="36" t="s">
        <v>38</v>
      </c>
      <c r="C8146" s="10">
        <v>71</v>
      </c>
      <c r="D8146" s="10">
        <v>273</v>
      </c>
      <c r="E8146" s="10" t="s">
        <v>37</v>
      </c>
      <c r="F8146" t="s">
        <v>646</v>
      </c>
    </row>
    <row r="8147" spans="1:24" x14ac:dyDescent="0.35">
      <c r="A8147" s="2">
        <v>43242</v>
      </c>
      <c r="B8147" s="36" t="s">
        <v>38</v>
      </c>
      <c r="C8147" s="10">
        <v>73</v>
      </c>
      <c r="D8147" s="10">
        <v>311</v>
      </c>
      <c r="E8147" s="10" t="s">
        <v>159</v>
      </c>
      <c r="F8147" t="s">
        <v>360</v>
      </c>
    </row>
    <row r="8148" spans="1:24" x14ac:dyDescent="0.35">
      <c r="A8148" s="2">
        <v>43242</v>
      </c>
      <c r="B8148" s="36" t="s">
        <v>38</v>
      </c>
      <c r="C8148" s="10">
        <v>77</v>
      </c>
      <c r="D8148" s="10">
        <v>345</v>
      </c>
      <c r="E8148" s="10" t="s">
        <v>32</v>
      </c>
      <c r="F8148" t="s">
        <v>360</v>
      </c>
      <c r="G8148" t="s">
        <v>161</v>
      </c>
    </row>
    <row r="8149" spans="1:24" x14ac:dyDescent="0.35">
      <c r="A8149" s="2">
        <v>43242</v>
      </c>
      <c r="B8149" s="36" t="s">
        <v>38</v>
      </c>
      <c r="C8149" s="10">
        <v>74</v>
      </c>
      <c r="D8149" s="10">
        <v>284</v>
      </c>
      <c r="E8149" s="10" t="s">
        <v>32</v>
      </c>
      <c r="F8149" t="s">
        <v>360</v>
      </c>
      <c r="G8149" t="s">
        <v>161</v>
      </c>
    </row>
    <row r="8150" spans="1:24" x14ac:dyDescent="0.35">
      <c r="A8150" s="2">
        <v>43242</v>
      </c>
      <c r="B8150" s="36" t="s">
        <v>38</v>
      </c>
      <c r="C8150" s="10">
        <v>78</v>
      </c>
      <c r="D8150" s="10">
        <v>366</v>
      </c>
      <c r="E8150" s="10" t="s">
        <v>37</v>
      </c>
      <c r="F8150" t="s">
        <v>360</v>
      </c>
      <c r="G8150" t="s">
        <v>161</v>
      </c>
    </row>
    <row r="8151" spans="1:24" x14ac:dyDescent="0.35">
      <c r="A8151" s="2">
        <v>43242</v>
      </c>
      <c r="B8151" s="36" t="s">
        <v>38</v>
      </c>
      <c r="C8151" s="10">
        <v>70</v>
      </c>
      <c r="D8151" s="10">
        <v>309</v>
      </c>
      <c r="E8151" s="10" t="s">
        <v>37</v>
      </c>
      <c r="F8151" t="s">
        <v>360</v>
      </c>
      <c r="G8151" t="s">
        <v>161</v>
      </c>
    </row>
    <row r="8152" spans="1:24" x14ac:dyDescent="0.35">
      <c r="A8152" s="2">
        <v>43242</v>
      </c>
      <c r="B8152" s="36" t="s">
        <v>38</v>
      </c>
      <c r="C8152" s="10">
        <v>72</v>
      </c>
      <c r="D8152" s="10">
        <v>267</v>
      </c>
      <c r="E8152" s="10" t="s">
        <v>37</v>
      </c>
      <c r="F8152" t="s">
        <v>360</v>
      </c>
      <c r="G8152" t="s">
        <v>161</v>
      </c>
    </row>
    <row r="8153" spans="1:24" x14ac:dyDescent="0.35">
      <c r="A8153" s="2">
        <v>43242</v>
      </c>
      <c r="B8153" s="36" t="s">
        <v>38</v>
      </c>
      <c r="C8153" s="10">
        <v>74</v>
      </c>
      <c r="D8153" s="10">
        <v>290</v>
      </c>
      <c r="E8153" s="10" t="s">
        <v>32</v>
      </c>
      <c r="F8153" t="s">
        <v>360</v>
      </c>
      <c r="G8153" t="s">
        <v>161</v>
      </c>
    </row>
    <row r="8154" spans="1:24" x14ac:dyDescent="0.35">
      <c r="A8154" s="2">
        <v>43242</v>
      </c>
      <c r="B8154" s="36" t="s">
        <v>38</v>
      </c>
      <c r="C8154" s="10">
        <v>70</v>
      </c>
      <c r="D8154" s="10">
        <v>300</v>
      </c>
      <c r="E8154" s="10" t="s">
        <v>159</v>
      </c>
      <c r="F8154" t="s">
        <v>360</v>
      </c>
    </row>
    <row r="8155" spans="1:24" x14ac:dyDescent="0.35">
      <c r="A8155" s="2">
        <v>43242</v>
      </c>
      <c r="B8155" s="36" t="s">
        <v>38</v>
      </c>
      <c r="C8155" s="10">
        <v>74</v>
      </c>
      <c r="D8155" s="10">
        <v>281</v>
      </c>
      <c r="E8155" s="10" t="s">
        <v>34</v>
      </c>
      <c r="F8155" t="s">
        <v>646</v>
      </c>
    </row>
    <row r="8156" spans="1:24" x14ac:dyDescent="0.35">
      <c r="A8156" s="2">
        <v>43242</v>
      </c>
      <c r="B8156" s="36" t="s">
        <v>38</v>
      </c>
      <c r="C8156" s="10">
        <v>72</v>
      </c>
      <c r="D8156" s="10">
        <v>257</v>
      </c>
      <c r="E8156" s="10" t="s">
        <v>32</v>
      </c>
      <c r="F8156" t="s">
        <v>646</v>
      </c>
    </row>
    <row r="8157" spans="1:24" x14ac:dyDescent="0.35">
      <c r="A8157" s="2">
        <v>43242</v>
      </c>
      <c r="B8157" s="36" t="s">
        <v>38</v>
      </c>
      <c r="C8157" s="10">
        <v>74</v>
      </c>
      <c r="D8157" s="10">
        <v>283</v>
      </c>
      <c r="E8157" s="10" t="s">
        <v>34</v>
      </c>
      <c r="F8157" t="s">
        <v>360</v>
      </c>
      <c r="N8157" t="s">
        <v>42</v>
      </c>
      <c r="O8157" t="s">
        <v>39</v>
      </c>
      <c r="P8157" t="s">
        <v>40</v>
      </c>
      <c r="Q8157" t="s">
        <v>36</v>
      </c>
      <c r="R8157" t="s">
        <v>33</v>
      </c>
      <c r="S8157" t="s">
        <v>34</v>
      </c>
      <c r="T8157" t="s">
        <v>32</v>
      </c>
      <c r="U8157" t="s">
        <v>37</v>
      </c>
      <c r="V8157" t="s">
        <v>159</v>
      </c>
    </row>
    <row r="8158" spans="1:24" x14ac:dyDescent="0.35">
      <c r="A8158" s="2">
        <v>43242</v>
      </c>
      <c r="B8158" s="36" t="s">
        <v>38</v>
      </c>
      <c r="C8158" s="10">
        <v>65</v>
      </c>
      <c r="D8158" s="10">
        <v>256</v>
      </c>
      <c r="E8158" s="10" t="s">
        <v>159</v>
      </c>
      <c r="F8158" t="s">
        <v>360</v>
      </c>
      <c r="N8158">
        <f>N8162+N8109</f>
        <v>0</v>
      </c>
      <c r="O8158">
        <f t="shared" ref="O8158:V8158" si="273">O8162+O8109</f>
        <v>0</v>
      </c>
      <c r="P8158">
        <f t="shared" si="273"/>
        <v>0</v>
      </c>
      <c r="Q8158">
        <f t="shared" si="273"/>
        <v>0</v>
      </c>
      <c r="R8158">
        <f t="shared" si="273"/>
        <v>0</v>
      </c>
      <c r="S8158">
        <f t="shared" si="273"/>
        <v>4</v>
      </c>
      <c r="T8158">
        <f t="shared" si="273"/>
        <v>33</v>
      </c>
      <c r="U8158">
        <f t="shared" si="273"/>
        <v>44</v>
      </c>
      <c r="V8158">
        <f t="shared" si="273"/>
        <v>19</v>
      </c>
      <c r="W8158">
        <f>AVERAGE(C8114:C8163,C8059:C8108)</f>
        <v>70.400000000000006</v>
      </c>
      <c r="X8158">
        <f>AVERAGE(D8114:D8163,D8059:D8108)</f>
        <v>273.76</v>
      </c>
    </row>
    <row r="8159" spans="1:24" x14ac:dyDescent="0.35">
      <c r="A8159" s="2">
        <v>43242</v>
      </c>
      <c r="B8159" s="36" t="s">
        <v>38</v>
      </c>
      <c r="C8159" s="10">
        <v>72</v>
      </c>
      <c r="D8159" s="10">
        <v>365</v>
      </c>
      <c r="E8159" s="10" t="s">
        <v>159</v>
      </c>
      <c r="F8159" t="s">
        <v>360</v>
      </c>
    </row>
    <row r="8160" spans="1:24" x14ac:dyDescent="0.35">
      <c r="A8160" s="2">
        <v>43242</v>
      </c>
      <c r="B8160" s="36" t="s">
        <v>38</v>
      </c>
      <c r="C8160" s="10">
        <v>70</v>
      </c>
      <c r="D8160" s="10">
        <v>289</v>
      </c>
      <c r="E8160" s="10" t="s">
        <v>37</v>
      </c>
      <c r="F8160" t="s">
        <v>360</v>
      </c>
    </row>
    <row r="8161" spans="1:24" x14ac:dyDescent="0.35">
      <c r="A8161" s="2">
        <v>43242</v>
      </c>
      <c r="B8161" s="36" t="s">
        <v>38</v>
      </c>
      <c r="C8161" s="10">
        <v>74</v>
      </c>
      <c r="D8161" s="10">
        <v>333</v>
      </c>
      <c r="E8161" s="10" t="s">
        <v>159</v>
      </c>
      <c r="F8161" t="s">
        <v>360</v>
      </c>
      <c r="N8161" t="s">
        <v>42</v>
      </c>
      <c r="O8161" t="s">
        <v>39</v>
      </c>
      <c r="P8161" t="s">
        <v>40</v>
      </c>
      <c r="Q8161" t="s">
        <v>36</v>
      </c>
      <c r="R8161" t="s">
        <v>33</v>
      </c>
      <c r="S8161" t="s">
        <v>34</v>
      </c>
      <c r="T8161" t="s">
        <v>32</v>
      </c>
      <c r="U8161" t="s">
        <v>37</v>
      </c>
      <c r="V8161" t="s">
        <v>159</v>
      </c>
    </row>
    <row r="8162" spans="1:24" x14ac:dyDescent="0.35">
      <c r="A8162" s="2">
        <v>43242</v>
      </c>
      <c r="B8162" s="36" t="s">
        <v>38</v>
      </c>
      <c r="C8162" s="10">
        <v>71</v>
      </c>
      <c r="D8162" s="10">
        <v>268</v>
      </c>
      <c r="E8162" s="10" t="s">
        <v>32</v>
      </c>
      <c r="F8162" t="s">
        <v>198</v>
      </c>
      <c r="G8162" t="s">
        <v>161</v>
      </c>
      <c r="N8162" s="5">
        <f>COUNTIF(E8113:E8163,"VA")</f>
        <v>0</v>
      </c>
      <c r="O8162" s="5">
        <f>COUNTIF(E8113:E8163,"VB")</f>
        <v>0</v>
      </c>
      <c r="P8162" s="5">
        <f>COUNTIF(E8113:E8163,"VIA0")</f>
        <v>0</v>
      </c>
      <c r="Q8162" s="5">
        <f>COUNTIF(E8113:E8163,"VIA1")</f>
        <v>0</v>
      </c>
      <c r="R8162" s="5">
        <f>COUNTIF(E8112:E8163,"VIA2")</f>
        <v>0</v>
      </c>
      <c r="S8162" s="5">
        <f>COUNTIF(E8112:E8163,"VIA3")</f>
        <v>3</v>
      </c>
      <c r="T8162" s="5">
        <f>COUNTIF(E8112:E8163,"VIA4")</f>
        <v>18</v>
      </c>
      <c r="U8162" s="5">
        <f>COUNTIF(E8112:E8163,"VIB")</f>
        <v>21</v>
      </c>
      <c r="V8162" s="5">
        <f>COUNTIF(E8113:E8163,"VII")</f>
        <v>8</v>
      </c>
      <c r="W8162">
        <f>AVERAGE(C8114:C8163)</f>
        <v>70.84</v>
      </c>
      <c r="X8162">
        <f>AVERAGE(D8114:D8163)</f>
        <v>274.24</v>
      </c>
    </row>
    <row r="8163" spans="1:24" s="4" customFormat="1" x14ac:dyDescent="0.35">
      <c r="A8163" s="3">
        <v>43242</v>
      </c>
      <c r="B8163" s="26" t="s">
        <v>38</v>
      </c>
      <c r="C8163" s="11">
        <v>62</v>
      </c>
      <c r="D8163" s="4">
        <v>239</v>
      </c>
      <c r="E8163" s="4" t="s">
        <v>37</v>
      </c>
      <c r="F8163" s="4" t="s">
        <v>360</v>
      </c>
      <c r="G8163" s="4" t="s">
        <v>161</v>
      </c>
      <c r="N8163" s="6">
        <f>N8162/50*100</f>
        <v>0</v>
      </c>
      <c r="O8163" s="6">
        <f t="shared" ref="O8163" si="274">O8162/50*100</f>
        <v>0</v>
      </c>
      <c r="P8163" s="6">
        <f t="shared" ref="P8163" si="275">P8162/50*100</f>
        <v>0</v>
      </c>
      <c r="Q8163" s="6">
        <f t="shared" ref="Q8163" si="276">Q8162/50*100</f>
        <v>0</v>
      </c>
      <c r="R8163" s="6">
        <f t="shared" ref="R8163" si="277">R8162/50*100</f>
        <v>0</v>
      </c>
      <c r="S8163" s="6">
        <f t="shared" ref="S8163" si="278">S8162/50*100</f>
        <v>6</v>
      </c>
      <c r="T8163" s="6">
        <f t="shared" ref="T8163" si="279">T8162/50*100</f>
        <v>36</v>
      </c>
      <c r="U8163" s="6">
        <f t="shared" ref="U8163" si="280">U8162/50*100</f>
        <v>42</v>
      </c>
      <c r="V8163" s="6">
        <f t="shared" ref="V8163" si="281">V8162/50*100</f>
        <v>16</v>
      </c>
    </row>
    <row r="8164" spans="1:24" x14ac:dyDescent="0.35">
      <c r="A8164" s="2">
        <v>43242</v>
      </c>
      <c r="B8164" s="40" t="s">
        <v>63</v>
      </c>
      <c r="C8164" s="10">
        <v>204</v>
      </c>
      <c r="D8164" s="10">
        <v>1476</v>
      </c>
      <c r="E8164" s="10" t="s">
        <v>59</v>
      </c>
      <c r="L8164">
        <f>COUNTIF(F8164:F8488,"F++")</f>
        <v>6</v>
      </c>
    </row>
    <row r="8165" spans="1:24" x14ac:dyDescent="0.35">
      <c r="A8165" s="2">
        <v>43242</v>
      </c>
      <c r="B8165" s="40" t="s">
        <v>63</v>
      </c>
      <c r="C8165" s="10">
        <v>117</v>
      </c>
      <c r="D8165" s="10">
        <v>2297</v>
      </c>
      <c r="E8165" s="10" t="s">
        <v>59</v>
      </c>
    </row>
    <row r="8166" spans="1:24" x14ac:dyDescent="0.35">
      <c r="A8166" s="2">
        <v>43242</v>
      </c>
      <c r="B8166" s="40" t="s">
        <v>63</v>
      </c>
      <c r="C8166" s="10">
        <v>97</v>
      </c>
      <c r="D8166" s="10">
        <v>935</v>
      </c>
      <c r="E8166" s="10" t="s">
        <v>59</v>
      </c>
    </row>
    <row r="8167" spans="1:24" x14ac:dyDescent="0.35">
      <c r="A8167" s="2">
        <v>43242</v>
      </c>
      <c r="B8167" s="40" t="s">
        <v>63</v>
      </c>
      <c r="C8167" s="10">
        <v>92</v>
      </c>
      <c r="D8167" s="10">
        <v>1053</v>
      </c>
      <c r="E8167" s="10" t="s">
        <v>59</v>
      </c>
    </row>
    <row r="8168" spans="1:24" x14ac:dyDescent="0.35">
      <c r="A8168" s="2">
        <v>43242</v>
      </c>
      <c r="B8168" s="40" t="s">
        <v>63</v>
      </c>
      <c r="C8168" s="55">
        <v>82</v>
      </c>
      <c r="D8168" s="55">
        <v>557</v>
      </c>
      <c r="E8168" s="55" t="s">
        <v>159</v>
      </c>
      <c r="F8168" t="s">
        <v>783</v>
      </c>
    </row>
    <row r="8169" spans="1:24" x14ac:dyDescent="0.35">
      <c r="A8169" s="2">
        <v>43242</v>
      </c>
      <c r="B8169" s="40" t="s">
        <v>63</v>
      </c>
      <c r="C8169" s="10">
        <v>70</v>
      </c>
      <c r="D8169" s="10">
        <v>430</v>
      </c>
      <c r="E8169" s="10" t="s">
        <v>159</v>
      </c>
      <c r="F8169" t="s">
        <v>783</v>
      </c>
    </row>
    <row r="8170" spans="1:24" x14ac:dyDescent="0.35">
      <c r="A8170" s="2">
        <v>43242</v>
      </c>
      <c r="B8170" s="40" t="s">
        <v>63</v>
      </c>
      <c r="C8170" s="10">
        <v>68</v>
      </c>
      <c r="D8170" s="10">
        <v>343</v>
      </c>
      <c r="E8170" s="10" t="s">
        <v>159</v>
      </c>
      <c r="F8170" t="s">
        <v>783</v>
      </c>
    </row>
    <row r="8171" spans="1:24" x14ac:dyDescent="0.35">
      <c r="A8171" s="2">
        <v>43242</v>
      </c>
      <c r="B8171" s="40" t="s">
        <v>63</v>
      </c>
      <c r="C8171" s="10">
        <v>69</v>
      </c>
      <c r="D8171" s="10">
        <v>245</v>
      </c>
      <c r="E8171" s="10" t="s">
        <v>32</v>
      </c>
      <c r="F8171" t="s">
        <v>293</v>
      </c>
      <c r="G8171" t="s">
        <v>161</v>
      </c>
    </row>
    <row r="8172" spans="1:24" x14ac:dyDescent="0.35">
      <c r="A8172" s="2">
        <v>43242</v>
      </c>
      <c r="B8172" s="40" t="s">
        <v>63</v>
      </c>
      <c r="C8172" s="10">
        <v>72</v>
      </c>
      <c r="D8172" s="10">
        <v>374</v>
      </c>
      <c r="E8172" s="10" t="s">
        <v>159</v>
      </c>
      <c r="F8172" t="s">
        <v>360</v>
      </c>
    </row>
    <row r="8173" spans="1:24" x14ac:dyDescent="0.35">
      <c r="A8173" s="2">
        <v>43242</v>
      </c>
      <c r="B8173" s="40" t="s">
        <v>63</v>
      </c>
      <c r="C8173" s="10">
        <v>68</v>
      </c>
      <c r="D8173" s="10">
        <v>308</v>
      </c>
      <c r="E8173" s="10" t="s">
        <v>159</v>
      </c>
      <c r="F8173" t="s">
        <v>360</v>
      </c>
    </row>
    <row r="8174" spans="1:24" x14ac:dyDescent="0.35">
      <c r="A8174" s="2">
        <v>43242</v>
      </c>
      <c r="B8174" s="40" t="s">
        <v>63</v>
      </c>
      <c r="C8174" s="10">
        <v>69</v>
      </c>
      <c r="D8174" s="10">
        <v>270</v>
      </c>
      <c r="E8174" s="10" t="s">
        <v>37</v>
      </c>
      <c r="F8174" t="s">
        <v>360</v>
      </c>
    </row>
    <row r="8175" spans="1:24" x14ac:dyDescent="0.35">
      <c r="A8175" s="2">
        <v>43242</v>
      </c>
      <c r="B8175" s="40" t="s">
        <v>63</v>
      </c>
      <c r="C8175" s="10">
        <v>70</v>
      </c>
      <c r="D8175" s="10">
        <v>288</v>
      </c>
      <c r="E8175" s="10" t="s">
        <v>32</v>
      </c>
      <c r="F8175" t="s">
        <v>293</v>
      </c>
    </row>
    <row r="8176" spans="1:24" x14ac:dyDescent="0.35">
      <c r="A8176" s="2">
        <v>43242</v>
      </c>
      <c r="B8176" s="40" t="s">
        <v>63</v>
      </c>
      <c r="C8176" s="10">
        <v>73</v>
      </c>
      <c r="D8176" s="10">
        <v>313</v>
      </c>
      <c r="E8176" s="10" t="s">
        <v>37</v>
      </c>
      <c r="F8176" t="s">
        <v>360</v>
      </c>
      <c r="G8176" t="s">
        <v>161</v>
      </c>
    </row>
    <row r="8177" spans="1:7" x14ac:dyDescent="0.35">
      <c r="A8177" s="2">
        <v>43242</v>
      </c>
      <c r="B8177" s="40" t="s">
        <v>63</v>
      </c>
      <c r="C8177" s="10">
        <v>68</v>
      </c>
      <c r="D8177" s="10">
        <v>303</v>
      </c>
      <c r="E8177" s="10" t="s">
        <v>37</v>
      </c>
      <c r="F8177" t="s">
        <v>360</v>
      </c>
      <c r="G8177" t="s">
        <v>161</v>
      </c>
    </row>
    <row r="8178" spans="1:7" x14ac:dyDescent="0.35">
      <c r="A8178" s="2">
        <v>43242</v>
      </c>
      <c r="B8178" s="40" t="s">
        <v>63</v>
      </c>
      <c r="C8178" s="10">
        <v>73</v>
      </c>
      <c r="D8178" s="10">
        <v>404</v>
      </c>
      <c r="E8178" s="10" t="s">
        <v>159</v>
      </c>
      <c r="F8178" t="s">
        <v>783</v>
      </c>
    </row>
    <row r="8179" spans="1:7" x14ac:dyDescent="0.35">
      <c r="A8179" s="2">
        <v>43242</v>
      </c>
      <c r="B8179" s="40" t="s">
        <v>63</v>
      </c>
      <c r="C8179" s="10">
        <v>72</v>
      </c>
      <c r="D8179" s="10">
        <v>307</v>
      </c>
      <c r="E8179" s="10" t="s">
        <v>33</v>
      </c>
      <c r="F8179" t="s">
        <v>646</v>
      </c>
    </row>
    <row r="8180" spans="1:7" x14ac:dyDescent="0.35">
      <c r="A8180" s="2">
        <v>43242</v>
      </c>
      <c r="B8180" s="40" t="s">
        <v>63</v>
      </c>
      <c r="C8180" s="10">
        <v>73</v>
      </c>
      <c r="D8180" s="10">
        <v>415</v>
      </c>
      <c r="E8180" s="10" t="s">
        <v>159</v>
      </c>
      <c r="F8180" t="s">
        <v>360</v>
      </c>
    </row>
    <row r="8181" spans="1:7" x14ac:dyDescent="0.35">
      <c r="A8181" s="2">
        <v>43242</v>
      </c>
      <c r="B8181" s="40" t="s">
        <v>63</v>
      </c>
      <c r="C8181" s="10">
        <v>73</v>
      </c>
      <c r="D8181" s="10">
        <v>230</v>
      </c>
      <c r="E8181" s="10" t="s">
        <v>37</v>
      </c>
      <c r="F8181" t="s">
        <v>198</v>
      </c>
    </row>
    <row r="8182" spans="1:7" x14ac:dyDescent="0.35">
      <c r="A8182" s="2">
        <v>43242</v>
      </c>
      <c r="B8182" s="40" t="s">
        <v>63</v>
      </c>
      <c r="C8182" s="10">
        <v>67</v>
      </c>
      <c r="D8182" s="10">
        <v>261</v>
      </c>
      <c r="E8182" s="10" t="s">
        <v>37</v>
      </c>
      <c r="F8182" t="s">
        <v>360</v>
      </c>
    </row>
    <row r="8183" spans="1:7" x14ac:dyDescent="0.35">
      <c r="A8183" s="2">
        <v>43242</v>
      </c>
      <c r="B8183" s="40" t="s">
        <v>63</v>
      </c>
      <c r="C8183" s="10">
        <v>80</v>
      </c>
      <c r="D8183" s="10">
        <v>369</v>
      </c>
      <c r="E8183" s="10" t="s">
        <v>37</v>
      </c>
      <c r="F8183" t="s">
        <v>198</v>
      </c>
      <c r="G8183" t="s">
        <v>161</v>
      </c>
    </row>
    <row r="8184" spans="1:7" x14ac:dyDescent="0.35">
      <c r="A8184" s="2">
        <v>43242</v>
      </c>
      <c r="B8184" s="40" t="s">
        <v>63</v>
      </c>
      <c r="C8184" s="10">
        <v>69</v>
      </c>
      <c r="D8184" s="10">
        <v>223</v>
      </c>
      <c r="E8184" s="10" t="s">
        <v>37</v>
      </c>
      <c r="F8184" t="s">
        <v>198</v>
      </c>
    </row>
    <row r="8185" spans="1:7" x14ac:dyDescent="0.35">
      <c r="A8185" s="2">
        <v>43242</v>
      </c>
      <c r="B8185" s="40" t="s">
        <v>63</v>
      </c>
      <c r="C8185" s="10">
        <v>73</v>
      </c>
      <c r="D8185" s="10">
        <v>388</v>
      </c>
      <c r="E8185" s="10" t="s">
        <v>37</v>
      </c>
      <c r="F8185" t="s">
        <v>360</v>
      </c>
    </row>
    <row r="8186" spans="1:7" x14ac:dyDescent="0.35">
      <c r="A8186" s="2">
        <v>43242</v>
      </c>
      <c r="B8186" s="40" t="s">
        <v>63</v>
      </c>
      <c r="C8186" s="10">
        <v>70</v>
      </c>
      <c r="D8186" s="10">
        <v>223</v>
      </c>
      <c r="E8186" s="10" t="s">
        <v>37</v>
      </c>
      <c r="F8186" t="s">
        <v>293</v>
      </c>
    </row>
    <row r="8187" spans="1:7" x14ac:dyDescent="0.35">
      <c r="A8187" s="2">
        <v>43242</v>
      </c>
      <c r="B8187" s="40" t="s">
        <v>63</v>
      </c>
      <c r="C8187" s="10">
        <v>79</v>
      </c>
      <c r="D8187" s="10">
        <v>325</v>
      </c>
      <c r="E8187" s="10" t="s">
        <v>37</v>
      </c>
      <c r="F8187" t="s">
        <v>646</v>
      </c>
      <c r="G8187" t="s">
        <v>934</v>
      </c>
    </row>
    <row r="8188" spans="1:7" x14ac:dyDescent="0.35">
      <c r="A8188" s="2">
        <v>43242</v>
      </c>
      <c r="B8188" s="40" t="s">
        <v>63</v>
      </c>
      <c r="C8188" s="10">
        <v>72</v>
      </c>
      <c r="D8188" s="10">
        <v>349</v>
      </c>
      <c r="E8188" s="10" t="s">
        <v>37</v>
      </c>
      <c r="F8188" t="s">
        <v>646</v>
      </c>
    </row>
    <row r="8189" spans="1:7" x14ac:dyDescent="0.35">
      <c r="A8189" s="2">
        <v>43242</v>
      </c>
      <c r="B8189" s="40" t="s">
        <v>63</v>
      </c>
      <c r="C8189" s="10">
        <v>62</v>
      </c>
      <c r="D8189" s="10">
        <v>193</v>
      </c>
      <c r="E8189" s="10" t="s">
        <v>37</v>
      </c>
      <c r="F8189" t="s">
        <v>360</v>
      </c>
    </row>
    <row r="8190" spans="1:7" x14ac:dyDescent="0.35">
      <c r="A8190" s="2">
        <v>43242</v>
      </c>
      <c r="B8190" s="40" t="s">
        <v>63</v>
      </c>
      <c r="C8190" s="10">
        <v>68</v>
      </c>
      <c r="D8190" s="10">
        <v>243</v>
      </c>
      <c r="E8190" s="10" t="s">
        <v>159</v>
      </c>
      <c r="F8190" t="s">
        <v>360</v>
      </c>
    </row>
    <row r="8191" spans="1:7" x14ac:dyDescent="0.35">
      <c r="A8191" s="2">
        <v>43242</v>
      </c>
      <c r="B8191" s="40" t="s">
        <v>63</v>
      </c>
      <c r="C8191" s="10">
        <v>71</v>
      </c>
      <c r="D8191" s="10">
        <v>330</v>
      </c>
      <c r="E8191" s="10" t="s">
        <v>32</v>
      </c>
      <c r="F8191" t="s">
        <v>646</v>
      </c>
    </row>
    <row r="8192" spans="1:7" x14ac:dyDescent="0.35">
      <c r="A8192" s="2">
        <v>43242</v>
      </c>
      <c r="B8192" s="40" t="s">
        <v>63</v>
      </c>
      <c r="C8192" s="10">
        <v>67</v>
      </c>
      <c r="D8192" s="10">
        <v>280</v>
      </c>
      <c r="E8192" s="10" t="s">
        <v>159</v>
      </c>
      <c r="F8192" t="s">
        <v>360</v>
      </c>
    </row>
    <row r="8193" spans="1:7" x14ac:dyDescent="0.35">
      <c r="A8193" s="2">
        <v>43242</v>
      </c>
      <c r="B8193" s="40" t="s">
        <v>63</v>
      </c>
      <c r="C8193" s="10">
        <v>59</v>
      </c>
      <c r="D8193" s="10">
        <v>177</v>
      </c>
      <c r="E8193" s="10" t="s">
        <v>32</v>
      </c>
      <c r="F8193" t="s">
        <v>360</v>
      </c>
      <c r="G8193" t="s">
        <v>161</v>
      </c>
    </row>
    <row r="8194" spans="1:7" x14ac:dyDescent="0.35">
      <c r="A8194" s="2">
        <v>43242</v>
      </c>
      <c r="B8194" s="40" t="s">
        <v>63</v>
      </c>
      <c r="C8194" s="10">
        <v>60</v>
      </c>
      <c r="D8194" s="10">
        <v>159</v>
      </c>
      <c r="E8194" s="10" t="s">
        <v>32</v>
      </c>
      <c r="F8194" t="s">
        <v>360</v>
      </c>
      <c r="G8194" t="s">
        <v>161</v>
      </c>
    </row>
    <row r="8195" spans="1:7" x14ac:dyDescent="0.35">
      <c r="A8195" s="2">
        <v>43242</v>
      </c>
      <c r="B8195" s="40" t="s">
        <v>63</v>
      </c>
      <c r="C8195" s="10">
        <v>68</v>
      </c>
      <c r="D8195" s="10">
        <v>292</v>
      </c>
      <c r="E8195" s="10" t="s">
        <v>37</v>
      </c>
      <c r="F8195" t="s">
        <v>360</v>
      </c>
      <c r="G8195" t="s">
        <v>161</v>
      </c>
    </row>
    <row r="8196" spans="1:7" x14ac:dyDescent="0.35">
      <c r="A8196" s="2">
        <v>43242</v>
      </c>
      <c r="B8196" s="40" t="s">
        <v>63</v>
      </c>
      <c r="C8196" s="10">
        <v>72</v>
      </c>
      <c r="D8196" s="10">
        <v>253</v>
      </c>
      <c r="E8196" s="10" t="s">
        <v>37</v>
      </c>
      <c r="F8196" t="s">
        <v>360</v>
      </c>
    </row>
    <row r="8197" spans="1:7" x14ac:dyDescent="0.35">
      <c r="A8197" s="2">
        <v>43242</v>
      </c>
      <c r="B8197" s="40" t="s">
        <v>63</v>
      </c>
      <c r="C8197" s="10">
        <v>68</v>
      </c>
      <c r="D8197" s="10">
        <v>296</v>
      </c>
      <c r="E8197" s="10" t="s">
        <v>159</v>
      </c>
      <c r="F8197" t="s">
        <v>360</v>
      </c>
    </row>
    <row r="8198" spans="1:7" x14ac:dyDescent="0.35">
      <c r="A8198" s="2">
        <v>43242</v>
      </c>
      <c r="B8198" s="40" t="s">
        <v>63</v>
      </c>
      <c r="C8198" s="10">
        <v>67</v>
      </c>
      <c r="D8198" s="10">
        <v>248</v>
      </c>
      <c r="E8198" s="10" t="s">
        <v>37</v>
      </c>
      <c r="F8198" t="s">
        <v>198</v>
      </c>
    </row>
    <row r="8199" spans="1:7" x14ac:dyDescent="0.35">
      <c r="A8199" s="2">
        <v>43242</v>
      </c>
      <c r="B8199" s="40" t="s">
        <v>63</v>
      </c>
      <c r="C8199" s="10">
        <v>66</v>
      </c>
      <c r="D8199" s="10">
        <v>245</v>
      </c>
      <c r="E8199" s="10" t="s">
        <v>34</v>
      </c>
      <c r="F8199" t="s">
        <v>293</v>
      </c>
    </row>
    <row r="8200" spans="1:7" x14ac:dyDescent="0.35">
      <c r="A8200" s="2">
        <v>43242</v>
      </c>
      <c r="B8200" s="40" t="s">
        <v>63</v>
      </c>
      <c r="C8200" s="10">
        <v>75</v>
      </c>
      <c r="D8200" s="10">
        <v>444</v>
      </c>
      <c r="E8200" s="10" t="s">
        <v>159</v>
      </c>
      <c r="F8200" t="s">
        <v>360</v>
      </c>
    </row>
    <row r="8201" spans="1:7" x14ac:dyDescent="0.35">
      <c r="A8201" s="2">
        <v>43242</v>
      </c>
      <c r="B8201" s="40" t="s">
        <v>63</v>
      </c>
      <c r="C8201" s="10">
        <v>56</v>
      </c>
      <c r="D8201" s="10">
        <v>196</v>
      </c>
      <c r="E8201" s="10" t="s">
        <v>159</v>
      </c>
      <c r="F8201" t="s">
        <v>360</v>
      </c>
    </row>
    <row r="8202" spans="1:7" x14ac:dyDescent="0.35">
      <c r="A8202" s="2">
        <v>43242</v>
      </c>
      <c r="B8202" s="40" t="s">
        <v>63</v>
      </c>
      <c r="C8202" s="10">
        <v>73</v>
      </c>
      <c r="D8202" s="10">
        <v>313</v>
      </c>
      <c r="E8202" s="10" t="s">
        <v>159</v>
      </c>
      <c r="F8202" t="s">
        <v>360</v>
      </c>
    </row>
    <row r="8203" spans="1:7" x14ac:dyDescent="0.35">
      <c r="A8203" s="2">
        <v>43242</v>
      </c>
      <c r="B8203" s="40" t="s">
        <v>63</v>
      </c>
      <c r="C8203" s="10">
        <v>76</v>
      </c>
      <c r="D8203" s="10">
        <v>338</v>
      </c>
      <c r="E8203" s="10" t="s">
        <v>37</v>
      </c>
      <c r="F8203" t="s">
        <v>293</v>
      </c>
    </row>
    <row r="8204" spans="1:7" x14ac:dyDescent="0.35">
      <c r="A8204" s="2">
        <v>43242</v>
      </c>
      <c r="B8204" s="40" t="s">
        <v>63</v>
      </c>
      <c r="C8204" s="10">
        <v>77</v>
      </c>
      <c r="D8204" s="10">
        <v>304</v>
      </c>
      <c r="E8204" s="10" t="s">
        <v>32</v>
      </c>
      <c r="F8204" t="s">
        <v>293</v>
      </c>
    </row>
    <row r="8205" spans="1:7" x14ac:dyDescent="0.35">
      <c r="A8205" s="2">
        <v>43242</v>
      </c>
      <c r="B8205" s="40" t="s">
        <v>63</v>
      </c>
      <c r="C8205" s="10">
        <v>78</v>
      </c>
      <c r="D8205" s="10">
        <v>378</v>
      </c>
      <c r="E8205" s="10" t="s">
        <v>37</v>
      </c>
      <c r="F8205" t="s">
        <v>293</v>
      </c>
    </row>
    <row r="8206" spans="1:7" x14ac:dyDescent="0.35">
      <c r="A8206" s="2">
        <v>43242</v>
      </c>
      <c r="B8206" s="40" t="s">
        <v>63</v>
      </c>
      <c r="C8206" s="10">
        <v>66</v>
      </c>
      <c r="D8206" s="10">
        <v>252</v>
      </c>
      <c r="E8206" s="10" t="s">
        <v>159</v>
      </c>
      <c r="F8206" t="s">
        <v>360</v>
      </c>
    </row>
    <row r="8207" spans="1:7" x14ac:dyDescent="0.35">
      <c r="A8207" s="2">
        <v>43242</v>
      </c>
      <c r="B8207" s="40" t="s">
        <v>63</v>
      </c>
      <c r="C8207" s="10">
        <v>68</v>
      </c>
      <c r="D8207" s="10">
        <v>240</v>
      </c>
      <c r="E8207" s="10" t="s">
        <v>32</v>
      </c>
      <c r="F8207" t="s">
        <v>646</v>
      </c>
    </row>
    <row r="8208" spans="1:7" x14ac:dyDescent="0.35">
      <c r="A8208" s="2">
        <v>43242</v>
      </c>
      <c r="B8208" s="40" t="s">
        <v>63</v>
      </c>
      <c r="C8208" s="10">
        <v>78</v>
      </c>
      <c r="D8208" s="10">
        <v>311</v>
      </c>
      <c r="E8208" s="10" t="s">
        <v>37</v>
      </c>
      <c r="F8208" t="s">
        <v>293</v>
      </c>
    </row>
    <row r="8209" spans="1:7" x14ac:dyDescent="0.35">
      <c r="A8209" s="2">
        <v>43242</v>
      </c>
      <c r="B8209" s="40" t="s">
        <v>63</v>
      </c>
      <c r="C8209" s="10">
        <v>67</v>
      </c>
      <c r="D8209" s="10">
        <v>202</v>
      </c>
      <c r="E8209" s="10" t="s">
        <v>32</v>
      </c>
      <c r="F8209" t="s">
        <v>476</v>
      </c>
    </row>
    <row r="8210" spans="1:7" x14ac:dyDescent="0.35">
      <c r="A8210" s="2">
        <v>43242</v>
      </c>
      <c r="B8210" s="40" t="s">
        <v>63</v>
      </c>
      <c r="C8210" s="10">
        <v>68</v>
      </c>
      <c r="D8210" s="10">
        <v>264</v>
      </c>
      <c r="E8210" s="10" t="s">
        <v>37</v>
      </c>
      <c r="F8210" t="s">
        <v>360</v>
      </c>
    </row>
    <row r="8211" spans="1:7" x14ac:dyDescent="0.35">
      <c r="A8211" s="2">
        <v>43242</v>
      </c>
      <c r="B8211" s="40" t="s">
        <v>63</v>
      </c>
      <c r="C8211" s="10">
        <v>69</v>
      </c>
      <c r="D8211" s="10">
        <v>252</v>
      </c>
      <c r="E8211" s="10" t="s">
        <v>37</v>
      </c>
      <c r="F8211" t="s">
        <v>198</v>
      </c>
    </row>
    <row r="8212" spans="1:7" x14ac:dyDescent="0.35">
      <c r="A8212" s="2">
        <v>43242</v>
      </c>
      <c r="B8212" s="40" t="s">
        <v>63</v>
      </c>
      <c r="C8212" s="10">
        <v>73</v>
      </c>
      <c r="D8212" s="10">
        <v>275</v>
      </c>
      <c r="E8212" s="10" t="s">
        <v>37</v>
      </c>
      <c r="F8212" t="s">
        <v>646</v>
      </c>
    </row>
    <row r="8213" spans="1:7" x14ac:dyDescent="0.35">
      <c r="A8213" s="2">
        <v>43242</v>
      </c>
      <c r="B8213" s="40" t="s">
        <v>63</v>
      </c>
      <c r="C8213" s="10">
        <v>68</v>
      </c>
      <c r="D8213" s="10">
        <v>198</v>
      </c>
      <c r="E8213" s="10" t="s">
        <v>37</v>
      </c>
      <c r="F8213" t="s">
        <v>198</v>
      </c>
    </row>
    <row r="8214" spans="1:7" x14ac:dyDescent="0.35">
      <c r="A8214" s="2">
        <v>43242</v>
      </c>
      <c r="B8214" s="40" t="s">
        <v>63</v>
      </c>
      <c r="C8214" s="10">
        <v>71</v>
      </c>
      <c r="D8214" s="10">
        <v>202</v>
      </c>
      <c r="E8214" s="10" t="s">
        <v>32</v>
      </c>
      <c r="F8214" t="s">
        <v>293</v>
      </c>
    </row>
    <row r="8215" spans="1:7" x14ac:dyDescent="0.35">
      <c r="A8215" s="2">
        <v>43242</v>
      </c>
      <c r="B8215" s="40" t="s">
        <v>63</v>
      </c>
      <c r="C8215" s="10">
        <v>62</v>
      </c>
      <c r="D8215" s="10">
        <v>190</v>
      </c>
      <c r="E8215" s="10" t="s">
        <v>37</v>
      </c>
      <c r="F8215" t="s">
        <v>198</v>
      </c>
    </row>
    <row r="8216" spans="1:7" x14ac:dyDescent="0.35">
      <c r="A8216" s="2">
        <v>43242</v>
      </c>
      <c r="B8216" s="40" t="s">
        <v>63</v>
      </c>
      <c r="C8216" s="10">
        <v>74</v>
      </c>
      <c r="D8216" s="10">
        <v>322</v>
      </c>
      <c r="E8216" s="10" t="s">
        <v>37</v>
      </c>
      <c r="F8216" t="s">
        <v>198</v>
      </c>
      <c r="G8216" t="s">
        <v>161</v>
      </c>
    </row>
    <row r="8217" spans="1:7" x14ac:dyDescent="0.35">
      <c r="A8217" s="2">
        <v>43242</v>
      </c>
      <c r="B8217" s="40" t="s">
        <v>63</v>
      </c>
      <c r="C8217" s="10">
        <v>75</v>
      </c>
      <c r="D8217" s="10">
        <v>327</v>
      </c>
      <c r="E8217" s="10" t="s">
        <v>37</v>
      </c>
      <c r="F8217" t="s">
        <v>198</v>
      </c>
    </row>
    <row r="8218" spans="1:7" x14ac:dyDescent="0.35">
      <c r="A8218" s="2">
        <v>43242</v>
      </c>
      <c r="B8218" s="40" t="s">
        <v>63</v>
      </c>
      <c r="C8218" s="10">
        <v>68</v>
      </c>
      <c r="D8218" s="10">
        <v>322</v>
      </c>
      <c r="E8218" s="10" t="s">
        <v>159</v>
      </c>
      <c r="F8218" t="s">
        <v>360</v>
      </c>
    </row>
    <row r="8219" spans="1:7" s="4" customFormat="1" x14ac:dyDescent="0.35">
      <c r="A8219" s="3">
        <v>43242</v>
      </c>
      <c r="B8219" s="44" t="s">
        <v>63</v>
      </c>
      <c r="C8219" s="11">
        <v>72</v>
      </c>
      <c r="D8219" s="11">
        <v>318</v>
      </c>
      <c r="E8219" s="11" t="s">
        <v>37</v>
      </c>
      <c r="F8219" s="4" t="s">
        <v>360</v>
      </c>
      <c r="G8219" s="4" t="s">
        <v>161</v>
      </c>
    </row>
    <row r="8220" spans="1:7" x14ac:dyDescent="0.35">
      <c r="A8220" s="2">
        <v>43242</v>
      </c>
      <c r="B8220" s="40" t="s">
        <v>66</v>
      </c>
      <c r="C8220" s="10">
        <v>74</v>
      </c>
      <c r="D8220" s="10">
        <v>285</v>
      </c>
      <c r="E8220" s="10" t="s">
        <v>159</v>
      </c>
      <c r="F8220" s="10" t="s">
        <v>360</v>
      </c>
    </row>
    <row r="8221" spans="1:7" x14ac:dyDescent="0.35">
      <c r="A8221" s="2">
        <v>43242</v>
      </c>
      <c r="B8221" s="40" t="s">
        <v>66</v>
      </c>
      <c r="C8221" s="10">
        <v>67</v>
      </c>
      <c r="D8221" s="10">
        <v>239</v>
      </c>
      <c r="E8221" s="10" t="s">
        <v>159</v>
      </c>
      <c r="F8221" s="10" t="s">
        <v>360</v>
      </c>
    </row>
    <row r="8222" spans="1:7" x14ac:dyDescent="0.35">
      <c r="A8222" s="2">
        <v>43242</v>
      </c>
      <c r="B8222" s="40" t="s">
        <v>66</v>
      </c>
      <c r="C8222" s="10">
        <v>68</v>
      </c>
      <c r="D8222" s="10">
        <v>221</v>
      </c>
      <c r="E8222" s="10" t="s">
        <v>32</v>
      </c>
      <c r="F8222" s="10" t="s">
        <v>646</v>
      </c>
    </row>
    <row r="8223" spans="1:7" x14ac:dyDescent="0.35">
      <c r="A8223" s="2">
        <v>43242</v>
      </c>
      <c r="B8223" s="40" t="s">
        <v>66</v>
      </c>
      <c r="C8223" s="10">
        <v>61</v>
      </c>
      <c r="D8223" s="10">
        <v>199</v>
      </c>
      <c r="E8223" s="10" t="s">
        <v>159</v>
      </c>
      <c r="F8223" s="10" t="s">
        <v>360</v>
      </c>
    </row>
    <row r="8224" spans="1:7" x14ac:dyDescent="0.35">
      <c r="A8224" s="2">
        <v>43242</v>
      </c>
      <c r="B8224" s="40" t="s">
        <v>66</v>
      </c>
      <c r="C8224" s="10">
        <v>69</v>
      </c>
      <c r="D8224" s="10">
        <v>212</v>
      </c>
      <c r="E8224" s="10" t="s">
        <v>32</v>
      </c>
      <c r="F8224" s="10" t="s">
        <v>198</v>
      </c>
      <c r="G8224" s="10" t="s">
        <v>161</v>
      </c>
    </row>
    <row r="8225" spans="1:7" x14ac:dyDescent="0.35">
      <c r="A8225" s="2">
        <v>43242</v>
      </c>
      <c r="B8225" s="40" t="s">
        <v>66</v>
      </c>
      <c r="C8225" s="10">
        <v>73</v>
      </c>
      <c r="D8225" s="10">
        <v>376</v>
      </c>
      <c r="E8225" s="10" t="s">
        <v>159</v>
      </c>
      <c r="F8225" s="10" t="s">
        <v>360</v>
      </c>
    </row>
    <row r="8226" spans="1:7" x14ac:dyDescent="0.35">
      <c r="A8226" s="2">
        <v>43242</v>
      </c>
      <c r="B8226" s="40" t="s">
        <v>66</v>
      </c>
      <c r="C8226" s="10">
        <v>68</v>
      </c>
      <c r="D8226" s="10">
        <v>275</v>
      </c>
      <c r="E8226" s="10" t="s">
        <v>159</v>
      </c>
      <c r="F8226" s="10" t="s">
        <v>360</v>
      </c>
    </row>
    <row r="8227" spans="1:7" x14ac:dyDescent="0.35">
      <c r="A8227" s="2">
        <v>43242</v>
      </c>
      <c r="B8227" s="40" t="s">
        <v>66</v>
      </c>
      <c r="C8227" s="10">
        <v>74</v>
      </c>
      <c r="D8227" s="10">
        <v>302</v>
      </c>
      <c r="E8227" s="10" t="s">
        <v>159</v>
      </c>
      <c r="F8227" s="10" t="s">
        <v>360</v>
      </c>
    </row>
    <row r="8228" spans="1:7" x14ac:dyDescent="0.35">
      <c r="A8228" s="2">
        <v>43242</v>
      </c>
      <c r="B8228" s="40" t="s">
        <v>66</v>
      </c>
      <c r="C8228" s="10">
        <v>76</v>
      </c>
      <c r="D8228" s="10">
        <v>317</v>
      </c>
      <c r="E8228" s="10" t="s">
        <v>32</v>
      </c>
      <c r="F8228" s="10" t="s">
        <v>646</v>
      </c>
    </row>
    <row r="8229" spans="1:7" x14ac:dyDescent="0.35">
      <c r="A8229" s="2">
        <v>43242</v>
      </c>
      <c r="B8229" s="40" t="s">
        <v>66</v>
      </c>
      <c r="C8229" s="10">
        <v>68</v>
      </c>
      <c r="D8229" s="10">
        <v>258</v>
      </c>
      <c r="E8229" s="10" t="s">
        <v>37</v>
      </c>
      <c r="F8229" s="10" t="s">
        <v>293</v>
      </c>
      <c r="G8229" s="10" t="s">
        <v>161</v>
      </c>
    </row>
    <row r="8230" spans="1:7" x14ac:dyDescent="0.35">
      <c r="A8230" s="2">
        <v>43242</v>
      </c>
      <c r="B8230" s="40" t="s">
        <v>66</v>
      </c>
      <c r="C8230" s="10">
        <v>75</v>
      </c>
      <c r="D8230" s="10">
        <v>294</v>
      </c>
      <c r="E8230" s="10" t="s">
        <v>159</v>
      </c>
      <c r="F8230" s="10" t="s">
        <v>360</v>
      </c>
    </row>
    <row r="8231" spans="1:7" x14ac:dyDescent="0.35">
      <c r="A8231" s="2">
        <v>43242</v>
      </c>
      <c r="B8231" s="40" t="s">
        <v>66</v>
      </c>
      <c r="C8231" s="10">
        <v>68</v>
      </c>
      <c r="D8231" s="10">
        <v>233</v>
      </c>
      <c r="E8231" s="10" t="s">
        <v>159</v>
      </c>
      <c r="F8231" s="10" t="s">
        <v>360</v>
      </c>
    </row>
    <row r="8232" spans="1:7" x14ac:dyDescent="0.35">
      <c r="A8232" s="2">
        <v>43242</v>
      </c>
      <c r="B8232" s="40" t="s">
        <v>66</v>
      </c>
      <c r="C8232" s="55">
        <v>81</v>
      </c>
      <c r="D8232" s="55">
        <v>565</v>
      </c>
      <c r="E8232" s="55" t="s">
        <v>159</v>
      </c>
      <c r="F8232" s="10" t="s">
        <v>783</v>
      </c>
    </row>
    <row r="8233" spans="1:7" x14ac:dyDescent="0.35">
      <c r="A8233" s="2">
        <v>43242</v>
      </c>
      <c r="B8233" s="40" t="s">
        <v>66</v>
      </c>
      <c r="C8233" s="10">
        <v>67</v>
      </c>
      <c r="D8233" s="10">
        <v>240</v>
      </c>
      <c r="E8233" s="10" t="s">
        <v>159</v>
      </c>
      <c r="F8233" s="10" t="s">
        <v>360</v>
      </c>
    </row>
    <row r="8234" spans="1:7" x14ac:dyDescent="0.35">
      <c r="A8234" s="2">
        <v>43242</v>
      </c>
      <c r="B8234" s="40" t="s">
        <v>66</v>
      </c>
      <c r="C8234" s="10">
        <v>66</v>
      </c>
      <c r="D8234" s="10">
        <v>223</v>
      </c>
      <c r="E8234" s="10" t="s">
        <v>159</v>
      </c>
      <c r="F8234" s="10" t="s">
        <v>360</v>
      </c>
    </row>
    <row r="8235" spans="1:7" x14ac:dyDescent="0.35">
      <c r="A8235" s="2">
        <v>43242</v>
      </c>
      <c r="B8235" s="40" t="s">
        <v>66</v>
      </c>
      <c r="C8235" s="10">
        <v>68</v>
      </c>
      <c r="D8235" s="10">
        <v>278</v>
      </c>
      <c r="E8235" s="10" t="s">
        <v>32</v>
      </c>
      <c r="F8235" s="10" t="s">
        <v>198</v>
      </c>
      <c r="G8235" s="10" t="s">
        <v>161</v>
      </c>
    </row>
    <row r="8236" spans="1:7" x14ac:dyDescent="0.35">
      <c r="A8236" s="2">
        <v>43242</v>
      </c>
      <c r="B8236" s="40" t="s">
        <v>66</v>
      </c>
      <c r="C8236" s="10">
        <v>70</v>
      </c>
      <c r="D8236" s="10">
        <v>315</v>
      </c>
      <c r="E8236" s="10" t="s">
        <v>159</v>
      </c>
      <c r="F8236" s="10" t="s">
        <v>198</v>
      </c>
    </row>
    <row r="8237" spans="1:7" x14ac:dyDescent="0.35">
      <c r="A8237" s="2">
        <v>43242</v>
      </c>
      <c r="B8237" s="40" t="s">
        <v>66</v>
      </c>
      <c r="C8237" s="10">
        <v>73</v>
      </c>
      <c r="D8237" s="10">
        <v>321</v>
      </c>
      <c r="E8237" s="10" t="s">
        <v>159</v>
      </c>
      <c r="F8237" s="10" t="s">
        <v>360</v>
      </c>
    </row>
    <row r="8238" spans="1:7" x14ac:dyDescent="0.35">
      <c r="A8238" s="2">
        <v>43242</v>
      </c>
      <c r="B8238" s="40" t="s">
        <v>66</v>
      </c>
      <c r="C8238" s="10">
        <v>67</v>
      </c>
      <c r="D8238" s="10">
        <v>278</v>
      </c>
      <c r="E8238" s="10" t="s">
        <v>32</v>
      </c>
      <c r="F8238" s="10" t="s">
        <v>293</v>
      </c>
    </row>
    <row r="8239" spans="1:7" x14ac:dyDescent="0.35">
      <c r="A8239" s="2">
        <v>43242</v>
      </c>
      <c r="B8239" s="40" t="s">
        <v>66</v>
      </c>
      <c r="C8239" s="10">
        <v>66</v>
      </c>
      <c r="D8239" s="10">
        <v>266</v>
      </c>
      <c r="E8239" s="10" t="s">
        <v>159</v>
      </c>
      <c r="F8239" s="10" t="s">
        <v>360</v>
      </c>
    </row>
    <row r="8240" spans="1:7" x14ac:dyDescent="0.35">
      <c r="A8240" s="2">
        <v>43242</v>
      </c>
      <c r="B8240" s="40" t="s">
        <v>66</v>
      </c>
      <c r="C8240" s="10">
        <v>72</v>
      </c>
      <c r="D8240" s="10">
        <v>316</v>
      </c>
      <c r="E8240" s="10" t="s">
        <v>159</v>
      </c>
      <c r="F8240" s="10" t="s">
        <v>360</v>
      </c>
    </row>
    <row r="8241" spans="1:7" x14ac:dyDescent="0.35">
      <c r="A8241" s="2">
        <v>43242</v>
      </c>
      <c r="B8241" s="40" t="s">
        <v>66</v>
      </c>
      <c r="C8241" s="10">
        <v>67</v>
      </c>
      <c r="D8241" s="10">
        <v>229</v>
      </c>
      <c r="E8241" s="10" t="s">
        <v>159</v>
      </c>
      <c r="F8241" s="10" t="s">
        <v>360</v>
      </c>
    </row>
    <row r="8242" spans="1:7" x14ac:dyDescent="0.35">
      <c r="A8242" s="2">
        <v>43242</v>
      </c>
      <c r="B8242" s="40" t="s">
        <v>66</v>
      </c>
      <c r="C8242" s="10">
        <v>75</v>
      </c>
      <c r="D8242" s="10">
        <v>320</v>
      </c>
      <c r="E8242" s="10" t="s">
        <v>159</v>
      </c>
      <c r="F8242" s="10" t="s">
        <v>360</v>
      </c>
    </row>
    <row r="8243" spans="1:7" x14ac:dyDescent="0.35">
      <c r="A8243" s="2">
        <v>43242</v>
      </c>
      <c r="B8243" s="40" t="s">
        <v>66</v>
      </c>
      <c r="C8243" s="10">
        <v>68</v>
      </c>
      <c r="D8243" s="10">
        <v>216</v>
      </c>
      <c r="E8243" s="10" t="s">
        <v>37</v>
      </c>
      <c r="F8243" s="10" t="s">
        <v>360</v>
      </c>
      <c r="G8243" s="10" t="s">
        <v>161</v>
      </c>
    </row>
    <row r="8244" spans="1:7" x14ac:dyDescent="0.35">
      <c r="A8244" s="2">
        <v>43242</v>
      </c>
      <c r="B8244" s="40" t="s">
        <v>66</v>
      </c>
      <c r="C8244" s="10">
        <v>67</v>
      </c>
      <c r="D8244" s="10">
        <v>248</v>
      </c>
      <c r="E8244" s="10" t="s">
        <v>159</v>
      </c>
      <c r="F8244" s="10" t="s">
        <v>360</v>
      </c>
    </row>
    <row r="8245" spans="1:7" x14ac:dyDescent="0.35">
      <c r="A8245" s="2">
        <v>43242</v>
      </c>
      <c r="B8245" s="40" t="s">
        <v>66</v>
      </c>
      <c r="C8245" s="10">
        <v>78</v>
      </c>
      <c r="D8245" s="10">
        <v>400</v>
      </c>
      <c r="E8245" s="10" t="s">
        <v>159</v>
      </c>
      <c r="F8245" s="10" t="s">
        <v>360</v>
      </c>
    </row>
    <row r="8246" spans="1:7" x14ac:dyDescent="0.35">
      <c r="A8246" s="2">
        <v>43242</v>
      </c>
      <c r="B8246" s="40" t="s">
        <v>66</v>
      </c>
      <c r="C8246" s="10">
        <v>68</v>
      </c>
      <c r="D8246" s="10">
        <v>262</v>
      </c>
      <c r="E8246" s="10" t="s">
        <v>159</v>
      </c>
      <c r="F8246" s="10" t="s">
        <v>360</v>
      </c>
    </row>
    <row r="8247" spans="1:7" x14ac:dyDescent="0.35">
      <c r="A8247" s="2">
        <v>43242</v>
      </c>
      <c r="B8247" s="40" t="s">
        <v>66</v>
      </c>
      <c r="C8247" s="10">
        <v>72</v>
      </c>
      <c r="D8247" s="10">
        <v>320</v>
      </c>
      <c r="E8247" s="10" t="s">
        <v>159</v>
      </c>
      <c r="F8247" s="10" t="s">
        <v>360</v>
      </c>
    </row>
    <row r="8248" spans="1:7" x14ac:dyDescent="0.35">
      <c r="A8248" s="2">
        <v>43242</v>
      </c>
      <c r="B8248" s="40" t="s">
        <v>66</v>
      </c>
      <c r="C8248" s="10">
        <v>57</v>
      </c>
      <c r="D8248" s="10">
        <v>144</v>
      </c>
      <c r="E8248" s="10" t="s">
        <v>37</v>
      </c>
      <c r="F8248" s="10" t="s">
        <v>198</v>
      </c>
      <c r="G8248" s="10" t="s">
        <v>161</v>
      </c>
    </row>
    <row r="8249" spans="1:7" x14ac:dyDescent="0.35">
      <c r="A8249" s="2">
        <v>43242</v>
      </c>
      <c r="B8249" s="40" t="s">
        <v>66</v>
      </c>
      <c r="C8249" s="10">
        <v>74</v>
      </c>
      <c r="D8249" s="10">
        <v>334</v>
      </c>
      <c r="E8249" s="10" t="s">
        <v>159</v>
      </c>
      <c r="F8249" s="10" t="s">
        <v>360</v>
      </c>
    </row>
    <row r="8250" spans="1:7" x14ac:dyDescent="0.35">
      <c r="A8250" s="2">
        <v>43242</v>
      </c>
      <c r="B8250" s="40" t="s">
        <v>66</v>
      </c>
      <c r="C8250" s="10">
        <v>68</v>
      </c>
      <c r="D8250" s="10">
        <v>280</v>
      </c>
      <c r="E8250" s="10" t="s">
        <v>159</v>
      </c>
      <c r="F8250" s="10" t="s">
        <v>360</v>
      </c>
    </row>
    <row r="8251" spans="1:7" x14ac:dyDescent="0.35">
      <c r="A8251" s="2">
        <v>43242</v>
      </c>
      <c r="B8251" s="40" t="s">
        <v>66</v>
      </c>
      <c r="C8251" s="10">
        <v>65</v>
      </c>
      <c r="D8251" s="10">
        <v>190</v>
      </c>
      <c r="E8251" s="10" t="s">
        <v>32</v>
      </c>
      <c r="F8251" s="10" t="s">
        <v>198</v>
      </c>
      <c r="G8251" s="10" t="s">
        <v>161</v>
      </c>
    </row>
    <row r="8252" spans="1:7" x14ac:dyDescent="0.35">
      <c r="A8252" s="2">
        <v>43242</v>
      </c>
      <c r="B8252" s="40" t="s">
        <v>66</v>
      </c>
      <c r="C8252" s="10">
        <v>77</v>
      </c>
      <c r="D8252" s="10">
        <v>384</v>
      </c>
      <c r="E8252" s="10" t="s">
        <v>159</v>
      </c>
      <c r="F8252" s="10" t="s">
        <v>360</v>
      </c>
    </row>
    <row r="8253" spans="1:7" x14ac:dyDescent="0.35">
      <c r="A8253" s="2">
        <v>43242</v>
      </c>
      <c r="B8253" s="40" t="s">
        <v>66</v>
      </c>
      <c r="C8253" s="10">
        <v>72</v>
      </c>
      <c r="D8253" s="10">
        <v>343</v>
      </c>
      <c r="E8253" s="10" t="s">
        <v>159</v>
      </c>
      <c r="F8253" s="10" t="s">
        <v>360</v>
      </c>
    </row>
    <row r="8254" spans="1:7" x14ac:dyDescent="0.35">
      <c r="A8254" s="2">
        <v>43242</v>
      </c>
      <c r="B8254" s="40" t="s">
        <v>66</v>
      </c>
      <c r="C8254" s="10">
        <v>70</v>
      </c>
      <c r="D8254" s="10">
        <v>329</v>
      </c>
      <c r="E8254" s="10" t="s">
        <v>159</v>
      </c>
      <c r="F8254" s="10" t="s">
        <v>198</v>
      </c>
    </row>
    <row r="8255" spans="1:7" x14ac:dyDescent="0.35">
      <c r="A8255" s="2">
        <v>43242</v>
      </c>
      <c r="B8255" s="40" t="s">
        <v>66</v>
      </c>
      <c r="C8255" s="10">
        <v>72</v>
      </c>
      <c r="D8255" s="10">
        <v>244</v>
      </c>
      <c r="E8255" s="10" t="s">
        <v>37</v>
      </c>
      <c r="F8255" s="10" t="s">
        <v>198</v>
      </c>
    </row>
    <row r="8256" spans="1:7" x14ac:dyDescent="0.35">
      <c r="A8256" s="2">
        <v>43242</v>
      </c>
      <c r="B8256" s="40" t="s">
        <v>66</v>
      </c>
      <c r="C8256" s="10">
        <v>68</v>
      </c>
      <c r="D8256" s="10">
        <v>220</v>
      </c>
      <c r="E8256" s="10" t="s">
        <v>32</v>
      </c>
      <c r="F8256" s="10" t="s">
        <v>198</v>
      </c>
    </row>
    <row r="8257" spans="1:7" x14ac:dyDescent="0.35">
      <c r="A8257" s="2">
        <v>43242</v>
      </c>
      <c r="B8257" s="40" t="s">
        <v>66</v>
      </c>
      <c r="C8257" s="10">
        <v>65</v>
      </c>
      <c r="D8257" s="10">
        <v>228</v>
      </c>
      <c r="E8257" s="10" t="s">
        <v>32</v>
      </c>
      <c r="F8257" s="10" t="s">
        <v>293</v>
      </c>
      <c r="G8257" s="10" t="s">
        <v>161</v>
      </c>
    </row>
    <row r="8258" spans="1:7" x14ac:dyDescent="0.35">
      <c r="A8258" s="2">
        <v>43242</v>
      </c>
      <c r="B8258" s="40" t="s">
        <v>66</v>
      </c>
      <c r="C8258" s="10">
        <v>68</v>
      </c>
      <c r="D8258" s="10">
        <v>315</v>
      </c>
      <c r="E8258" s="10" t="s">
        <v>159</v>
      </c>
      <c r="F8258" s="10" t="s">
        <v>360</v>
      </c>
    </row>
    <row r="8259" spans="1:7" x14ac:dyDescent="0.35">
      <c r="A8259" s="2">
        <v>43242</v>
      </c>
      <c r="B8259" s="40" t="s">
        <v>66</v>
      </c>
      <c r="C8259" s="10">
        <v>68</v>
      </c>
      <c r="D8259" s="10">
        <v>181</v>
      </c>
      <c r="E8259" s="10" t="s">
        <v>37</v>
      </c>
      <c r="F8259" s="10" t="s">
        <v>360</v>
      </c>
    </row>
    <row r="8260" spans="1:7" x14ac:dyDescent="0.35">
      <c r="A8260" s="2">
        <v>43242</v>
      </c>
      <c r="B8260" s="40" t="s">
        <v>66</v>
      </c>
      <c r="C8260" s="10">
        <v>72</v>
      </c>
      <c r="D8260" s="10">
        <v>338</v>
      </c>
      <c r="E8260" s="10" t="s">
        <v>159</v>
      </c>
      <c r="F8260" s="10" t="s">
        <v>360</v>
      </c>
    </row>
    <row r="8261" spans="1:7" x14ac:dyDescent="0.35">
      <c r="A8261" s="2">
        <v>43242</v>
      </c>
      <c r="B8261" s="40" t="s">
        <v>66</v>
      </c>
      <c r="C8261" s="10">
        <v>68</v>
      </c>
      <c r="D8261" s="10">
        <v>306</v>
      </c>
      <c r="E8261" s="10" t="s">
        <v>159</v>
      </c>
      <c r="F8261" s="10" t="s">
        <v>360</v>
      </c>
    </row>
    <row r="8262" spans="1:7" x14ac:dyDescent="0.35">
      <c r="A8262" s="2">
        <v>43242</v>
      </c>
      <c r="B8262" s="40" t="s">
        <v>66</v>
      </c>
      <c r="C8262" s="10">
        <v>69</v>
      </c>
      <c r="D8262" s="10">
        <v>317</v>
      </c>
      <c r="E8262" s="10" t="s">
        <v>159</v>
      </c>
      <c r="F8262" s="10" t="s">
        <v>360</v>
      </c>
    </row>
    <row r="8263" spans="1:7" x14ac:dyDescent="0.35">
      <c r="A8263" s="2">
        <v>43242</v>
      </c>
      <c r="B8263" s="40" t="s">
        <v>66</v>
      </c>
      <c r="C8263" s="10">
        <v>68</v>
      </c>
      <c r="D8263" s="10">
        <v>239</v>
      </c>
      <c r="E8263" s="10" t="s">
        <v>159</v>
      </c>
      <c r="F8263" s="10" t="s">
        <v>360</v>
      </c>
    </row>
    <row r="8264" spans="1:7" x14ac:dyDescent="0.35">
      <c r="A8264" s="2">
        <v>43242</v>
      </c>
      <c r="B8264" s="40" t="s">
        <v>66</v>
      </c>
      <c r="C8264" s="10">
        <v>77</v>
      </c>
      <c r="D8264" s="10">
        <v>462</v>
      </c>
      <c r="E8264" s="10" t="s">
        <v>159</v>
      </c>
      <c r="F8264" s="10" t="s">
        <v>360</v>
      </c>
    </row>
    <row r="8265" spans="1:7" x14ac:dyDescent="0.35">
      <c r="A8265" s="2">
        <v>43242</v>
      </c>
      <c r="B8265" s="40" t="s">
        <v>66</v>
      </c>
      <c r="C8265" s="10">
        <v>70</v>
      </c>
      <c r="D8265" s="10">
        <v>290</v>
      </c>
      <c r="E8265" s="10" t="s">
        <v>159</v>
      </c>
      <c r="F8265" s="10" t="s">
        <v>360</v>
      </c>
    </row>
    <row r="8266" spans="1:7" x14ac:dyDescent="0.35">
      <c r="A8266" s="2">
        <v>43242</v>
      </c>
      <c r="B8266" s="40" t="s">
        <v>66</v>
      </c>
      <c r="C8266" s="10">
        <v>80</v>
      </c>
      <c r="D8266" s="10">
        <v>431</v>
      </c>
      <c r="E8266" s="10" t="s">
        <v>159</v>
      </c>
      <c r="F8266" s="10" t="s">
        <v>360</v>
      </c>
    </row>
    <row r="8267" spans="1:7" x14ac:dyDescent="0.35">
      <c r="A8267" s="2">
        <v>43242</v>
      </c>
      <c r="B8267" s="40" t="s">
        <v>66</v>
      </c>
      <c r="C8267" s="10">
        <v>73</v>
      </c>
      <c r="D8267" s="10">
        <v>294</v>
      </c>
      <c r="E8267" s="10" t="s">
        <v>32</v>
      </c>
      <c r="F8267" s="10" t="s">
        <v>360</v>
      </c>
      <c r="G8267" s="10" t="s">
        <v>161</v>
      </c>
    </row>
    <row r="8268" spans="1:7" x14ac:dyDescent="0.35">
      <c r="A8268" s="2">
        <v>43242</v>
      </c>
      <c r="B8268" s="40" t="s">
        <v>66</v>
      </c>
      <c r="C8268" s="10">
        <v>66</v>
      </c>
      <c r="D8268" s="10">
        <v>263</v>
      </c>
      <c r="E8268" s="10" t="s">
        <v>37</v>
      </c>
      <c r="F8268" s="10" t="s">
        <v>360</v>
      </c>
      <c r="G8268" s="10" t="s">
        <v>161</v>
      </c>
    </row>
    <row r="8269" spans="1:7" x14ac:dyDescent="0.35">
      <c r="A8269" s="2">
        <v>43242</v>
      </c>
      <c r="B8269" s="40" t="s">
        <v>66</v>
      </c>
      <c r="C8269" s="10">
        <v>74</v>
      </c>
      <c r="D8269" s="10">
        <v>393</v>
      </c>
      <c r="E8269" s="10" t="s">
        <v>37</v>
      </c>
      <c r="F8269" s="10" t="s">
        <v>360</v>
      </c>
      <c r="G8269" s="10" t="s">
        <v>161</v>
      </c>
    </row>
    <row r="8270" spans="1:7" x14ac:dyDescent="0.35">
      <c r="A8270" s="2">
        <v>43242</v>
      </c>
      <c r="B8270" s="40" t="s">
        <v>66</v>
      </c>
      <c r="C8270" s="10">
        <v>68</v>
      </c>
      <c r="D8270" s="10">
        <v>274</v>
      </c>
      <c r="E8270" s="10" t="s">
        <v>159</v>
      </c>
      <c r="F8270" s="10" t="s">
        <v>360</v>
      </c>
    </row>
    <row r="8271" spans="1:7" s="4" customFormat="1" x14ac:dyDescent="0.35">
      <c r="A8271" s="3">
        <v>43242</v>
      </c>
      <c r="B8271" s="44" t="s">
        <v>66</v>
      </c>
      <c r="C8271" s="11">
        <v>69</v>
      </c>
      <c r="D8271" s="11">
        <v>315</v>
      </c>
      <c r="E8271" s="11" t="s">
        <v>159</v>
      </c>
      <c r="F8271" s="11" t="s">
        <v>360</v>
      </c>
    </row>
    <row r="8272" spans="1:7" x14ac:dyDescent="0.35">
      <c r="A8272" s="2">
        <v>43242</v>
      </c>
      <c r="B8272" s="40" t="s">
        <v>103</v>
      </c>
      <c r="C8272" s="10">
        <v>137</v>
      </c>
      <c r="D8272" s="10">
        <v>4014</v>
      </c>
      <c r="E8272" s="10" t="s">
        <v>59</v>
      </c>
    </row>
    <row r="8273" spans="1:7" x14ac:dyDescent="0.35">
      <c r="A8273" s="2">
        <v>43242</v>
      </c>
      <c r="B8273" s="40" t="s">
        <v>103</v>
      </c>
      <c r="C8273" s="10">
        <v>97</v>
      </c>
      <c r="D8273" s="10">
        <v>1417</v>
      </c>
      <c r="E8273" s="10" t="s">
        <v>59</v>
      </c>
    </row>
    <row r="8274" spans="1:7" x14ac:dyDescent="0.35">
      <c r="A8274" s="2">
        <v>43242</v>
      </c>
      <c r="B8274" s="40" t="s">
        <v>103</v>
      </c>
      <c r="C8274" s="10">
        <v>87</v>
      </c>
      <c r="D8274" s="10">
        <v>812</v>
      </c>
      <c r="E8274" s="10" t="s">
        <v>59</v>
      </c>
    </row>
    <row r="8275" spans="1:7" x14ac:dyDescent="0.35">
      <c r="A8275" s="2">
        <v>43242</v>
      </c>
      <c r="B8275" s="40" t="s">
        <v>103</v>
      </c>
      <c r="C8275" s="10">
        <v>100</v>
      </c>
      <c r="D8275" s="10">
        <v>1400</v>
      </c>
      <c r="E8275" s="10" t="s">
        <v>59</v>
      </c>
    </row>
    <row r="8276" spans="1:7" x14ac:dyDescent="0.35">
      <c r="A8276" s="2">
        <v>43242</v>
      </c>
      <c r="B8276" s="40" t="s">
        <v>103</v>
      </c>
      <c r="C8276" s="10">
        <v>97</v>
      </c>
      <c r="D8276" s="10">
        <v>1417</v>
      </c>
      <c r="E8276" s="10" t="s">
        <v>59</v>
      </c>
    </row>
    <row r="8277" spans="1:7" x14ac:dyDescent="0.35">
      <c r="A8277" s="2">
        <v>43242</v>
      </c>
      <c r="B8277" s="40" t="s">
        <v>103</v>
      </c>
      <c r="C8277" s="10">
        <v>78</v>
      </c>
      <c r="D8277" s="10">
        <v>503</v>
      </c>
      <c r="E8277" s="10" t="s">
        <v>159</v>
      </c>
      <c r="F8277" t="s">
        <v>783</v>
      </c>
    </row>
    <row r="8278" spans="1:7" x14ac:dyDescent="0.35">
      <c r="A8278" s="2">
        <v>43242</v>
      </c>
      <c r="B8278" s="40" t="s">
        <v>103</v>
      </c>
      <c r="C8278" s="10">
        <v>74</v>
      </c>
      <c r="D8278" s="10">
        <v>426</v>
      </c>
      <c r="E8278" s="10" t="s">
        <v>159</v>
      </c>
      <c r="F8278" t="s">
        <v>360</v>
      </c>
    </row>
    <row r="8279" spans="1:7" x14ac:dyDescent="0.35">
      <c r="A8279" s="2">
        <v>43242</v>
      </c>
      <c r="B8279" s="40" t="s">
        <v>103</v>
      </c>
      <c r="C8279" s="10">
        <v>65</v>
      </c>
      <c r="D8279" s="10">
        <v>237</v>
      </c>
      <c r="E8279" s="10" t="s">
        <v>159</v>
      </c>
      <c r="F8279" t="s">
        <v>360</v>
      </c>
    </row>
    <row r="8280" spans="1:7" x14ac:dyDescent="0.35">
      <c r="A8280" s="2">
        <v>43242</v>
      </c>
      <c r="B8280" s="40" t="s">
        <v>103</v>
      </c>
      <c r="C8280" s="10">
        <v>71</v>
      </c>
      <c r="D8280" s="10">
        <v>342</v>
      </c>
      <c r="E8280" s="10" t="s">
        <v>159</v>
      </c>
      <c r="F8280" t="s">
        <v>360</v>
      </c>
    </row>
    <row r="8281" spans="1:7" x14ac:dyDescent="0.35">
      <c r="A8281" s="2">
        <v>43242</v>
      </c>
      <c r="B8281" s="40" t="s">
        <v>103</v>
      </c>
      <c r="C8281" s="10">
        <v>73</v>
      </c>
      <c r="D8281" s="10">
        <v>287</v>
      </c>
      <c r="E8281" s="10" t="s">
        <v>32</v>
      </c>
      <c r="F8281" t="s">
        <v>360</v>
      </c>
    </row>
    <row r="8282" spans="1:7" x14ac:dyDescent="0.35">
      <c r="A8282" s="2">
        <v>43242</v>
      </c>
      <c r="B8282" s="40" t="s">
        <v>103</v>
      </c>
      <c r="C8282" s="10">
        <v>73</v>
      </c>
      <c r="D8282" s="10">
        <v>440</v>
      </c>
      <c r="E8282" s="10" t="s">
        <v>159</v>
      </c>
      <c r="F8282" t="s">
        <v>360</v>
      </c>
    </row>
    <row r="8283" spans="1:7" x14ac:dyDescent="0.35">
      <c r="A8283" s="2">
        <v>43242</v>
      </c>
      <c r="B8283" s="40" t="s">
        <v>103</v>
      </c>
      <c r="C8283" s="10">
        <v>75</v>
      </c>
      <c r="D8283" s="10">
        <v>351</v>
      </c>
      <c r="E8283" s="10" t="s">
        <v>37</v>
      </c>
      <c r="F8283" t="s">
        <v>360</v>
      </c>
      <c r="G8283" t="s">
        <v>161</v>
      </c>
    </row>
    <row r="8284" spans="1:7" x14ac:dyDescent="0.35">
      <c r="A8284" s="2">
        <v>43242</v>
      </c>
      <c r="B8284" s="40" t="s">
        <v>103</v>
      </c>
      <c r="C8284" s="10">
        <v>77</v>
      </c>
      <c r="D8284" s="10">
        <v>313</v>
      </c>
      <c r="E8284" s="10" t="s">
        <v>37</v>
      </c>
      <c r="F8284" t="s">
        <v>360</v>
      </c>
      <c r="G8284" t="s">
        <v>161</v>
      </c>
    </row>
    <row r="8285" spans="1:7" x14ac:dyDescent="0.35">
      <c r="A8285" s="2">
        <v>43242</v>
      </c>
      <c r="B8285" s="40" t="s">
        <v>103</v>
      </c>
      <c r="C8285" s="10">
        <v>66</v>
      </c>
      <c r="D8285" s="10">
        <v>278</v>
      </c>
      <c r="E8285" s="10" t="s">
        <v>159</v>
      </c>
      <c r="F8285" t="s">
        <v>360</v>
      </c>
    </row>
    <row r="8286" spans="1:7" x14ac:dyDescent="0.35">
      <c r="A8286" s="2">
        <v>43242</v>
      </c>
      <c r="B8286" s="40" t="s">
        <v>103</v>
      </c>
      <c r="C8286" s="10">
        <v>77</v>
      </c>
      <c r="D8286" s="10">
        <v>275</v>
      </c>
      <c r="E8286" s="10" t="s">
        <v>159</v>
      </c>
      <c r="F8286" t="s">
        <v>360</v>
      </c>
    </row>
    <row r="8287" spans="1:7" x14ac:dyDescent="0.35">
      <c r="A8287" s="2">
        <v>43242</v>
      </c>
      <c r="B8287" s="40" t="s">
        <v>103</v>
      </c>
      <c r="C8287" s="10">
        <v>78</v>
      </c>
      <c r="D8287" s="10">
        <v>427</v>
      </c>
      <c r="E8287" s="10" t="s">
        <v>159</v>
      </c>
      <c r="F8287" t="s">
        <v>360</v>
      </c>
    </row>
    <row r="8288" spans="1:7" x14ac:dyDescent="0.35">
      <c r="A8288" s="2">
        <v>43242</v>
      </c>
      <c r="B8288" s="40" t="s">
        <v>103</v>
      </c>
      <c r="C8288" s="10">
        <v>77</v>
      </c>
      <c r="D8288" s="10">
        <v>442</v>
      </c>
      <c r="E8288" s="10" t="s">
        <v>159</v>
      </c>
      <c r="F8288" t="s">
        <v>360</v>
      </c>
    </row>
    <row r="8289" spans="1:6" x14ac:dyDescent="0.35">
      <c r="A8289" s="2">
        <v>43242</v>
      </c>
      <c r="B8289" s="40" t="s">
        <v>103</v>
      </c>
      <c r="C8289" s="10">
        <v>75</v>
      </c>
      <c r="D8289" s="10">
        <v>404</v>
      </c>
      <c r="E8289" s="10" t="s">
        <v>159</v>
      </c>
      <c r="F8289" t="s">
        <v>360</v>
      </c>
    </row>
    <row r="8290" spans="1:6" x14ac:dyDescent="0.35">
      <c r="A8290" s="2">
        <v>43242</v>
      </c>
      <c r="B8290" s="40" t="s">
        <v>103</v>
      </c>
      <c r="C8290" s="10">
        <v>64</v>
      </c>
      <c r="D8290" s="10">
        <v>250</v>
      </c>
      <c r="E8290" s="10" t="s">
        <v>34</v>
      </c>
      <c r="F8290" t="s">
        <v>293</v>
      </c>
    </row>
    <row r="8291" spans="1:6" x14ac:dyDescent="0.35">
      <c r="A8291" s="2">
        <v>43242</v>
      </c>
      <c r="B8291" s="40" t="s">
        <v>103</v>
      </c>
      <c r="C8291" s="10">
        <v>68</v>
      </c>
      <c r="D8291" s="10">
        <v>320</v>
      </c>
      <c r="E8291" s="10" t="s">
        <v>159</v>
      </c>
      <c r="F8291" t="s">
        <v>360</v>
      </c>
    </row>
    <row r="8292" spans="1:6" x14ac:dyDescent="0.35">
      <c r="A8292" s="2">
        <v>43242</v>
      </c>
      <c r="B8292" s="40" t="s">
        <v>103</v>
      </c>
      <c r="C8292" s="10">
        <v>65</v>
      </c>
      <c r="D8292" s="10">
        <v>277</v>
      </c>
      <c r="E8292" s="10" t="s">
        <v>37</v>
      </c>
      <c r="F8292" t="s">
        <v>360</v>
      </c>
    </row>
    <row r="8293" spans="1:6" x14ac:dyDescent="0.35">
      <c r="A8293" s="2">
        <v>43242</v>
      </c>
      <c r="B8293" s="40" t="s">
        <v>103</v>
      </c>
      <c r="C8293" s="10">
        <v>72</v>
      </c>
      <c r="D8293" s="10">
        <v>271</v>
      </c>
      <c r="E8293" s="10" t="s">
        <v>159</v>
      </c>
      <c r="F8293" t="s">
        <v>360</v>
      </c>
    </row>
    <row r="8294" spans="1:6" x14ac:dyDescent="0.35">
      <c r="A8294" s="2">
        <v>43242</v>
      </c>
      <c r="B8294" s="40" t="s">
        <v>103</v>
      </c>
      <c r="C8294" s="10">
        <v>78</v>
      </c>
      <c r="D8294" s="10">
        <v>459</v>
      </c>
      <c r="E8294" s="10" t="s">
        <v>159</v>
      </c>
      <c r="F8294" t="s">
        <v>360</v>
      </c>
    </row>
    <row r="8295" spans="1:6" x14ac:dyDescent="0.35">
      <c r="A8295" s="2">
        <v>43242</v>
      </c>
      <c r="B8295" s="40" t="s">
        <v>103</v>
      </c>
      <c r="C8295" s="10">
        <v>68</v>
      </c>
      <c r="D8295" s="10">
        <v>261</v>
      </c>
      <c r="E8295" s="10" t="s">
        <v>159</v>
      </c>
      <c r="F8295" t="s">
        <v>360</v>
      </c>
    </row>
    <row r="8296" spans="1:6" x14ac:dyDescent="0.35">
      <c r="A8296" s="2">
        <v>43242</v>
      </c>
      <c r="B8296" s="40" t="s">
        <v>103</v>
      </c>
      <c r="C8296" s="10">
        <v>68</v>
      </c>
      <c r="D8296" s="10">
        <v>291</v>
      </c>
      <c r="E8296" s="10" t="s">
        <v>159</v>
      </c>
      <c r="F8296" t="s">
        <v>360</v>
      </c>
    </row>
    <row r="8297" spans="1:6" x14ac:dyDescent="0.35">
      <c r="A8297" s="2">
        <v>43242</v>
      </c>
      <c r="B8297" s="40" t="s">
        <v>103</v>
      </c>
      <c r="C8297" s="10">
        <v>67</v>
      </c>
      <c r="D8297" s="10">
        <v>210</v>
      </c>
      <c r="E8297" s="10" t="s">
        <v>37</v>
      </c>
      <c r="F8297" t="s">
        <v>360</v>
      </c>
    </row>
    <row r="8298" spans="1:6" x14ac:dyDescent="0.35">
      <c r="A8298" s="2">
        <v>43242</v>
      </c>
      <c r="B8298" s="40" t="s">
        <v>103</v>
      </c>
      <c r="C8298" s="10">
        <v>71</v>
      </c>
      <c r="D8298" s="10">
        <v>302</v>
      </c>
      <c r="E8298" s="10" t="s">
        <v>159</v>
      </c>
      <c r="F8298" t="s">
        <v>360</v>
      </c>
    </row>
    <row r="8299" spans="1:6" x14ac:dyDescent="0.35">
      <c r="A8299" s="2">
        <v>43242</v>
      </c>
      <c r="B8299" s="40" t="s">
        <v>103</v>
      </c>
      <c r="C8299" s="10">
        <v>74</v>
      </c>
      <c r="D8299" s="10">
        <v>378</v>
      </c>
      <c r="E8299" s="10" t="s">
        <v>37</v>
      </c>
      <c r="F8299" t="s">
        <v>360</v>
      </c>
    </row>
    <row r="8300" spans="1:6" x14ac:dyDescent="0.35">
      <c r="A8300" s="2">
        <v>43242</v>
      </c>
      <c r="B8300" s="40" t="s">
        <v>103</v>
      </c>
      <c r="C8300" s="10">
        <v>62</v>
      </c>
      <c r="D8300" s="10">
        <v>207</v>
      </c>
      <c r="E8300" s="10" t="s">
        <v>37</v>
      </c>
      <c r="F8300" t="s">
        <v>198</v>
      </c>
    </row>
    <row r="8301" spans="1:6" x14ac:dyDescent="0.35">
      <c r="A8301" s="2">
        <v>43242</v>
      </c>
      <c r="B8301" s="40" t="s">
        <v>103</v>
      </c>
      <c r="C8301" s="10">
        <v>72</v>
      </c>
      <c r="D8301" s="10">
        <v>315</v>
      </c>
      <c r="E8301" s="10" t="s">
        <v>159</v>
      </c>
      <c r="F8301" t="s">
        <v>360</v>
      </c>
    </row>
    <row r="8302" spans="1:6" x14ac:dyDescent="0.35">
      <c r="A8302" s="2">
        <v>43242</v>
      </c>
      <c r="B8302" s="40" t="s">
        <v>103</v>
      </c>
      <c r="C8302" s="10">
        <v>68</v>
      </c>
      <c r="D8302" s="10">
        <v>266</v>
      </c>
      <c r="E8302" s="10" t="s">
        <v>159</v>
      </c>
      <c r="F8302" t="s">
        <v>360</v>
      </c>
    </row>
    <row r="8303" spans="1:6" x14ac:dyDescent="0.35">
      <c r="A8303" s="2">
        <v>43242</v>
      </c>
      <c r="B8303" s="40" t="s">
        <v>103</v>
      </c>
      <c r="C8303" s="10">
        <v>70</v>
      </c>
      <c r="D8303" s="10">
        <v>345</v>
      </c>
      <c r="E8303" s="10" t="s">
        <v>159</v>
      </c>
      <c r="F8303" t="s">
        <v>360</v>
      </c>
    </row>
    <row r="8304" spans="1:6" x14ac:dyDescent="0.35">
      <c r="A8304" s="2">
        <v>43242</v>
      </c>
      <c r="B8304" s="40" t="s">
        <v>103</v>
      </c>
      <c r="C8304" s="10">
        <v>66</v>
      </c>
      <c r="D8304" s="10">
        <v>199</v>
      </c>
      <c r="E8304" s="10" t="s">
        <v>37</v>
      </c>
      <c r="F8304" t="s">
        <v>360</v>
      </c>
    </row>
    <row r="8305" spans="1:7" x14ac:dyDescent="0.35">
      <c r="A8305" s="2">
        <v>43242</v>
      </c>
      <c r="B8305" s="40" t="s">
        <v>103</v>
      </c>
      <c r="C8305" s="10">
        <v>74</v>
      </c>
      <c r="D8305" s="10">
        <v>348</v>
      </c>
      <c r="E8305" s="10" t="s">
        <v>159</v>
      </c>
      <c r="F8305" t="s">
        <v>360</v>
      </c>
    </row>
    <row r="8306" spans="1:7" x14ac:dyDescent="0.35">
      <c r="A8306" s="2">
        <v>43242</v>
      </c>
      <c r="B8306" s="40" t="s">
        <v>103</v>
      </c>
      <c r="C8306" s="10">
        <v>68</v>
      </c>
      <c r="D8306" s="10">
        <v>326</v>
      </c>
      <c r="E8306" s="10" t="s">
        <v>37</v>
      </c>
      <c r="F8306" t="s">
        <v>360</v>
      </c>
    </row>
    <row r="8307" spans="1:7" x14ac:dyDescent="0.35">
      <c r="A8307" s="2">
        <v>43242</v>
      </c>
      <c r="B8307" s="40" t="s">
        <v>103</v>
      </c>
      <c r="C8307" s="10">
        <v>77</v>
      </c>
      <c r="D8307" s="10">
        <v>470</v>
      </c>
      <c r="E8307" s="10" t="s">
        <v>159</v>
      </c>
      <c r="F8307" t="s">
        <v>360</v>
      </c>
    </row>
    <row r="8308" spans="1:7" x14ac:dyDescent="0.35">
      <c r="A8308" s="2">
        <v>43242</v>
      </c>
      <c r="B8308" s="40" t="s">
        <v>103</v>
      </c>
      <c r="C8308" s="10">
        <v>71</v>
      </c>
      <c r="D8308" s="10">
        <v>337</v>
      </c>
      <c r="E8308" s="10" t="s">
        <v>32</v>
      </c>
      <c r="F8308" t="s">
        <v>360</v>
      </c>
    </row>
    <row r="8309" spans="1:7" x14ac:dyDescent="0.35">
      <c r="A8309" s="2">
        <v>43242</v>
      </c>
      <c r="B8309" s="40" t="s">
        <v>103</v>
      </c>
      <c r="C8309" s="10">
        <v>72</v>
      </c>
      <c r="D8309" s="10">
        <v>397</v>
      </c>
      <c r="E8309" s="10" t="s">
        <v>159</v>
      </c>
      <c r="F8309" t="s">
        <v>360</v>
      </c>
    </row>
    <row r="8310" spans="1:7" x14ac:dyDescent="0.35">
      <c r="A8310" s="2">
        <v>43242</v>
      </c>
      <c r="B8310" s="40" t="s">
        <v>103</v>
      </c>
      <c r="C8310" s="10">
        <v>71</v>
      </c>
      <c r="D8310" s="10">
        <v>327</v>
      </c>
      <c r="E8310" s="10" t="s">
        <v>159</v>
      </c>
      <c r="F8310" t="s">
        <v>360</v>
      </c>
    </row>
    <row r="8311" spans="1:7" x14ac:dyDescent="0.35">
      <c r="A8311" s="2">
        <v>43242</v>
      </c>
      <c r="B8311" s="40" t="s">
        <v>103</v>
      </c>
      <c r="C8311" s="10">
        <v>72</v>
      </c>
      <c r="D8311" s="10">
        <v>351</v>
      </c>
      <c r="E8311" s="10" t="s">
        <v>159</v>
      </c>
      <c r="F8311" t="s">
        <v>360</v>
      </c>
    </row>
    <row r="8312" spans="1:7" x14ac:dyDescent="0.35">
      <c r="A8312" s="2">
        <v>43242</v>
      </c>
      <c r="B8312" s="40" t="s">
        <v>103</v>
      </c>
      <c r="C8312" s="10">
        <v>74</v>
      </c>
      <c r="D8312" s="10">
        <v>320</v>
      </c>
      <c r="E8312" s="10" t="s">
        <v>32</v>
      </c>
      <c r="F8312" t="s">
        <v>360</v>
      </c>
    </row>
    <row r="8313" spans="1:7" x14ac:dyDescent="0.35">
      <c r="A8313" s="2">
        <v>43242</v>
      </c>
      <c r="B8313" s="40" t="s">
        <v>103</v>
      </c>
      <c r="C8313" s="10">
        <v>76</v>
      </c>
      <c r="D8313" s="10">
        <v>386</v>
      </c>
      <c r="E8313" s="10" t="s">
        <v>37</v>
      </c>
      <c r="F8313" t="s">
        <v>360</v>
      </c>
      <c r="G8313" t="s">
        <v>161</v>
      </c>
    </row>
    <row r="8314" spans="1:7" x14ac:dyDescent="0.35">
      <c r="A8314" s="2">
        <v>43242</v>
      </c>
      <c r="B8314" s="40" t="s">
        <v>103</v>
      </c>
      <c r="C8314" s="10">
        <v>71</v>
      </c>
      <c r="D8314" s="10">
        <v>360</v>
      </c>
      <c r="E8314" s="10" t="s">
        <v>159</v>
      </c>
      <c r="F8314" t="s">
        <v>360</v>
      </c>
    </row>
    <row r="8315" spans="1:7" x14ac:dyDescent="0.35">
      <c r="A8315" s="2">
        <v>43242</v>
      </c>
      <c r="B8315" s="40" t="s">
        <v>103</v>
      </c>
      <c r="C8315" s="10">
        <v>68</v>
      </c>
      <c r="D8315" s="10">
        <v>252</v>
      </c>
      <c r="E8315" s="10" t="s">
        <v>37</v>
      </c>
      <c r="F8315" t="s">
        <v>360</v>
      </c>
      <c r="G8315" t="s">
        <v>161</v>
      </c>
    </row>
    <row r="8316" spans="1:7" x14ac:dyDescent="0.35">
      <c r="A8316" s="2">
        <v>43242</v>
      </c>
      <c r="B8316" s="40" t="s">
        <v>103</v>
      </c>
      <c r="C8316" s="10">
        <v>73</v>
      </c>
      <c r="D8316" s="10">
        <v>367</v>
      </c>
      <c r="E8316" s="10" t="s">
        <v>37</v>
      </c>
      <c r="F8316" t="s">
        <v>360</v>
      </c>
    </row>
    <row r="8317" spans="1:7" x14ac:dyDescent="0.35">
      <c r="A8317" s="2">
        <v>43242</v>
      </c>
      <c r="B8317" s="40" t="s">
        <v>103</v>
      </c>
      <c r="C8317" s="10">
        <v>68</v>
      </c>
      <c r="D8317" s="10">
        <v>276</v>
      </c>
      <c r="E8317" s="10" t="s">
        <v>159</v>
      </c>
      <c r="F8317" t="s">
        <v>360</v>
      </c>
    </row>
    <row r="8318" spans="1:7" x14ac:dyDescent="0.35">
      <c r="A8318" s="2">
        <v>43242</v>
      </c>
      <c r="B8318" s="40" t="s">
        <v>103</v>
      </c>
      <c r="C8318" s="10">
        <v>66</v>
      </c>
      <c r="D8318" s="10">
        <v>234</v>
      </c>
      <c r="E8318" s="10" t="s">
        <v>37</v>
      </c>
      <c r="F8318" t="s">
        <v>360</v>
      </c>
    </row>
    <row r="8319" spans="1:7" x14ac:dyDescent="0.35">
      <c r="A8319" s="2">
        <v>43242</v>
      </c>
      <c r="B8319" s="40" t="s">
        <v>103</v>
      </c>
      <c r="C8319" s="10">
        <v>67</v>
      </c>
      <c r="D8319" s="10">
        <v>299</v>
      </c>
      <c r="E8319" s="10" t="s">
        <v>159</v>
      </c>
      <c r="F8319" t="s">
        <v>360</v>
      </c>
    </row>
    <row r="8320" spans="1:7" x14ac:dyDescent="0.35">
      <c r="A8320" s="2">
        <v>43242</v>
      </c>
      <c r="B8320" s="40" t="s">
        <v>103</v>
      </c>
      <c r="C8320" s="10">
        <v>78</v>
      </c>
      <c r="D8320" s="10">
        <v>438</v>
      </c>
      <c r="E8320" s="10" t="s">
        <v>159</v>
      </c>
      <c r="F8320" t="s">
        <v>360</v>
      </c>
    </row>
    <row r="8321" spans="1:7" x14ac:dyDescent="0.35">
      <c r="A8321" s="2">
        <v>43242</v>
      </c>
      <c r="B8321" s="40" t="s">
        <v>103</v>
      </c>
      <c r="C8321" s="10">
        <v>70</v>
      </c>
      <c r="D8321" s="10">
        <v>321</v>
      </c>
      <c r="E8321" s="10" t="s">
        <v>159</v>
      </c>
      <c r="F8321" t="s">
        <v>360</v>
      </c>
    </row>
    <row r="8322" spans="1:7" x14ac:dyDescent="0.35">
      <c r="A8322" s="2">
        <v>43242</v>
      </c>
      <c r="B8322" s="40" t="s">
        <v>103</v>
      </c>
      <c r="C8322" s="10">
        <v>68</v>
      </c>
      <c r="D8322" s="10">
        <v>253</v>
      </c>
      <c r="E8322" s="10" t="s">
        <v>32</v>
      </c>
      <c r="F8322" t="s">
        <v>198</v>
      </c>
    </row>
    <row r="8323" spans="1:7" x14ac:dyDescent="0.35">
      <c r="A8323" s="2">
        <v>43242</v>
      </c>
      <c r="B8323" s="40" t="s">
        <v>103</v>
      </c>
      <c r="C8323" s="10">
        <v>68</v>
      </c>
      <c r="D8323" s="10">
        <v>329</v>
      </c>
      <c r="E8323" s="10" t="s">
        <v>159</v>
      </c>
      <c r="F8323" t="s">
        <v>360</v>
      </c>
    </row>
    <row r="8324" spans="1:7" x14ac:dyDescent="0.35">
      <c r="A8324" s="2">
        <v>43242</v>
      </c>
      <c r="B8324" s="40" t="s">
        <v>103</v>
      </c>
      <c r="C8324" s="10">
        <v>67</v>
      </c>
      <c r="D8324" s="10">
        <v>225</v>
      </c>
      <c r="E8324" s="10" t="s">
        <v>32</v>
      </c>
      <c r="F8324" t="s">
        <v>360</v>
      </c>
      <c r="G8324" t="s">
        <v>161</v>
      </c>
    </row>
    <row r="8325" spans="1:7" x14ac:dyDescent="0.35">
      <c r="A8325" s="2">
        <v>43242</v>
      </c>
      <c r="B8325" s="40" t="s">
        <v>103</v>
      </c>
      <c r="C8325" s="10">
        <v>72</v>
      </c>
      <c r="D8325" s="10">
        <v>307</v>
      </c>
      <c r="E8325" s="10" t="s">
        <v>159</v>
      </c>
      <c r="F8325" t="s">
        <v>360</v>
      </c>
    </row>
    <row r="8326" spans="1:7" s="4" customFormat="1" x14ac:dyDescent="0.35">
      <c r="A8326" s="3">
        <v>43242</v>
      </c>
      <c r="B8326" s="44" t="s">
        <v>103</v>
      </c>
      <c r="C8326" s="11">
        <v>72</v>
      </c>
      <c r="D8326" s="11">
        <v>340</v>
      </c>
      <c r="E8326" s="11" t="s">
        <v>159</v>
      </c>
      <c r="F8326" s="4" t="s">
        <v>360</v>
      </c>
    </row>
    <row r="8327" spans="1:7" x14ac:dyDescent="0.35">
      <c r="A8327" s="2">
        <v>43242</v>
      </c>
      <c r="B8327" s="40" t="s">
        <v>104</v>
      </c>
      <c r="C8327" s="10">
        <v>160</v>
      </c>
      <c r="D8327" s="10">
        <v>6078</v>
      </c>
      <c r="E8327" s="10" t="s">
        <v>59</v>
      </c>
    </row>
    <row r="8328" spans="1:7" x14ac:dyDescent="0.35">
      <c r="A8328" s="2">
        <v>43242</v>
      </c>
      <c r="B8328" s="40" t="s">
        <v>104</v>
      </c>
      <c r="C8328" s="10">
        <v>122</v>
      </c>
      <c r="D8328" s="10">
        <v>2484</v>
      </c>
      <c r="E8328" s="10" t="s">
        <v>59</v>
      </c>
    </row>
    <row r="8329" spans="1:7" x14ac:dyDescent="0.35">
      <c r="A8329" s="2">
        <v>43242</v>
      </c>
      <c r="B8329" s="40" t="s">
        <v>104</v>
      </c>
      <c r="C8329" s="10">
        <v>92</v>
      </c>
      <c r="D8329" s="10">
        <v>1072</v>
      </c>
      <c r="E8329" s="10" t="s">
        <v>59</v>
      </c>
    </row>
    <row r="8330" spans="1:7" x14ac:dyDescent="0.35">
      <c r="A8330" s="2">
        <v>43242</v>
      </c>
      <c r="B8330" s="40" t="s">
        <v>104</v>
      </c>
      <c r="C8330" s="10">
        <v>70</v>
      </c>
      <c r="D8330" s="10">
        <v>323</v>
      </c>
      <c r="E8330" s="10" t="s">
        <v>159</v>
      </c>
      <c r="F8330" t="s">
        <v>360</v>
      </c>
    </row>
    <row r="8331" spans="1:7" x14ac:dyDescent="0.35">
      <c r="A8331" s="2">
        <v>43242</v>
      </c>
      <c r="B8331" s="40" t="s">
        <v>104</v>
      </c>
      <c r="C8331" s="10">
        <v>68</v>
      </c>
      <c r="D8331" s="10">
        <v>262</v>
      </c>
      <c r="E8331" s="10" t="s">
        <v>37</v>
      </c>
      <c r="F8331" t="s">
        <v>360</v>
      </c>
    </row>
    <row r="8332" spans="1:7" x14ac:dyDescent="0.35">
      <c r="A8332" s="2">
        <v>43242</v>
      </c>
      <c r="B8332" s="40" t="s">
        <v>104</v>
      </c>
      <c r="C8332" s="10">
        <v>78</v>
      </c>
      <c r="D8332" s="10">
        <v>522</v>
      </c>
      <c r="E8332" s="10" t="s">
        <v>159</v>
      </c>
      <c r="F8332" t="s">
        <v>360</v>
      </c>
    </row>
    <row r="8333" spans="1:7" x14ac:dyDescent="0.35">
      <c r="A8333" s="2">
        <v>43242</v>
      </c>
      <c r="B8333" s="40" t="s">
        <v>104</v>
      </c>
      <c r="C8333" s="10">
        <v>73</v>
      </c>
      <c r="D8333" s="10">
        <v>323</v>
      </c>
      <c r="E8333" s="10" t="s">
        <v>159</v>
      </c>
      <c r="F8333" t="s">
        <v>360</v>
      </c>
    </row>
    <row r="8334" spans="1:7" x14ac:dyDescent="0.35">
      <c r="A8334" s="2">
        <v>43242</v>
      </c>
      <c r="B8334" s="40" t="s">
        <v>104</v>
      </c>
      <c r="C8334" s="10">
        <v>64</v>
      </c>
      <c r="D8334" s="10">
        <v>269</v>
      </c>
      <c r="E8334" s="10" t="s">
        <v>159</v>
      </c>
      <c r="F8334" t="s">
        <v>360</v>
      </c>
    </row>
    <row r="8335" spans="1:7" x14ac:dyDescent="0.35">
      <c r="A8335" s="2">
        <v>43242</v>
      </c>
      <c r="B8335" s="40" t="s">
        <v>104</v>
      </c>
      <c r="C8335" s="10">
        <v>70</v>
      </c>
      <c r="D8335" s="10">
        <v>319</v>
      </c>
      <c r="E8335" s="10" t="s">
        <v>159</v>
      </c>
      <c r="F8335" t="s">
        <v>360</v>
      </c>
    </row>
    <row r="8336" spans="1:7" x14ac:dyDescent="0.35">
      <c r="A8336" s="2">
        <v>43242</v>
      </c>
      <c r="B8336" s="40" t="s">
        <v>104</v>
      </c>
      <c r="C8336" s="10">
        <v>65</v>
      </c>
      <c r="D8336" s="10">
        <v>294</v>
      </c>
      <c r="E8336" s="10" t="s">
        <v>159</v>
      </c>
      <c r="F8336" t="s">
        <v>360</v>
      </c>
    </row>
    <row r="8337" spans="1:7" x14ac:dyDescent="0.35">
      <c r="A8337" s="2">
        <v>43242</v>
      </c>
      <c r="B8337" s="40" t="s">
        <v>104</v>
      </c>
      <c r="C8337" s="10">
        <v>74</v>
      </c>
      <c r="D8337" s="10">
        <v>399</v>
      </c>
      <c r="E8337" s="10" t="s">
        <v>159</v>
      </c>
      <c r="F8337" t="s">
        <v>360</v>
      </c>
    </row>
    <row r="8338" spans="1:7" x14ac:dyDescent="0.35">
      <c r="A8338" s="2">
        <v>43242</v>
      </c>
      <c r="B8338" s="40" t="s">
        <v>104</v>
      </c>
      <c r="C8338" s="10">
        <v>71</v>
      </c>
      <c r="D8338" s="10">
        <v>236</v>
      </c>
      <c r="E8338" s="10" t="s">
        <v>37</v>
      </c>
      <c r="F8338" t="s">
        <v>360</v>
      </c>
    </row>
    <row r="8339" spans="1:7" x14ac:dyDescent="0.35">
      <c r="A8339" s="2">
        <v>43242</v>
      </c>
      <c r="B8339" s="40" t="s">
        <v>104</v>
      </c>
      <c r="C8339" s="10">
        <v>75</v>
      </c>
      <c r="D8339" s="10">
        <v>264</v>
      </c>
      <c r="E8339" s="10" t="s">
        <v>37</v>
      </c>
      <c r="F8339" t="s">
        <v>360</v>
      </c>
      <c r="G8339" t="s">
        <v>161</v>
      </c>
    </row>
    <row r="8340" spans="1:7" x14ac:dyDescent="0.35">
      <c r="A8340" s="2">
        <v>43242</v>
      </c>
      <c r="B8340" s="40" t="s">
        <v>104</v>
      </c>
      <c r="C8340" s="10">
        <v>70</v>
      </c>
      <c r="D8340" s="10">
        <v>239</v>
      </c>
      <c r="E8340" s="10" t="s">
        <v>37</v>
      </c>
      <c r="F8340" t="s">
        <v>646</v>
      </c>
    </row>
    <row r="8341" spans="1:7" x14ac:dyDescent="0.35">
      <c r="A8341" s="2">
        <v>43242</v>
      </c>
      <c r="B8341" s="40" t="s">
        <v>104</v>
      </c>
      <c r="C8341" s="10">
        <v>75</v>
      </c>
      <c r="D8341" s="10">
        <v>352</v>
      </c>
      <c r="E8341" s="10" t="s">
        <v>159</v>
      </c>
      <c r="F8341" t="s">
        <v>360</v>
      </c>
    </row>
    <row r="8342" spans="1:7" x14ac:dyDescent="0.35">
      <c r="A8342" s="2">
        <v>43242</v>
      </c>
      <c r="B8342" s="40" t="s">
        <v>104</v>
      </c>
      <c r="C8342" s="10">
        <v>74</v>
      </c>
      <c r="D8342" s="10">
        <v>298</v>
      </c>
      <c r="E8342" s="10" t="s">
        <v>37</v>
      </c>
      <c r="F8342" t="s">
        <v>360</v>
      </c>
    </row>
    <row r="8343" spans="1:7" x14ac:dyDescent="0.35">
      <c r="A8343" s="2">
        <v>43242</v>
      </c>
      <c r="B8343" s="40" t="s">
        <v>104</v>
      </c>
      <c r="C8343" s="10">
        <v>68</v>
      </c>
      <c r="D8343" s="10">
        <v>342</v>
      </c>
      <c r="E8343" s="10" t="s">
        <v>159</v>
      </c>
      <c r="F8343" t="s">
        <v>360</v>
      </c>
    </row>
    <row r="8344" spans="1:7" x14ac:dyDescent="0.35">
      <c r="A8344" s="2">
        <v>43242</v>
      </c>
      <c r="B8344" s="40" t="s">
        <v>104</v>
      </c>
      <c r="C8344" s="10">
        <v>73</v>
      </c>
      <c r="D8344" s="10">
        <v>327</v>
      </c>
      <c r="E8344" s="10" t="s">
        <v>159</v>
      </c>
      <c r="F8344" t="s">
        <v>360</v>
      </c>
    </row>
    <row r="8345" spans="1:7" x14ac:dyDescent="0.35">
      <c r="A8345" s="2">
        <v>43242</v>
      </c>
      <c r="B8345" s="40" t="s">
        <v>104</v>
      </c>
      <c r="C8345" s="10">
        <v>75</v>
      </c>
      <c r="D8345" s="10">
        <v>405</v>
      </c>
      <c r="E8345" s="10" t="s">
        <v>159</v>
      </c>
      <c r="F8345" t="s">
        <v>360</v>
      </c>
    </row>
    <row r="8346" spans="1:7" x14ac:dyDescent="0.35">
      <c r="A8346" s="2">
        <v>43242</v>
      </c>
      <c r="B8346" s="40" t="s">
        <v>104</v>
      </c>
      <c r="C8346" s="10">
        <v>73</v>
      </c>
      <c r="D8346" s="10">
        <v>435</v>
      </c>
      <c r="E8346" s="10" t="s">
        <v>37</v>
      </c>
      <c r="F8346" t="s">
        <v>360</v>
      </c>
    </row>
    <row r="8347" spans="1:7" x14ac:dyDescent="0.35">
      <c r="A8347" s="2">
        <v>43242</v>
      </c>
      <c r="B8347" s="40" t="s">
        <v>104</v>
      </c>
      <c r="C8347" s="10">
        <v>66</v>
      </c>
      <c r="D8347" s="10">
        <v>411</v>
      </c>
      <c r="E8347" s="10" t="s">
        <v>32</v>
      </c>
      <c r="F8347" t="s">
        <v>360</v>
      </c>
      <c r="G8347" t="s">
        <v>161</v>
      </c>
    </row>
    <row r="8348" spans="1:7" x14ac:dyDescent="0.35">
      <c r="A8348" s="2">
        <v>43242</v>
      </c>
      <c r="B8348" s="40" t="s">
        <v>104</v>
      </c>
      <c r="C8348" s="10">
        <v>67</v>
      </c>
      <c r="D8348" s="10">
        <v>203</v>
      </c>
      <c r="E8348" s="10" t="s">
        <v>37</v>
      </c>
      <c r="F8348" t="s">
        <v>360</v>
      </c>
    </row>
    <row r="8349" spans="1:7" x14ac:dyDescent="0.35">
      <c r="A8349" s="2">
        <v>43242</v>
      </c>
      <c r="B8349" s="40" t="s">
        <v>104</v>
      </c>
      <c r="C8349" s="10">
        <v>69</v>
      </c>
      <c r="D8349" s="10">
        <v>357</v>
      </c>
      <c r="E8349" s="10" t="s">
        <v>159</v>
      </c>
      <c r="F8349" t="s">
        <v>360</v>
      </c>
    </row>
    <row r="8350" spans="1:7" x14ac:dyDescent="0.35">
      <c r="A8350" s="2">
        <v>43242</v>
      </c>
      <c r="B8350" s="40" t="s">
        <v>104</v>
      </c>
      <c r="C8350" s="10">
        <v>63</v>
      </c>
      <c r="D8350" s="10">
        <v>195</v>
      </c>
      <c r="E8350" s="10" t="s">
        <v>32</v>
      </c>
      <c r="F8350" t="s">
        <v>360</v>
      </c>
    </row>
    <row r="8351" spans="1:7" x14ac:dyDescent="0.35">
      <c r="A8351" s="2">
        <v>43242</v>
      </c>
      <c r="B8351" s="40" t="s">
        <v>104</v>
      </c>
      <c r="C8351" s="10">
        <v>68</v>
      </c>
      <c r="D8351" s="10">
        <v>219</v>
      </c>
      <c r="E8351" s="10" t="s">
        <v>37</v>
      </c>
      <c r="F8351" t="s">
        <v>360</v>
      </c>
    </row>
    <row r="8352" spans="1:7" x14ac:dyDescent="0.35">
      <c r="A8352" s="2">
        <v>43242</v>
      </c>
      <c r="B8352" s="40" t="s">
        <v>104</v>
      </c>
      <c r="C8352" s="10">
        <v>71</v>
      </c>
      <c r="D8352" s="10">
        <v>360</v>
      </c>
      <c r="E8352" s="10" t="s">
        <v>159</v>
      </c>
      <c r="F8352" t="s">
        <v>360</v>
      </c>
    </row>
    <row r="8353" spans="1:7" x14ac:dyDescent="0.35">
      <c r="A8353" s="2">
        <v>43242</v>
      </c>
      <c r="B8353" s="40" t="s">
        <v>104</v>
      </c>
      <c r="C8353" s="10">
        <v>71</v>
      </c>
      <c r="D8353" s="10">
        <v>236</v>
      </c>
      <c r="E8353" s="10" t="s">
        <v>37</v>
      </c>
      <c r="F8353" t="s">
        <v>360</v>
      </c>
    </row>
    <row r="8354" spans="1:7" x14ac:dyDescent="0.35">
      <c r="A8354" s="2">
        <v>43242</v>
      </c>
      <c r="B8354" s="40" t="s">
        <v>104</v>
      </c>
      <c r="C8354" s="10">
        <v>73</v>
      </c>
      <c r="D8354" s="10">
        <v>225</v>
      </c>
      <c r="E8354" s="10" t="s">
        <v>159</v>
      </c>
      <c r="F8354" t="s">
        <v>360</v>
      </c>
    </row>
    <row r="8355" spans="1:7" x14ac:dyDescent="0.35">
      <c r="A8355" s="2">
        <v>43242</v>
      </c>
      <c r="B8355" s="40" t="s">
        <v>104</v>
      </c>
      <c r="C8355" s="10">
        <v>68</v>
      </c>
      <c r="D8355" s="10">
        <v>260</v>
      </c>
      <c r="E8355" s="10" t="s">
        <v>159</v>
      </c>
      <c r="F8355" t="s">
        <v>360</v>
      </c>
    </row>
    <row r="8356" spans="1:7" x14ac:dyDescent="0.35">
      <c r="A8356" s="2">
        <v>43242</v>
      </c>
      <c r="B8356" s="40" t="s">
        <v>104</v>
      </c>
      <c r="C8356" s="10">
        <v>62</v>
      </c>
      <c r="D8356" s="10">
        <v>167</v>
      </c>
      <c r="E8356" s="10" t="s">
        <v>37</v>
      </c>
      <c r="F8356" t="s">
        <v>360</v>
      </c>
      <c r="G8356" t="s">
        <v>161</v>
      </c>
    </row>
    <row r="8357" spans="1:7" x14ac:dyDescent="0.35">
      <c r="A8357" s="2">
        <v>43242</v>
      </c>
      <c r="B8357" s="40" t="s">
        <v>104</v>
      </c>
      <c r="C8357" s="10">
        <v>68</v>
      </c>
      <c r="D8357" s="10">
        <v>306</v>
      </c>
      <c r="E8357" s="10" t="s">
        <v>159</v>
      </c>
      <c r="F8357" t="s">
        <v>360</v>
      </c>
    </row>
    <row r="8358" spans="1:7" x14ac:dyDescent="0.35">
      <c r="A8358" s="2">
        <v>43242</v>
      </c>
      <c r="B8358" s="40" t="s">
        <v>104</v>
      </c>
      <c r="C8358" s="10">
        <v>67</v>
      </c>
      <c r="D8358" s="10">
        <v>326</v>
      </c>
      <c r="E8358" s="10" t="s">
        <v>159</v>
      </c>
      <c r="F8358" t="s">
        <v>360</v>
      </c>
    </row>
    <row r="8359" spans="1:7" x14ac:dyDescent="0.35">
      <c r="A8359" s="2">
        <v>43242</v>
      </c>
      <c r="B8359" s="40" t="s">
        <v>104</v>
      </c>
      <c r="C8359" s="10">
        <v>78</v>
      </c>
      <c r="D8359" s="10">
        <v>454</v>
      </c>
      <c r="E8359" s="10" t="s">
        <v>159</v>
      </c>
      <c r="F8359" t="s">
        <v>360</v>
      </c>
    </row>
    <row r="8360" spans="1:7" x14ac:dyDescent="0.35">
      <c r="A8360" s="2">
        <v>43242</v>
      </c>
      <c r="B8360" s="40" t="s">
        <v>104</v>
      </c>
      <c r="C8360" s="10">
        <v>73</v>
      </c>
      <c r="D8360" s="10">
        <v>245</v>
      </c>
      <c r="E8360" s="10" t="s">
        <v>37</v>
      </c>
      <c r="F8360" t="s">
        <v>198</v>
      </c>
    </row>
    <row r="8361" spans="1:7" x14ac:dyDescent="0.35">
      <c r="A8361" s="2">
        <v>43242</v>
      </c>
      <c r="B8361" s="40" t="s">
        <v>104</v>
      </c>
      <c r="C8361" s="10">
        <v>68</v>
      </c>
      <c r="D8361" s="10">
        <v>304</v>
      </c>
      <c r="E8361" s="10" t="s">
        <v>37</v>
      </c>
      <c r="F8361" t="s">
        <v>360</v>
      </c>
    </row>
    <row r="8362" spans="1:7" x14ac:dyDescent="0.35">
      <c r="A8362" s="2">
        <v>43242</v>
      </c>
      <c r="B8362" s="40" t="s">
        <v>104</v>
      </c>
      <c r="C8362" s="10">
        <v>68</v>
      </c>
      <c r="D8362" s="10">
        <v>270</v>
      </c>
      <c r="E8362" s="10" t="s">
        <v>37</v>
      </c>
      <c r="F8362" t="s">
        <v>360</v>
      </c>
      <c r="G8362" t="s">
        <v>161</v>
      </c>
    </row>
    <row r="8363" spans="1:7" x14ac:dyDescent="0.35">
      <c r="A8363" s="2">
        <v>43242</v>
      </c>
      <c r="B8363" s="40" t="s">
        <v>104</v>
      </c>
      <c r="C8363" s="10">
        <v>73</v>
      </c>
      <c r="D8363" s="10">
        <v>414</v>
      </c>
      <c r="E8363" s="10" t="s">
        <v>159</v>
      </c>
      <c r="F8363" t="s">
        <v>360</v>
      </c>
    </row>
    <row r="8364" spans="1:7" x14ac:dyDescent="0.35">
      <c r="A8364" s="2">
        <v>43242</v>
      </c>
      <c r="B8364" s="40" t="s">
        <v>104</v>
      </c>
      <c r="C8364" s="10">
        <v>74</v>
      </c>
      <c r="D8364" s="10">
        <v>360</v>
      </c>
      <c r="E8364" s="10" t="s">
        <v>159</v>
      </c>
      <c r="F8364" t="s">
        <v>360</v>
      </c>
    </row>
    <row r="8365" spans="1:7" x14ac:dyDescent="0.35">
      <c r="A8365" s="2">
        <v>43242</v>
      </c>
      <c r="B8365" s="40" t="s">
        <v>104</v>
      </c>
      <c r="C8365" s="10">
        <v>71</v>
      </c>
      <c r="D8365" s="10">
        <v>220</v>
      </c>
      <c r="E8365" s="10" t="s">
        <v>37</v>
      </c>
      <c r="F8365" t="s">
        <v>360</v>
      </c>
    </row>
    <row r="8366" spans="1:7" x14ac:dyDescent="0.35">
      <c r="A8366" s="2">
        <v>43242</v>
      </c>
      <c r="B8366" s="40" t="s">
        <v>104</v>
      </c>
      <c r="C8366" s="10">
        <v>78</v>
      </c>
      <c r="D8366" s="10">
        <v>412</v>
      </c>
      <c r="E8366" s="10" t="s">
        <v>159</v>
      </c>
      <c r="F8366" t="s">
        <v>360</v>
      </c>
    </row>
    <row r="8367" spans="1:7" x14ac:dyDescent="0.35">
      <c r="A8367" s="2">
        <v>43242</v>
      </c>
      <c r="B8367" s="40" t="s">
        <v>104</v>
      </c>
      <c r="C8367" s="10">
        <v>70</v>
      </c>
      <c r="D8367" s="10">
        <v>307</v>
      </c>
      <c r="E8367" s="10" t="s">
        <v>159</v>
      </c>
      <c r="F8367" t="s">
        <v>360</v>
      </c>
    </row>
    <row r="8368" spans="1:7" x14ac:dyDescent="0.35">
      <c r="A8368" s="2">
        <v>43242</v>
      </c>
      <c r="B8368" s="40" t="s">
        <v>104</v>
      </c>
      <c r="C8368" s="10">
        <v>71</v>
      </c>
      <c r="D8368" s="10">
        <v>281</v>
      </c>
      <c r="E8368" s="10" t="s">
        <v>32</v>
      </c>
      <c r="F8368" t="s">
        <v>198</v>
      </c>
    </row>
    <row r="8369" spans="1:7" x14ac:dyDescent="0.35">
      <c r="A8369" s="2">
        <v>43242</v>
      </c>
      <c r="B8369" s="40" t="s">
        <v>104</v>
      </c>
      <c r="C8369" s="10">
        <v>68</v>
      </c>
      <c r="D8369" s="10">
        <v>340</v>
      </c>
      <c r="E8369" s="10" t="s">
        <v>159</v>
      </c>
      <c r="F8369" t="s">
        <v>360</v>
      </c>
    </row>
    <row r="8370" spans="1:7" x14ac:dyDescent="0.35">
      <c r="A8370" s="2">
        <v>43242</v>
      </c>
      <c r="B8370" s="40" t="s">
        <v>104</v>
      </c>
      <c r="C8370" s="10">
        <v>69</v>
      </c>
      <c r="D8370" s="10">
        <v>314</v>
      </c>
      <c r="E8370" s="10" t="s">
        <v>159</v>
      </c>
      <c r="F8370" t="s">
        <v>360</v>
      </c>
    </row>
    <row r="8371" spans="1:7" x14ac:dyDescent="0.35">
      <c r="A8371" s="2">
        <v>43242</v>
      </c>
      <c r="B8371" s="40" t="s">
        <v>104</v>
      </c>
      <c r="C8371" s="10">
        <v>74</v>
      </c>
      <c r="D8371" s="10">
        <v>418</v>
      </c>
      <c r="E8371" s="10" t="s">
        <v>159</v>
      </c>
      <c r="F8371" t="s">
        <v>360</v>
      </c>
    </row>
    <row r="8372" spans="1:7" x14ac:dyDescent="0.35">
      <c r="A8372" s="2">
        <v>43242</v>
      </c>
      <c r="B8372" s="40" t="s">
        <v>104</v>
      </c>
      <c r="C8372" s="10">
        <v>72</v>
      </c>
      <c r="D8372" s="10">
        <v>327</v>
      </c>
      <c r="E8372" s="10" t="s">
        <v>159</v>
      </c>
      <c r="F8372" t="s">
        <v>360</v>
      </c>
    </row>
    <row r="8373" spans="1:7" x14ac:dyDescent="0.35">
      <c r="A8373" s="2">
        <v>43242</v>
      </c>
      <c r="B8373" s="40" t="s">
        <v>104</v>
      </c>
      <c r="C8373" s="10">
        <v>68</v>
      </c>
      <c r="D8373" s="10">
        <v>222</v>
      </c>
      <c r="E8373" s="10" t="s">
        <v>32</v>
      </c>
      <c r="F8373" t="s">
        <v>198</v>
      </c>
    </row>
    <row r="8374" spans="1:7" x14ac:dyDescent="0.35">
      <c r="A8374" s="2">
        <v>43242</v>
      </c>
      <c r="B8374" s="40" t="s">
        <v>104</v>
      </c>
      <c r="C8374" s="10">
        <v>66</v>
      </c>
      <c r="D8374" s="10">
        <v>301</v>
      </c>
      <c r="E8374" s="10" t="s">
        <v>37</v>
      </c>
      <c r="F8374" t="s">
        <v>198</v>
      </c>
      <c r="G8374" t="s">
        <v>161</v>
      </c>
    </row>
    <row r="8375" spans="1:7" x14ac:dyDescent="0.35">
      <c r="A8375" s="2">
        <v>43242</v>
      </c>
      <c r="B8375" s="40" t="s">
        <v>104</v>
      </c>
      <c r="C8375" s="10">
        <v>72</v>
      </c>
      <c r="D8375" s="10">
        <v>387</v>
      </c>
      <c r="E8375" s="10" t="s">
        <v>159</v>
      </c>
      <c r="F8375" t="s">
        <v>360</v>
      </c>
    </row>
    <row r="8376" spans="1:7" x14ac:dyDescent="0.35">
      <c r="A8376" s="2">
        <v>43242</v>
      </c>
      <c r="B8376" s="40" t="s">
        <v>104</v>
      </c>
      <c r="C8376" s="10">
        <v>70</v>
      </c>
      <c r="D8376" s="10">
        <v>297</v>
      </c>
      <c r="E8376" s="10" t="s">
        <v>159</v>
      </c>
      <c r="F8376" t="s">
        <v>360</v>
      </c>
    </row>
    <row r="8377" spans="1:7" x14ac:dyDescent="0.35">
      <c r="A8377" s="2">
        <v>43242</v>
      </c>
      <c r="B8377" s="40" t="s">
        <v>104</v>
      </c>
      <c r="C8377" s="10">
        <v>68</v>
      </c>
      <c r="D8377" s="10">
        <v>278</v>
      </c>
      <c r="E8377" s="10" t="s">
        <v>37</v>
      </c>
      <c r="F8377" t="s">
        <v>360</v>
      </c>
    </row>
    <row r="8378" spans="1:7" x14ac:dyDescent="0.35">
      <c r="A8378" s="2">
        <v>43242</v>
      </c>
      <c r="B8378" s="40" t="s">
        <v>104</v>
      </c>
      <c r="C8378" s="10">
        <v>74</v>
      </c>
      <c r="D8378" s="10">
        <v>336</v>
      </c>
      <c r="E8378" s="10" t="s">
        <v>159</v>
      </c>
      <c r="F8378" t="s">
        <v>360</v>
      </c>
    </row>
    <row r="8379" spans="1:7" s="4" customFormat="1" x14ac:dyDescent="0.35">
      <c r="A8379" s="3">
        <v>43242</v>
      </c>
      <c r="B8379" s="44" t="s">
        <v>104</v>
      </c>
      <c r="C8379" s="11">
        <v>66</v>
      </c>
      <c r="D8379" s="11">
        <v>281</v>
      </c>
      <c r="E8379" s="11" t="s">
        <v>159</v>
      </c>
      <c r="F8379" s="4" t="s">
        <v>198</v>
      </c>
    </row>
    <row r="8380" spans="1:7" x14ac:dyDescent="0.35">
      <c r="A8380" s="2">
        <v>43242</v>
      </c>
      <c r="B8380" s="40" t="s">
        <v>102</v>
      </c>
      <c r="C8380" s="10">
        <v>117</v>
      </c>
      <c r="D8380" s="10">
        <v>2026</v>
      </c>
      <c r="E8380" s="10" t="s">
        <v>59</v>
      </c>
    </row>
    <row r="8381" spans="1:7" x14ac:dyDescent="0.35">
      <c r="A8381" s="2">
        <v>43242</v>
      </c>
      <c r="B8381" s="40" t="s">
        <v>102</v>
      </c>
      <c r="C8381" s="10">
        <v>116</v>
      </c>
      <c r="D8381" s="10">
        <v>2448</v>
      </c>
      <c r="E8381" s="10" t="s">
        <v>59</v>
      </c>
    </row>
    <row r="8382" spans="1:7" x14ac:dyDescent="0.35">
      <c r="A8382" s="2">
        <v>43242</v>
      </c>
      <c r="B8382" s="40" t="s">
        <v>102</v>
      </c>
      <c r="C8382" s="10">
        <v>97</v>
      </c>
      <c r="D8382" s="10">
        <v>1127</v>
      </c>
      <c r="E8382" s="10" t="s">
        <v>59</v>
      </c>
    </row>
    <row r="8383" spans="1:7" x14ac:dyDescent="0.35">
      <c r="A8383" s="2">
        <v>43242</v>
      </c>
      <c r="B8383" s="40" t="s">
        <v>102</v>
      </c>
      <c r="C8383" s="10">
        <v>73</v>
      </c>
      <c r="D8383" s="10">
        <v>420</v>
      </c>
      <c r="E8383" s="10" t="s">
        <v>159</v>
      </c>
      <c r="F8383" t="s">
        <v>360</v>
      </c>
    </row>
    <row r="8384" spans="1:7" x14ac:dyDescent="0.35">
      <c r="A8384" s="2">
        <v>43242</v>
      </c>
      <c r="B8384" s="40" t="s">
        <v>102</v>
      </c>
      <c r="C8384" s="10">
        <v>74</v>
      </c>
      <c r="D8384" s="10">
        <v>422</v>
      </c>
      <c r="E8384" s="10" t="s">
        <v>159</v>
      </c>
      <c r="F8384" t="s">
        <v>360</v>
      </c>
    </row>
    <row r="8385" spans="1:7" x14ac:dyDescent="0.35">
      <c r="A8385" s="2">
        <v>43242</v>
      </c>
      <c r="B8385" s="40" t="s">
        <v>102</v>
      </c>
      <c r="C8385" s="10">
        <v>63</v>
      </c>
      <c r="D8385" s="10">
        <v>280</v>
      </c>
      <c r="E8385" s="10" t="s">
        <v>159</v>
      </c>
      <c r="F8385" t="s">
        <v>360</v>
      </c>
    </row>
    <row r="8386" spans="1:7" x14ac:dyDescent="0.35">
      <c r="A8386" s="2">
        <v>43242</v>
      </c>
      <c r="B8386" s="40" t="s">
        <v>102</v>
      </c>
      <c r="C8386" s="10">
        <v>75</v>
      </c>
      <c r="D8386" s="10">
        <v>382</v>
      </c>
      <c r="E8386" s="10" t="s">
        <v>159</v>
      </c>
      <c r="F8386" t="s">
        <v>360</v>
      </c>
    </row>
    <row r="8387" spans="1:7" x14ac:dyDescent="0.35">
      <c r="A8387" s="2">
        <v>43242</v>
      </c>
      <c r="B8387" s="40" t="s">
        <v>102</v>
      </c>
      <c r="C8387" s="10">
        <v>70</v>
      </c>
      <c r="D8387" s="10">
        <v>188</v>
      </c>
      <c r="E8387" s="10" t="s">
        <v>32</v>
      </c>
      <c r="F8387" t="s">
        <v>293</v>
      </c>
    </row>
    <row r="8388" spans="1:7" x14ac:dyDescent="0.35">
      <c r="A8388" s="2">
        <v>43242</v>
      </c>
      <c r="B8388" s="40" t="s">
        <v>102</v>
      </c>
      <c r="C8388" s="10">
        <v>71</v>
      </c>
      <c r="D8388" s="10">
        <v>363</v>
      </c>
      <c r="E8388" s="10" t="s">
        <v>159</v>
      </c>
      <c r="F8388" t="s">
        <v>360</v>
      </c>
    </row>
    <row r="8389" spans="1:7" x14ac:dyDescent="0.35">
      <c r="A8389" s="2">
        <v>43242</v>
      </c>
      <c r="B8389" s="40" t="s">
        <v>102</v>
      </c>
      <c r="C8389" s="10">
        <v>81</v>
      </c>
      <c r="D8389" s="10">
        <v>376</v>
      </c>
      <c r="E8389" s="10" t="s">
        <v>37</v>
      </c>
      <c r="F8389" t="s">
        <v>360</v>
      </c>
    </row>
    <row r="8390" spans="1:7" x14ac:dyDescent="0.35">
      <c r="A8390" s="2">
        <v>43242</v>
      </c>
      <c r="B8390" s="40" t="s">
        <v>102</v>
      </c>
      <c r="C8390" s="10">
        <v>76</v>
      </c>
      <c r="D8390" s="10">
        <v>385</v>
      </c>
      <c r="E8390" s="10" t="s">
        <v>159</v>
      </c>
      <c r="F8390" t="s">
        <v>360</v>
      </c>
    </row>
    <row r="8391" spans="1:7" x14ac:dyDescent="0.35">
      <c r="A8391" s="2">
        <v>43242</v>
      </c>
      <c r="B8391" s="40" t="s">
        <v>102</v>
      </c>
      <c r="C8391" s="10">
        <v>70</v>
      </c>
      <c r="D8391" s="10">
        <v>301</v>
      </c>
      <c r="E8391" s="10" t="s">
        <v>159</v>
      </c>
      <c r="F8391" t="s">
        <v>360</v>
      </c>
    </row>
    <row r="8392" spans="1:7" x14ac:dyDescent="0.35">
      <c r="A8392" s="2">
        <v>43242</v>
      </c>
      <c r="B8392" s="40" t="s">
        <v>102</v>
      </c>
      <c r="C8392" s="10">
        <v>64</v>
      </c>
      <c r="D8392" s="10">
        <v>252</v>
      </c>
      <c r="E8392" s="10" t="s">
        <v>32</v>
      </c>
      <c r="F8392" t="s">
        <v>360</v>
      </c>
      <c r="G8392" t="s">
        <v>161</v>
      </c>
    </row>
    <row r="8393" spans="1:7" x14ac:dyDescent="0.35">
      <c r="A8393" s="2">
        <v>43242</v>
      </c>
      <c r="B8393" s="40" t="s">
        <v>102</v>
      </c>
      <c r="C8393" s="10">
        <v>78</v>
      </c>
      <c r="D8393" s="10">
        <v>369</v>
      </c>
      <c r="E8393" s="10" t="s">
        <v>159</v>
      </c>
      <c r="F8393" t="s">
        <v>360</v>
      </c>
    </row>
    <row r="8394" spans="1:7" x14ac:dyDescent="0.35">
      <c r="A8394" s="2">
        <v>43242</v>
      </c>
      <c r="B8394" s="40" t="s">
        <v>102</v>
      </c>
      <c r="C8394" s="10">
        <v>78</v>
      </c>
      <c r="D8394" s="10">
        <v>354</v>
      </c>
      <c r="E8394" s="10" t="s">
        <v>159</v>
      </c>
      <c r="F8394" t="s">
        <v>360</v>
      </c>
    </row>
    <row r="8395" spans="1:7" x14ac:dyDescent="0.35">
      <c r="A8395" s="2">
        <v>43242</v>
      </c>
      <c r="B8395" s="40" t="s">
        <v>102</v>
      </c>
      <c r="C8395" s="10">
        <v>66</v>
      </c>
      <c r="D8395" s="10">
        <v>252</v>
      </c>
      <c r="E8395" s="10" t="s">
        <v>37</v>
      </c>
      <c r="F8395" t="s">
        <v>360</v>
      </c>
    </row>
    <row r="8396" spans="1:7" x14ac:dyDescent="0.35">
      <c r="A8396" s="2">
        <v>43242</v>
      </c>
      <c r="B8396" s="40" t="s">
        <v>102</v>
      </c>
      <c r="C8396" s="10">
        <v>67</v>
      </c>
      <c r="D8396" s="10">
        <v>323</v>
      </c>
      <c r="E8396" s="10" t="s">
        <v>37</v>
      </c>
      <c r="F8396" t="s">
        <v>360</v>
      </c>
      <c r="G8396" t="s">
        <v>161</v>
      </c>
    </row>
    <row r="8397" spans="1:7" x14ac:dyDescent="0.35">
      <c r="A8397" s="2">
        <v>43242</v>
      </c>
      <c r="B8397" s="40" t="s">
        <v>102</v>
      </c>
      <c r="C8397" s="10">
        <v>75</v>
      </c>
      <c r="D8397" s="10">
        <v>220</v>
      </c>
      <c r="E8397" s="10" t="s">
        <v>37</v>
      </c>
      <c r="F8397" t="s">
        <v>360</v>
      </c>
      <c r="G8397" t="s">
        <v>161</v>
      </c>
    </row>
    <row r="8398" spans="1:7" x14ac:dyDescent="0.35">
      <c r="A8398" s="2">
        <v>43242</v>
      </c>
      <c r="B8398" s="40" t="s">
        <v>102</v>
      </c>
      <c r="C8398" s="10">
        <v>68</v>
      </c>
      <c r="D8398" s="10">
        <v>260</v>
      </c>
      <c r="E8398" s="10" t="s">
        <v>159</v>
      </c>
      <c r="F8398" t="s">
        <v>360</v>
      </c>
    </row>
    <row r="8399" spans="1:7" x14ac:dyDescent="0.35">
      <c r="A8399" s="2">
        <v>43242</v>
      </c>
      <c r="B8399" s="40" t="s">
        <v>102</v>
      </c>
      <c r="C8399" s="10">
        <v>73</v>
      </c>
      <c r="D8399" s="10">
        <v>458</v>
      </c>
      <c r="E8399" s="10" t="s">
        <v>159</v>
      </c>
      <c r="F8399" t="s">
        <v>360</v>
      </c>
    </row>
    <row r="8400" spans="1:7" x14ac:dyDescent="0.35">
      <c r="A8400" s="2">
        <v>43242</v>
      </c>
      <c r="B8400" s="40" t="s">
        <v>102</v>
      </c>
      <c r="C8400" s="10">
        <v>72</v>
      </c>
      <c r="D8400" s="10">
        <v>340</v>
      </c>
      <c r="E8400" s="10" t="s">
        <v>37</v>
      </c>
      <c r="F8400" t="s">
        <v>360</v>
      </c>
    </row>
    <row r="8401" spans="1:7" x14ac:dyDescent="0.35">
      <c r="A8401" s="2">
        <v>43242</v>
      </c>
      <c r="B8401" s="40" t="s">
        <v>102</v>
      </c>
      <c r="C8401" s="10">
        <v>77</v>
      </c>
      <c r="D8401" s="10">
        <v>344</v>
      </c>
      <c r="E8401" s="10" t="s">
        <v>159</v>
      </c>
      <c r="F8401" t="s">
        <v>360</v>
      </c>
    </row>
    <row r="8402" spans="1:7" x14ac:dyDescent="0.35">
      <c r="A8402" s="2">
        <v>43242</v>
      </c>
      <c r="B8402" s="40" t="s">
        <v>102</v>
      </c>
      <c r="C8402" s="10">
        <v>70</v>
      </c>
      <c r="D8402" s="10">
        <v>320</v>
      </c>
      <c r="E8402" s="10" t="s">
        <v>159</v>
      </c>
      <c r="F8402" t="s">
        <v>360</v>
      </c>
    </row>
    <row r="8403" spans="1:7" x14ac:dyDescent="0.35">
      <c r="A8403" s="2">
        <v>43242</v>
      </c>
      <c r="B8403" s="40" t="s">
        <v>102</v>
      </c>
      <c r="C8403" s="10">
        <v>68</v>
      </c>
      <c r="D8403" s="10">
        <v>188</v>
      </c>
      <c r="E8403" s="10" t="s">
        <v>37</v>
      </c>
      <c r="F8403" t="s">
        <v>360</v>
      </c>
    </row>
    <row r="8404" spans="1:7" x14ac:dyDescent="0.35">
      <c r="A8404" s="2">
        <v>43242</v>
      </c>
      <c r="B8404" s="40" t="s">
        <v>102</v>
      </c>
      <c r="C8404" s="10">
        <v>69</v>
      </c>
      <c r="D8404" s="10">
        <v>335</v>
      </c>
      <c r="E8404" s="10" t="s">
        <v>159</v>
      </c>
      <c r="F8404" t="s">
        <v>360</v>
      </c>
    </row>
    <row r="8405" spans="1:7" x14ac:dyDescent="0.35">
      <c r="A8405" s="2">
        <v>43242</v>
      </c>
      <c r="B8405" s="40" t="s">
        <v>102</v>
      </c>
      <c r="C8405" s="10">
        <v>66</v>
      </c>
      <c r="D8405" s="10">
        <v>284</v>
      </c>
      <c r="E8405" s="10" t="s">
        <v>159</v>
      </c>
      <c r="F8405" t="s">
        <v>360</v>
      </c>
    </row>
    <row r="8406" spans="1:7" x14ac:dyDescent="0.35">
      <c r="A8406" s="2">
        <v>43242</v>
      </c>
      <c r="B8406" s="40" t="s">
        <v>102</v>
      </c>
      <c r="C8406" s="10">
        <v>66</v>
      </c>
      <c r="D8406" s="10">
        <v>168</v>
      </c>
      <c r="E8406" s="10" t="s">
        <v>37</v>
      </c>
      <c r="F8406" t="s">
        <v>198</v>
      </c>
    </row>
    <row r="8407" spans="1:7" x14ac:dyDescent="0.35">
      <c r="A8407" s="2">
        <v>43242</v>
      </c>
      <c r="B8407" s="40" t="s">
        <v>102</v>
      </c>
      <c r="C8407" s="10">
        <v>71</v>
      </c>
      <c r="D8407" s="10">
        <v>395</v>
      </c>
      <c r="E8407" s="10" t="s">
        <v>159</v>
      </c>
      <c r="F8407" t="s">
        <v>360</v>
      </c>
    </row>
    <row r="8408" spans="1:7" x14ac:dyDescent="0.35">
      <c r="A8408" s="2">
        <v>43242</v>
      </c>
      <c r="B8408" s="40" t="s">
        <v>102</v>
      </c>
      <c r="C8408" s="10">
        <v>77</v>
      </c>
      <c r="D8408" s="10">
        <v>403</v>
      </c>
      <c r="E8408" s="10" t="s">
        <v>159</v>
      </c>
      <c r="F8408" t="s">
        <v>360</v>
      </c>
    </row>
    <row r="8409" spans="1:7" x14ac:dyDescent="0.35">
      <c r="A8409" s="2">
        <v>43242</v>
      </c>
      <c r="B8409" s="40" t="s">
        <v>102</v>
      </c>
      <c r="C8409" s="10">
        <v>74</v>
      </c>
      <c r="D8409" s="10">
        <v>270</v>
      </c>
      <c r="E8409" s="10" t="s">
        <v>32</v>
      </c>
      <c r="F8409" t="s">
        <v>360</v>
      </c>
    </row>
    <row r="8410" spans="1:7" x14ac:dyDescent="0.35">
      <c r="A8410" s="2">
        <v>43242</v>
      </c>
      <c r="B8410" s="40" t="s">
        <v>102</v>
      </c>
      <c r="C8410" s="10">
        <v>66</v>
      </c>
      <c r="D8410" s="10">
        <v>310</v>
      </c>
      <c r="E8410" s="10" t="s">
        <v>159</v>
      </c>
      <c r="F8410" t="s">
        <v>360</v>
      </c>
    </row>
    <row r="8411" spans="1:7" x14ac:dyDescent="0.35">
      <c r="A8411" s="2">
        <v>43242</v>
      </c>
      <c r="B8411" s="40" t="s">
        <v>102</v>
      </c>
      <c r="C8411" s="10">
        <v>66</v>
      </c>
      <c r="D8411" s="10">
        <v>272</v>
      </c>
      <c r="E8411" s="10" t="s">
        <v>37</v>
      </c>
      <c r="F8411" t="s">
        <v>360</v>
      </c>
      <c r="G8411" t="s">
        <v>161</v>
      </c>
    </row>
    <row r="8412" spans="1:7" x14ac:dyDescent="0.35">
      <c r="A8412" s="2">
        <v>43242</v>
      </c>
      <c r="B8412" s="40" t="s">
        <v>102</v>
      </c>
      <c r="C8412" s="10">
        <v>73</v>
      </c>
      <c r="D8412" s="10">
        <v>355</v>
      </c>
      <c r="E8412" s="10" t="s">
        <v>159</v>
      </c>
      <c r="F8412" t="s">
        <v>476</v>
      </c>
    </row>
    <row r="8413" spans="1:7" x14ac:dyDescent="0.35">
      <c r="A8413" s="2">
        <v>43242</v>
      </c>
      <c r="B8413" s="40" t="s">
        <v>102</v>
      </c>
      <c r="C8413" s="10">
        <v>70</v>
      </c>
      <c r="D8413" s="10">
        <v>280</v>
      </c>
      <c r="E8413" s="10" t="s">
        <v>159</v>
      </c>
      <c r="F8413" t="s">
        <v>360</v>
      </c>
    </row>
    <row r="8414" spans="1:7" x14ac:dyDescent="0.35">
      <c r="A8414" s="2">
        <v>43242</v>
      </c>
      <c r="B8414" s="40" t="s">
        <v>102</v>
      </c>
      <c r="C8414" s="10">
        <v>66</v>
      </c>
      <c r="D8414" s="10">
        <v>282</v>
      </c>
      <c r="E8414" s="10" t="s">
        <v>37</v>
      </c>
      <c r="F8414" t="s">
        <v>646</v>
      </c>
    </row>
    <row r="8415" spans="1:7" x14ac:dyDescent="0.35">
      <c r="A8415" s="2">
        <v>43242</v>
      </c>
      <c r="B8415" s="40" t="s">
        <v>102</v>
      </c>
      <c r="C8415" s="10">
        <v>78</v>
      </c>
      <c r="D8415" s="10">
        <v>435</v>
      </c>
      <c r="E8415" s="10" t="s">
        <v>159</v>
      </c>
      <c r="F8415" t="s">
        <v>360</v>
      </c>
    </row>
    <row r="8416" spans="1:7" x14ac:dyDescent="0.35">
      <c r="A8416" s="2">
        <v>43242</v>
      </c>
      <c r="B8416" s="40" t="s">
        <v>102</v>
      </c>
      <c r="C8416" s="10">
        <v>69</v>
      </c>
      <c r="D8416" s="10">
        <v>248</v>
      </c>
      <c r="E8416" s="10" t="s">
        <v>159</v>
      </c>
      <c r="F8416" t="s">
        <v>360</v>
      </c>
    </row>
    <row r="8417" spans="1:6" x14ac:dyDescent="0.35">
      <c r="A8417" s="2">
        <v>43242</v>
      </c>
      <c r="B8417" s="40" t="s">
        <v>102</v>
      </c>
      <c r="C8417" s="10">
        <v>68</v>
      </c>
      <c r="D8417" s="10">
        <v>302</v>
      </c>
      <c r="E8417" s="10" t="s">
        <v>159</v>
      </c>
      <c r="F8417" t="s">
        <v>360</v>
      </c>
    </row>
    <row r="8418" spans="1:6" x14ac:dyDescent="0.35">
      <c r="A8418" s="2">
        <v>43242</v>
      </c>
      <c r="B8418" s="40" t="s">
        <v>102</v>
      </c>
      <c r="C8418" s="10">
        <v>63</v>
      </c>
      <c r="D8418" s="10">
        <v>203</v>
      </c>
      <c r="E8418" s="10" t="s">
        <v>159</v>
      </c>
      <c r="F8418" t="s">
        <v>360</v>
      </c>
    </row>
    <row r="8419" spans="1:6" x14ac:dyDescent="0.35">
      <c r="A8419" s="2">
        <v>43242</v>
      </c>
      <c r="B8419" s="40" t="s">
        <v>102</v>
      </c>
      <c r="C8419" s="10">
        <v>74</v>
      </c>
      <c r="D8419" s="10">
        <v>351</v>
      </c>
      <c r="E8419" s="10" t="s">
        <v>159</v>
      </c>
      <c r="F8419" t="s">
        <v>360</v>
      </c>
    </row>
    <row r="8420" spans="1:6" x14ac:dyDescent="0.35">
      <c r="A8420" s="2">
        <v>43242</v>
      </c>
      <c r="B8420" s="40" t="s">
        <v>102</v>
      </c>
      <c r="C8420" s="10">
        <v>66</v>
      </c>
      <c r="D8420" s="10">
        <v>292</v>
      </c>
      <c r="E8420" s="10" t="s">
        <v>159</v>
      </c>
      <c r="F8420" t="s">
        <v>360</v>
      </c>
    </row>
    <row r="8421" spans="1:6" x14ac:dyDescent="0.35">
      <c r="A8421" s="2">
        <v>43242</v>
      </c>
      <c r="B8421" s="40" t="s">
        <v>102</v>
      </c>
      <c r="C8421" s="10">
        <v>72</v>
      </c>
      <c r="D8421" s="10">
        <v>243</v>
      </c>
      <c r="E8421" s="10" t="s">
        <v>37</v>
      </c>
      <c r="F8421" t="s">
        <v>360</v>
      </c>
    </row>
    <row r="8422" spans="1:6" x14ac:dyDescent="0.35">
      <c r="A8422" s="2">
        <v>43242</v>
      </c>
      <c r="B8422" s="40" t="s">
        <v>102</v>
      </c>
      <c r="C8422" s="10">
        <v>75</v>
      </c>
      <c r="D8422" s="10">
        <v>331</v>
      </c>
      <c r="E8422" s="10" t="s">
        <v>159</v>
      </c>
      <c r="F8422" t="s">
        <v>360</v>
      </c>
    </row>
    <row r="8423" spans="1:6" x14ac:dyDescent="0.35">
      <c r="A8423" s="2">
        <v>43242</v>
      </c>
      <c r="B8423" s="40" t="s">
        <v>102</v>
      </c>
      <c r="C8423" s="10">
        <v>68</v>
      </c>
      <c r="D8423" s="10">
        <v>348</v>
      </c>
      <c r="E8423" s="10" t="s">
        <v>37</v>
      </c>
      <c r="F8423" t="s">
        <v>360</v>
      </c>
    </row>
    <row r="8424" spans="1:6" x14ac:dyDescent="0.35">
      <c r="A8424" s="2">
        <v>43242</v>
      </c>
      <c r="B8424" s="40" t="s">
        <v>102</v>
      </c>
      <c r="C8424" s="10">
        <v>73</v>
      </c>
      <c r="D8424" s="10">
        <v>389</v>
      </c>
      <c r="E8424" s="10" t="s">
        <v>159</v>
      </c>
      <c r="F8424" t="s">
        <v>360</v>
      </c>
    </row>
    <row r="8425" spans="1:6" x14ac:dyDescent="0.35">
      <c r="A8425" s="2">
        <v>43242</v>
      </c>
      <c r="B8425" s="40" t="s">
        <v>102</v>
      </c>
      <c r="C8425" s="10">
        <v>67</v>
      </c>
      <c r="D8425" s="10">
        <v>345</v>
      </c>
      <c r="E8425" s="10" t="s">
        <v>159</v>
      </c>
      <c r="F8425" t="s">
        <v>360</v>
      </c>
    </row>
    <row r="8426" spans="1:6" x14ac:dyDescent="0.35">
      <c r="A8426" s="2">
        <v>43242</v>
      </c>
      <c r="B8426" s="40" t="s">
        <v>102</v>
      </c>
      <c r="C8426" s="10">
        <v>66</v>
      </c>
      <c r="D8426" s="10">
        <v>217</v>
      </c>
      <c r="E8426" s="10" t="s">
        <v>37</v>
      </c>
      <c r="F8426" t="s">
        <v>360</v>
      </c>
    </row>
    <row r="8427" spans="1:6" x14ac:dyDescent="0.35">
      <c r="A8427" s="2">
        <v>43242</v>
      </c>
      <c r="B8427" s="40" t="s">
        <v>102</v>
      </c>
      <c r="C8427" s="10">
        <v>78</v>
      </c>
      <c r="D8427" s="10">
        <v>340</v>
      </c>
      <c r="E8427" s="10" t="s">
        <v>32</v>
      </c>
      <c r="F8427" t="s">
        <v>293</v>
      </c>
    </row>
    <row r="8428" spans="1:6" x14ac:dyDescent="0.35">
      <c r="A8428" s="2">
        <v>43242</v>
      </c>
      <c r="B8428" s="40" t="s">
        <v>102</v>
      </c>
      <c r="C8428" s="10">
        <v>73</v>
      </c>
      <c r="D8428" s="10">
        <v>359</v>
      </c>
      <c r="E8428" s="10" t="s">
        <v>159</v>
      </c>
      <c r="F8428" t="s">
        <v>360</v>
      </c>
    </row>
    <row r="8429" spans="1:6" x14ac:dyDescent="0.35">
      <c r="A8429" s="2">
        <v>43242</v>
      </c>
      <c r="B8429" s="40" t="s">
        <v>102</v>
      </c>
      <c r="C8429" s="10">
        <v>74</v>
      </c>
      <c r="D8429" s="10">
        <v>379</v>
      </c>
      <c r="E8429" s="10" t="s">
        <v>159</v>
      </c>
      <c r="F8429" t="s">
        <v>360</v>
      </c>
    </row>
    <row r="8430" spans="1:6" x14ac:dyDescent="0.35">
      <c r="A8430" s="2">
        <v>43242</v>
      </c>
      <c r="B8430" s="40" t="s">
        <v>102</v>
      </c>
      <c r="C8430" s="10">
        <v>61</v>
      </c>
      <c r="D8430" s="10">
        <v>180</v>
      </c>
      <c r="E8430" s="10" t="s">
        <v>32</v>
      </c>
      <c r="F8430" t="s">
        <v>360</v>
      </c>
    </row>
    <row r="8431" spans="1:6" x14ac:dyDescent="0.35">
      <c r="A8431" s="2">
        <v>43242</v>
      </c>
      <c r="B8431" s="40" t="s">
        <v>102</v>
      </c>
      <c r="C8431" s="10">
        <v>72</v>
      </c>
      <c r="D8431" s="10">
        <v>356</v>
      </c>
      <c r="E8431" s="10" t="s">
        <v>159</v>
      </c>
      <c r="F8431" t="s">
        <v>360</v>
      </c>
    </row>
    <row r="8432" spans="1:6" s="4" customFormat="1" x14ac:dyDescent="0.35">
      <c r="A8432" s="3">
        <v>43242</v>
      </c>
      <c r="B8432" s="44" t="s">
        <v>102</v>
      </c>
      <c r="C8432" s="11">
        <v>71</v>
      </c>
      <c r="D8432" s="11">
        <v>338</v>
      </c>
      <c r="E8432" s="11" t="s">
        <v>159</v>
      </c>
      <c r="F8432" s="4" t="s">
        <v>360</v>
      </c>
    </row>
    <row r="8433" spans="1:6" x14ac:dyDescent="0.35">
      <c r="A8433" s="2">
        <v>43242</v>
      </c>
      <c r="B8433" s="40" t="s">
        <v>113</v>
      </c>
      <c r="C8433" s="10">
        <v>132</v>
      </c>
      <c r="D8433" s="10">
        <v>3057</v>
      </c>
      <c r="E8433" s="10" t="s">
        <v>59</v>
      </c>
    </row>
    <row r="8434" spans="1:6" x14ac:dyDescent="0.35">
      <c r="A8434" s="2">
        <v>43242</v>
      </c>
      <c r="B8434" s="40" t="s">
        <v>113</v>
      </c>
      <c r="C8434" s="10">
        <v>123</v>
      </c>
      <c r="D8434" s="10">
        <v>2117</v>
      </c>
      <c r="E8434" s="10" t="s">
        <v>59</v>
      </c>
    </row>
    <row r="8435" spans="1:6" x14ac:dyDescent="0.35">
      <c r="A8435" s="2">
        <v>43242</v>
      </c>
      <c r="B8435" s="40" t="s">
        <v>113</v>
      </c>
      <c r="C8435" s="10">
        <v>93</v>
      </c>
      <c r="D8435" s="10">
        <v>1369</v>
      </c>
      <c r="E8435" s="10" t="s">
        <v>59</v>
      </c>
    </row>
    <row r="8436" spans="1:6" x14ac:dyDescent="0.35">
      <c r="A8436" s="2">
        <v>43242</v>
      </c>
      <c r="B8436" s="40" t="s">
        <v>113</v>
      </c>
      <c r="C8436" s="10">
        <v>117</v>
      </c>
      <c r="D8436" s="10">
        <v>2081</v>
      </c>
      <c r="E8436" s="10" t="s">
        <v>59</v>
      </c>
    </row>
    <row r="8437" spans="1:6" x14ac:dyDescent="0.35">
      <c r="A8437" s="2">
        <v>43242</v>
      </c>
      <c r="B8437" s="40" t="s">
        <v>113</v>
      </c>
      <c r="C8437" s="10">
        <v>113</v>
      </c>
      <c r="D8437" s="10">
        <v>1807</v>
      </c>
      <c r="E8437" s="10" t="s">
        <v>59</v>
      </c>
    </row>
    <row r="8438" spans="1:6" x14ac:dyDescent="0.35">
      <c r="A8438" s="2">
        <v>43242</v>
      </c>
      <c r="B8438" s="40" t="s">
        <v>113</v>
      </c>
      <c r="C8438" s="10">
        <v>117</v>
      </c>
      <c r="D8438" s="10">
        <v>2064</v>
      </c>
      <c r="E8438" s="10" t="s">
        <v>59</v>
      </c>
    </row>
    <row r="8439" spans="1:6" x14ac:dyDescent="0.35">
      <c r="A8439" s="2">
        <v>43242</v>
      </c>
      <c r="B8439" s="40" t="s">
        <v>113</v>
      </c>
      <c r="C8439" s="10">
        <v>74</v>
      </c>
      <c r="D8439" s="10">
        <v>259</v>
      </c>
      <c r="E8439" s="10" t="s">
        <v>159</v>
      </c>
      <c r="F8439" t="s">
        <v>360</v>
      </c>
    </row>
    <row r="8440" spans="1:6" x14ac:dyDescent="0.35">
      <c r="A8440" s="2">
        <v>43242</v>
      </c>
      <c r="B8440" s="40" t="s">
        <v>113</v>
      </c>
      <c r="C8440" s="10">
        <v>72</v>
      </c>
      <c r="D8440" s="10">
        <v>316</v>
      </c>
      <c r="E8440" s="10" t="s">
        <v>159</v>
      </c>
      <c r="F8440" t="s">
        <v>360</v>
      </c>
    </row>
    <row r="8441" spans="1:6" x14ac:dyDescent="0.35">
      <c r="A8441" s="2">
        <v>43242</v>
      </c>
      <c r="B8441" s="40" t="s">
        <v>113</v>
      </c>
      <c r="C8441" s="10">
        <v>68</v>
      </c>
      <c r="D8441" s="10">
        <v>360</v>
      </c>
      <c r="E8441" s="10" t="s">
        <v>159</v>
      </c>
      <c r="F8441" t="s">
        <v>360</v>
      </c>
    </row>
    <row r="8442" spans="1:6" x14ac:dyDescent="0.35">
      <c r="A8442" s="2">
        <v>43242</v>
      </c>
      <c r="B8442" s="40" t="s">
        <v>113</v>
      </c>
      <c r="C8442" s="10">
        <v>67</v>
      </c>
      <c r="D8442" s="10">
        <v>220</v>
      </c>
      <c r="E8442" s="10" t="s">
        <v>159</v>
      </c>
      <c r="F8442" t="s">
        <v>360</v>
      </c>
    </row>
    <row r="8443" spans="1:6" x14ac:dyDescent="0.35">
      <c r="A8443" s="2">
        <v>43242</v>
      </c>
      <c r="B8443" s="40" t="s">
        <v>113</v>
      </c>
      <c r="C8443" s="10">
        <v>68</v>
      </c>
      <c r="D8443" s="10">
        <v>281</v>
      </c>
      <c r="E8443" s="10" t="s">
        <v>37</v>
      </c>
      <c r="F8443" t="s">
        <v>360</v>
      </c>
    </row>
    <row r="8444" spans="1:6" x14ac:dyDescent="0.35">
      <c r="A8444" s="2">
        <v>43242</v>
      </c>
      <c r="B8444" s="40" t="s">
        <v>113</v>
      </c>
      <c r="C8444" s="10">
        <v>72</v>
      </c>
      <c r="D8444" s="10">
        <v>365</v>
      </c>
      <c r="E8444" s="10" t="s">
        <v>159</v>
      </c>
      <c r="F8444" t="s">
        <v>360</v>
      </c>
    </row>
    <row r="8445" spans="1:6" x14ac:dyDescent="0.35">
      <c r="A8445" s="2">
        <v>43242</v>
      </c>
      <c r="B8445" s="40" t="s">
        <v>113</v>
      </c>
      <c r="C8445" s="10">
        <v>73</v>
      </c>
      <c r="D8445" s="10">
        <v>270</v>
      </c>
      <c r="E8445" s="10" t="s">
        <v>159</v>
      </c>
      <c r="F8445" t="s">
        <v>360</v>
      </c>
    </row>
    <row r="8446" spans="1:6" x14ac:dyDescent="0.35">
      <c r="A8446" s="2">
        <v>43242</v>
      </c>
      <c r="B8446" s="40" t="s">
        <v>113</v>
      </c>
      <c r="C8446" s="10">
        <v>58</v>
      </c>
      <c r="D8446" s="10">
        <v>162</v>
      </c>
      <c r="E8446" s="10" t="s">
        <v>37</v>
      </c>
      <c r="F8446" t="s">
        <v>360</v>
      </c>
    </row>
    <row r="8447" spans="1:6" x14ac:dyDescent="0.35">
      <c r="A8447" s="2">
        <v>43242</v>
      </c>
      <c r="B8447" s="40" t="s">
        <v>113</v>
      </c>
      <c r="C8447" s="10">
        <v>68</v>
      </c>
      <c r="D8447" s="10">
        <v>278</v>
      </c>
      <c r="E8447" s="10" t="s">
        <v>37</v>
      </c>
      <c r="F8447" t="s">
        <v>360</v>
      </c>
    </row>
    <row r="8448" spans="1:6" x14ac:dyDescent="0.35">
      <c r="A8448" s="2">
        <v>43242</v>
      </c>
      <c r="B8448" s="40" t="s">
        <v>113</v>
      </c>
      <c r="C8448" s="10">
        <v>73</v>
      </c>
      <c r="D8448" s="10">
        <v>367</v>
      </c>
      <c r="E8448" s="10" t="s">
        <v>159</v>
      </c>
      <c r="F8448" t="s">
        <v>360</v>
      </c>
    </row>
    <row r="8449" spans="1:7" x14ac:dyDescent="0.35">
      <c r="A8449" s="2">
        <v>43242</v>
      </c>
      <c r="B8449" s="40" t="s">
        <v>113</v>
      </c>
      <c r="C8449" s="10">
        <v>72</v>
      </c>
      <c r="D8449" s="10">
        <v>376</v>
      </c>
      <c r="E8449" s="10" t="s">
        <v>159</v>
      </c>
      <c r="F8449" t="s">
        <v>360</v>
      </c>
    </row>
    <row r="8450" spans="1:7" x14ac:dyDescent="0.35">
      <c r="A8450" s="2">
        <v>43242</v>
      </c>
      <c r="B8450" s="40" t="s">
        <v>113</v>
      </c>
      <c r="C8450" s="10">
        <v>66</v>
      </c>
      <c r="D8450" s="10">
        <v>236</v>
      </c>
      <c r="E8450" s="10" t="s">
        <v>159</v>
      </c>
      <c r="F8450" t="s">
        <v>360</v>
      </c>
    </row>
    <row r="8451" spans="1:7" x14ac:dyDescent="0.35">
      <c r="A8451" s="2">
        <v>43242</v>
      </c>
      <c r="B8451" s="40" t="s">
        <v>113</v>
      </c>
      <c r="C8451" s="10">
        <v>69</v>
      </c>
      <c r="D8451" s="10">
        <v>210</v>
      </c>
      <c r="E8451" s="10" t="s">
        <v>32</v>
      </c>
      <c r="F8451" t="s">
        <v>360</v>
      </c>
      <c r="G8451" t="s">
        <v>161</v>
      </c>
    </row>
    <row r="8452" spans="1:7" x14ac:dyDescent="0.35">
      <c r="A8452" s="2">
        <v>43242</v>
      </c>
      <c r="B8452" s="40" t="s">
        <v>113</v>
      </c>
      <c r="C8452" s="10">
        <v>76</v>
      </c>
      <c r="D8452" s="10">
        <v>436</v>
      </c>
      <c r="E8452" s="10" t="s">
        <v>159</v>
      </c>
      <c r="F8452" t="s">
        <v>360</v>
      </c>
    </row>
    <row r="8453" spans="1:7" x14ac:dyDescent="0.35">
      <c r="A8453" s="2">
        <v>43242</v>
      </c>
      <c r="B8453" s="40" t="s">
        <v>113</v>
      </c>
      <c r="C8453" s="10">
        <v>71</v>
      </c>
      <c r="D8453" s="10">
        <v>287</v>
      </c>
      <c r="E8453" s="10" t="s">
        <v>37</v>
      </c>
      <c r="F8453" t="s">
        <v>360</v>
      </c>
    </row>
    <row r="8454" spans="1:7" x14ac:dyDescent="0.35">
      <c r="A8454" s="2">
        <v>43242</v>
      </c>
      <c r="B8454" s="40" t="s">
        <v>113</v>
      </c>
      <c r="C8454" s="10">
        <v>72</v>
      </c>
      <c r="D8454" s="10">
        <v>345</v>
      </c>
      <c r="E8454" s="10" t="s">
        <v>37</v>
      </c>
      <c r="F8454" t="s">
        <v>360</v>
      </c>
    </row>
    <row r="8455" spans="1:7" x14ac:dyDescent="0.35">
      <c r="A8455" s="2">
        <v>43242</v>
      </c>
      <c r="B8455" s="40" t="s">
        <v>113</v>
      </c>
      <c r="C8455" s="10">
        <v>68</v>
      </c>
      <c r="D8455" s="10">
        <v>379</v>
      </c>
      <c r="E8455" s="10" t="s">
        <v>159</v>
      </c>
      <c r="F8455" t="s">
        <v>360</v>
      </c>
    </row>
    <row r="8456" spans="1:7" x14ac:dyDescent="0.35">
      <c r="A8456" s="2">
        <v>43242</v>
      </c>
      <c r="B8456" s="40" t="s">
        <v>113</v>
      </c>
      <c r="C8456" s="10">
        <v>75</v>
      </c>
      <c r="D8456" s="10">
        <v>347</v>
      </c>
      <c r="E8456" s="10" t="s">
        <v>159</v>
      </c>
      <c r="F8456" t="s">
        <v>360</v>
      </c>
    </row>
    <row r="8457" spans="1:7" x14ac:dyDescent="0.35">
      <c r="A8457" s="2">
        <v>43242</v>
      </c>
      <c r="B8457" s="40" t="s">
        <v>113</v>
      </c>
      <c r="C8457" s="10">
        <v>63</v>
      </c>
      <c r="D8457" s="10">
        <v>206</v>
      </c>
      <c r="E8457" s="10" t="s">
        <v>159</v>
      </c>
      <c r="F8457" t="s">
        <v>360</v>
      </c>
    </row>
    <row r="8458" spans="1:7" x14ac:dyDescent="0.35">
      <c r="A8458" s="2">
        <v>43242</v>
      </c>
      <c r="B8458" s="40" t="s">
        <v>113</v>
      </c>
      <c r="C8458" s="10">
        <v>68</v>
      </c>
      <c r="D8458" s="10">
        <v>280</v>
      </c>
      <c r="E8458" s="10" t="s">
        <v>159</v>
      </c>
      <c r="F8458" t="s">
        <v>360</v>
      </c>
    </row>
    <row r="8459" spans="1:7" x14ac:dyDescent="0.35">
      <c r="A8459" s="2">
        <v>43242</v>
      </c>
      <c r="B8459" s="40" t="s">
        <v>113</v>
      </c>
      <c r="C8459" s="10">
        <v>71</v>
      </c>
      <c r="D8459" s="10">
        <v>380</v>
      </c>
      <c r="E8459" s="10" t="s">
        <v>159</v>
      </c>
      <c r="F8459" t="s">
        <v>360</v>
      </c>
    </row>
    <row r="8460" spans="1:7" x14ac:dyDescent="0.35">
      <c r="A8460" s="2">
        <v>43242</v>
      </c>
      <c r="B8460" s="40" t="s">
        <v>113</v>
      </c>
      <c r="C8460" s="10">
        <v>73</v>
      </c>
      <c r="D8460" s="10">
        <v>266</v>
      </c>
      <c r="E8460" s="10" t="s">
        <v>159</v>
      </c>
      <c r="F8460" t="s">
        <v>360</v>
      </c>
    </row>
    <row r="8461" spans="1:7" x14ac:dyDescent="0.35">
      <c r="A8461" s="2">
        <v>43242</v>
      </c>
      <c r="B8461" s="40" t="s">
        <v>113</v>
      </c>
      <c r="C8461" s="10">
        <v>74</v>
      </c>
      <c r="D8461" s="10">
        <v>365</v>
      </c>
      <c r="E8461" s="10" t="s">
        <v>37</v>
      </c>
      <c r="F8461" t="s">
        <v>198</v>
      </c>
    </row>
    <row r="8462" spans="1:7" x14ac:dyDescent="0.35">
      <c r="A8462" s="2">
        <v>43242</v>
      </c>
      <c r="B8462" s="40" t="s">
        <v>113</v>
      </c>
      <c r="C8462" s="10">
        <v>73</v>
      </c>
      <c r="D8462" s="10">
        <v>351</v>
      </c>
      <c r="E8462" s="10" t="s">
        <v>159</v>
      </c>
      <c r="F8462" t="s">
        <v>360</v>
      </c>
    </row>
    <row r="8463" spans="1:7" x14ac:dyDescent="0.35">
      <c r="A8463" s="2">
        <v>43242</v>
      </c>
      <c r="B8463" s="40" t="s">
        <v>113</v>
      </c>
      <c r="C8463" s="10">
        <v>64</v>
      </c>
      <c r="D8463" s="10">
        <v>214</v>
      </c>
      <c r="E8463" s="10" t="s">
        <v>37</v>
      </c>
      <c r="F8463" t="s">
        <v>360</v>
      </c>
    </row>
    <row r="8464" spans="1:7" x14ac:dyDescent="0.35">
      <c r="A8464" s="2">
        <v>43242</v>
      </c>
      <c r="B8464" s="40" t="s">
        <v>113</v>
      </c>
      <c r="C8464" s="10">
        <v>72</v>
      </c>
      <c r="D8464" s="10">
        <v>358</v>
      </c>
      <c r="E8464" s="10" t="s">
        <v>159</v>
      </c>
      <c r="F8464" t="s">
        <v>360</v>
      </c>
    </row>
    <row r="8465" spans="1:6" x14ac:dyDescent="0.35">
      <c r="A8465" s="2">
        <v>43242</v>
      </c>
      <c r="B8465" s="40" t="s">
        <v>113</v>
      </c>
      <c r="C8465" s="10">
        <v>68</v>
      </c>
      <c r="D8465" s="10">
        <v>270</v>
      </c>
      <c r="E8465" s="10" t="s">
        <v>159</v>
      </c>
      <c r="F8465" t="s">
        <v>360</v>
      </c>
    </row>
    <row r="8466" spans="1:6" x14ac:dyDescent="0.35">
      <c r="A8466" s="2">
        <v>43242</v>
      </c>
      <c r="B8466" s="40" t="s">
        <v>113</v>
      </c>
      <c r="C8466" s="10">
        <v>63</v>
      </c>
      <c r="D8466" s="10">
        <v>228</v>
      </c>
      <c r="E8466" s="10" t="s">
        <v>159</v>
      </c>
      <c r="F8466" t="s">
        <v>360</v>
      </c>
    </row>
    <row r="8467" spans="1:6" x14ac:dyDescent="0.35">
      <c r="A8467" s="2">
        <v>43242</v>
      </c>
      <c r="B8467" s="40" t="s">
        <v>113</v>
      </c>
      <c r="C8467" s="10">
        <v>72</v>
      </c>
      <c r="D8467" s="10">
        <v>335</v>
      </c>
      <c r="E8467" s="10" t="s">
        <v>159</v>
      </c>
      <c r="F8467" t="s">
        <v>360</v>
      </c>
    </row>
    <row r="8468" spans="1:6" x14ac:dyDescent="0.35">
      <c r="A8468" s="2">
        <v>43242</v>
      </c>
      <c r="B8468" s="40" t="s">
        <v>113</v>
      </c>
      <c r="C8468" s="10">
        <v>75</v>
      </c>
      <c r="D8468" s="10">
        <v>413</v>
      </c>
      <c r="E8468" s="10" t="s">
        <v>159</v>
      </c>
      <c r="F8468" t="s">
        <v>360</v>
      </c>
    </row>
    <row r="8469" spans="1:6" x14ac:dyDescent="0.35">
      <c r="A8469" s="2">
        <v>43242</v>
      </c>
      <c r="B8469" s="40" t="s">
        <v>113</v>
      </c>
      <c r="C8469" s="10">
        <v>72</v>
      </c>
      <c r="D8469" s="10">
        <v>409</v>
      </c>
      <c r="E8469" s="10" t="s">
        <v>159</v>
      </c>
      <c r="F8469" t="s">
        <v>360</v>
      </c>
    </row>
    <row r="8470" spans="1:6" x14ac:dyDescent="0.35">
      <c r="A8470" s="2">
        <v>43242</v>
      </c>
      <c r="B8470" s="40" t="s">
        <v>113</v>
      </c>
      <c r="C8470" s="10">
        <v>74</v>
      </c>
      <c r="D8470" s="10">
        <v>418</v>
      </c>
      <c r="E8470" s="10" t="s">
        <v>159</v>
      </c>
      <c r="F8470" t="s">
        <v>360</v>
      </c>
    </row>
    <row r="8471" spans="1:6" x14ac:dyDescent="0.35">
      <c r="A8471" s="2">
        <v>43242</v>
      </c>
      <c r="B8471" s="40" t="s">
        <v>113</v>
      </c>
      <c r="C8471" s="10">
        <v>67</v>
      </c>
      <c r="D8471" s="10">
        <v>274</v>
      </c>
      <c r="E8471" s="10" t="s">
        <v>159</v>
      </c>
      <c r="F8471" t="s">
        <v>360</v>
      </c>
    </row>
    <row r="8472" spans="1:6" x14ac:dyDescent="0.35">
      <c r="A8472" s="2">
        <v>43242</v>
      </c>
      <c r="B8472" s="40" t="s">
        <v>113</v>
      </c>
      <c r="C8472" s="10">
        <v>68</v>
      </c>
      <c r="D8472" s="10">
        <v>295</v>
      </c>
      <c r="E8472" s="10" t="s">
        <v>37</v>
      </c>
      <c r="F8472" t="s">
        <v>360</v>
      </c>
    </row>
    <row r="8473" spans="1:6" x14ac:dyDescent="0.35">
      <c r="A8473" s="2">
        <v>43242</v>
      </c>
      <c r="B8473" s="40" t="s">
        <v>113</v>
      </c>
      <c r="C8473" s="10">
        <v>72</v>
      </c>
      <c r="D8473" s="10">
        <v>395</v>
      </c>
      <c r="E8473" s="10" t="s">
        <v>159</v>
      </c>
      <c r="F8473" t="s">
        <v>360</v>
      </c>
    </row>
    <row r="8474" spans="1:6" x14ac:dyDescent="0.35">
      <c r="A8474" s="2">
        <v>43242</v>
      </c>
      <c r="B8474" s="40" t="s">
        <v>113</v>
      </c>
      <c r="C8474" s="10">
        <v>69</v>
      </c>
      <c r="D8474" s="10">
        <v>305</v>
      </c>
      <c r="E8474" s="10" t="s">
        <v>159</v>
      </c>
      <c r="F8474" t="s">
        <v>360</v>
      </c>
    </row>
    <row r="8475" spans="1:6" x14ac:dyDescent="0.35">
      <c r="A8475" s="2">
        <v>43242</v>
      </c>
      <c r="B8475" s="40" t="s">
        <v>113</v>
      </c>
      <c r="C8475" s="10">
        <v>70</v>
      </c>
      <c r="D8475" s="10">
        <v>401</v>
      </c>
      <c r="E8475" s="10" t="s">
        <v>159</v>
      </c>
      <c r="F8475" t="s">
        <v>360</v>
      </c>
    </row>
    <row r="8476" spans="1:6" x14ac:dyDescent="0.35">
      <c r="A8476" s="2">
        <v>43242</v>
      </c>
      <c r="B8476" s="40" t="s">
        <v>113</v>
      </c>
      <c r="C8476" s="10">
        <v>68</v>
      </c>
      <c r="D8476" s="10">
        <v>315</v>
      </c>
      <c r="E8476" s="10" t="s">
        <v>159</v>
      </c>
      <c r="F8476" t="s">
        <v>360</v>
      </c>
    </row>
    <row r="8477" spans="1:6" x14ac:dyDescent="0.35">
      <c r="A8477" s="2">
        <v>43242</v>
      </c>
      <c r="B8477" s="40" t="s">
        <v>113</v>
      </c>
      <c r="C8477" s="10">
        <v>68</v>
      </c>
      <c r="D8477" s="10">
        <v>300</v>
      </c>
      <c r="E8477" s="10" t="s">
        <v>159</v>
      </c>
      <c r="F8477" t="s">
        <v>360</v>
      </c>
    </row>
    <row r="8478" spans="1:6" x14ac:dyDescent="0.35">
      <c r="A8478" s="2">
        <v>43242</v>
      </c>
      <c r="B8478" s="40" t="s">
        <v>113</v>
      </c>
      <c r="C8478" s="10">
        <v>72</v>
      </c>
      <c r="D8478" s="10">
        <v>302</v>
      </c>
      <c r="E8478" s="10" t="s">
        <v>159</v>
      </c>
      <c r="F8478" t="s">
        <v>360</v>
      </c>
    </row>
    <row r="8479" spans="1:6" x14ac:dyDescent="0.35">
      <c r="A8479" s="2">
        <v>43242</v>
      </c>
      <c r="B8479" s="40" t="s">
        <v>113</v>
      </c>
      <c r="C8479" s="10">
        <v>76</v>
      </c>
      <c r="D8479" s="10">
        <v>360</v>
      </c>
      <c r="E8479" s="10" t="s">
        <v>159</v>
      </c>
      <c r="F8479" t="s">
        <v>360</v>
      </c>
    </row>
    <row r="8480" spans="1:6" x14ac:dyDescent="0.35">
      <c r="A8480" s="2">
        <v>43242</v>
      </c>
      <c r="B8480" s="40" t="s">
        <v>113</v>
      </c>
      <c r="C8480" s="10">
        <v>74</v>
      </c>
      <c r="D8480" s="10">
        <v>231</v>
      </c>
      <c r="E8480" s="10" t="s">
        <v>37</v>
      </c>
      <c r="F8480" t="s">
        <v>360</v>
      </c>
    </row>
    <row r="8481" spans="1:24" x14ac:dyDescent="0.35">
      <c r="A8481" s="2">
        <v>43242</v>
      </c>
      <c r="B8481" s="40" t="s">
        <v>113</v>
      </c>
      <c r="C8481" s="10">
        <v>68</v>
      </c>
      <c r="D8481" s="10">
        <v>394</v>
      </c>
      <c r="E8481" s="10" t="s">
        <v>159</v>
      </c>
      <c r="F8481" t="s">
        <v>360</v>
      </c>
    </row>
    <row r="8482" spans="1:24" x14ac:dyDescent="0.35">
      <c r="A8482" s="2">
        <v>43242</v>
      </c>
      <c r="B8482" s="40" t="s">
        <v>113</v>
      </c>
      <c r="C8482" s="10">
        <v>70</v>
      </c>
      <c r="D8482" s="10">
        <v>320</v>
      </c>
      <c r="E8482" s="10" t="s">
        <v>159</v>
      </c>
      <c r="F8482" t="s">
        <v>360</v>
      </c>
    </row>
    <row r="8483" spans="1:24" x14ac:dyDescent="0.35">
      <c r="A8483" s="2">
        <v>43242</v>
      </c>
      <c r="B8483" s="40" t="s">
        <v>113</v>
      </c>
      <c r="C8483" s="10">
        <v>72</v>
      </c>
      <c r="D8483" s="10">
        <v>339</v>
      </c>
      <c r="E8483" s="10" t="s">
        <v>32</v>
      </c>
      <c r="F8483" t="s">
        <v>198</v>
      </c>
    </row>
    <row r="8484" spans="1:24" x14ac:dyDescent="0.35">
      <c r="A8484" s="2">
        <v>43242</v>
      </c>
      <c r="B8484" s="40" t="s">
        <v>113</v>
      </c>
      <c r="C8484" s="10">
        <v>69</v>
      </c>
      <c r="D8484" s="10">
        <v>323</v>
      </c>
      <c r="E8484" s="10" t="s">
        <v>159</v>
      </c>
      <c r="F8484" t="s">
        <v>360</v>
      </c>
    </row>
    <row r="8485" spans="1:24" x14ac:dyDescent="0.35">
      <c r="A8485" s="2">
        <v>43242</v>
      </c>
      <c r="B8485" s="40" t="s">
        <v>113</v>
      </c>
      <c r="C8485" s="10">
        <v>68</v>
      </c>
      <c r="D8485" s="10">
        <v>251</v>
      </c>
      <c r="E8485" s="10" t="s">
        <v>32</v>
      </c>
      <c r="F8485" t="s">
        <v>360</v>
      </c>
      <c r="G8485" t="s">
        <v>161</v>
      </c>
    </row>
    <row r="8486" spans="1:24" x14ac:dyDescent="0.35">
      <c r="A8486" s="2">
        <v>43242</v>
      </c>
      <c r="B8486" s="40" t="s">
        <v>113</v>
      </c>
      <c r="C8486" s="10">
        <v>65</v>
      </c>
      <c r="D8486" s="10">
        <v>249</v>
      </c>
      <c r="E8486" s="10" t="s">
        <v>37</v>
      </c>
      <c r="F8486" t="s">
        <v>360</v>
      </c>
      <c r="N8486" t="s">
        <v>42</v>
      </c>
      <c r="O8486" t="s">
        <v>39</v>
      </c>
      <c r="P8486" t="s">
        <v>40</v>
      </c>
      <c r="Q8486" t="s">
        <v>36</v>
      </c>
      <c r="R8486" t="s">
        <v>33</v>
      </c>
      <c r="S8486" t="s">
        <v>34</v>
      </c>
      <c r="T8486" t="s">
        <v>32</v>
      </c>
      <c r="U8486" t="s">
        <v>37</v>
      </c>
      <c r="V8486" t="s">
        <v>159</v>
      </c>
    </row>
    <row r="8487" spans="1:24" x14ac:dyDescent="0.35">
      <c r="A8487" s="2">
        <v>43242</v>
      </c>
      <c r="B8487" s="40" t="s">
        <v>113</v>
      </c>
      <c r="C8487" s="10">
        <v>68</v>
      </c>
      <c r="D8487" s="10">
        <v>329</v>
      </c>
      <c r="E8487" s="10" t="s">
        <v>159</v>
      </c>
      <c r="F8487" t="s">
        <v>360</v>
      </c>
      <c r="N8487" s="5">
        <f>COUNTIF(E8164:E8488,"VA")</f>
        <v>0</v>
      </c>
      <c r="O8487" s="5">
        <f>COUNTIF(E8167:E8488,"VB")</f>
        <v>0</v>
      </c>
      <c r="P8487" s="5">
        <f>COUNTIF(E8167:E8488,"VIA0")</f>
        <v>0</v>
      </c>
      <c r="Q8487" s="5">
        <f>COUNTIF(E8167:E8488,"VIA1")</f>
        <v>0</v>
      </c>
      <c r="R8487" s="5">
        <f>COUNTIF(E8167:E8488,"VIA2")</f>
        <v>1</v>
      </c>
      <c r="S8487" s="5">
        <f>COUNTIF(E8168:E8488,"VIA3")</f>
        <v>2</v>
      </c>
      <c r="T8487" s="5">
        <f>COUNTIF(E8168:E8488,"VIA4")</f>
        <v>35</v>
      </c>
      <c r="U8487" s="5">
        <f>COUNTIF(E8168:E8488,"VIB")</f>
        <v>83</v>
      </c>
      <c r="V8487" s="5">
        <f>COUNTIF(E8168:E8488,"VII")</f>
        <v>183</v>
      </c>
      <c r="W8487">
        <f>AVERAGE(C8439:C8488,C8383:C8432,C8330:C8379,C8277:C8326,C8168:C8271)</f>
        <v>70.424342105263165</v>
      </c>
      <c r="X8487">
        <f>AVERAGE(D8439:D8488,D8383:D8432,D8330:D8379,D8277:D8326,D8168:D8271)</f>
        <v>308.76973684210526</v>
      </c>
    </row>
    <row r="8488" spans="1:24" s="4" customFormat="1" x14ac:dyDescent="0.35">
      <c r="A8488" s="3">
        <v>43242</v>
      </c>
      <c r="B8488" s="44" t="s">
        <v>113</v>
      </c>
      <c r="C8488" s="11">
        <v>69</v>
      </c>
      <c r="D8488" s="11">
        <v>297</v>
      </c>
      <c r="E8488" s="11" t="s">
        <v>159</v>
      </c>
      <c r="F8488" s="4" t="s">
        <v>360</v>
      </c>
      <c r="N8488" s="6">
        <f>N8487/304*100</f>
        <v>0</v>
      </c>
      <c r="O8488" s="6">
        <f t="shared" ref="O8488:V8488" si="282">O8487/304*100</f>
        <v>0</v>
      </c>
      <c r="P8488" s="6">
        <f t="shared" si="282"/>
        <v>0</v>
      </c>
      <c r="Q8488" s="6">
        <f t="shared" si="282"/>
        <v>0</v>
      </c>
      <c r="R8488" s="6">
        <f t="shared" si="282"/>
        <v>0.3289473684210526</v>
      </c>
      <c r="S8488" s="6">
        <f t="shared" si="282"/>
        <v>0.6578947368421052</v>
      </c>
      <c r="T8488" s="6">
        <f t="shared" si="282"/>
        <v>11.513157894736842</v>
      </c>
      <c r="U8488" s="6">
        <f t="shared" si="282"/>
        <v>27.302631578947366</v>
      </c>
      <c r="V8488" s="6">
        <f t="shared" si="282"/>
        <v>60.19736842105263</v>
      </c>
    </row>
    <row r="8489" spans="1:24" x14ac:dyDescent="0.35">
      <c r="A8489" s="2">
        <v>43242</v>
      </c>
      <c r="B8489" s="40" t="s">
        <v>114</v>
      </c>
      <c r="C8489" s="10">
        <v>83</v>
      </c>
      <c r="D8489" s="10">
        <v>814</v>
      </c>
      <c r="E8489" s="10" t="s">
        <v>59</v>
      </c>
    </row>
    <row r="8490" spans="1:24" x14ac:dyDescent="0.35">
      <c r="A8490" s="2">
        <v>43242</v>
      </c>
      <c r="B8490" s="40" t="s">
        <v>114</v>
      </c>
      <c r="C8490" s="10">
        <v>152</v>
      </c>
      <c r="D8490" s="10">
        <v>4497</v>
      </c>
      <c r="E8490" s="10" t="s">
        <v>59</v>
      </c>
    </row>
    <row r="8491" spans="1:24" x14ac:dyDescent="0.35">
      <c r="A8491" s="2">
        <v>43242</v>
      </c>
      <c r="B8491" s="40" t="s">
        <v>114</v>
      </c>
      <c r="C8491" s="10">
        <v>173</v>
      </c>
      <c r="D8491" s="10">
        <v>9293</v>
      </c>
      <c r="E8491" s="10" t="s">
        <v>59</v>
      </c>
    </row>
    <row r="8492" spans="1:24" x14ac:dyDescent="0.35">
      <c r="A8492" s="2">
        <v>43242</v>
      </c>
      <c r="B8492" s="40" t="s">
        <v>114</v>
      </c>
      <c r="C8492" s="10">
        <v>117</v>
      </c>
      <c r="D8492" s="10">
        <v>2133</v>
      </c>
      <c r="E8492" s="10" t="s">
        <v>59</v>
      </c>
    </row>
    <row r="8493" spans="1:24" x14ac:dyDescent="0.35">
      <c r="A8493" s="2">
        <v>43242</v>
      </c>
      <c r="B8493" s="40" t="s">
        <v>114</v>
      </c>
      <c r="C8493" s="10">
        <v>68</v>
      </c>
      <c r="D8493" s="10">
        <v>239</v>
      </c>
      <c r="E8493" s="10" t="s">
        <v>32</v>
      </c>
      <c r="F8493" t="s">
        <v>360</v>
      </c>
    </row>
    <row r="8494" spans="1:24" x14ac:dyDescent="0.35">
      <c r="A8494" s="2">
        <v>43242</v>
      </c>
      <c r="B8494" s="40" t="s">
        <v>114</v>
      </c>
      <c r="C8494" s="10">
        <v>72</v>
      </c>
      <c r="D8494" s="10">
        <v>353</v>
      </c>
      <c r="E8494" s="10" t="s">
        <v>37</v>
      </c>
      <c r="F8494" t="s">
        <v>360</v>
      </c>
      <c r="G8494" t="s">
        <v>161</v>
      </c>
    </row>
    <row r="8495" spans="1:24" x14ac:dyDescent="0.35">
      <c r="A8495" s="2">
        <v>43242</v>
      </c>
      <c r="B8495" s="40" t="s">
        <v>114</v>
      </c>
      <c r="C8495" s="10">
        <v>73</v>
      </c>
      <c r="D8495" s="10">
        <v>356</v>
      </c>
      <c r="E8495" s="10" t="s">
        <v>159</v>
      </c>
      <c r="F8495" t="s">
        <v>360</v>
      </c>
    </row>
    <row r="8496" spans="1:24" x14ac:dyDescent="0.35">
      <c r="A8496" s="2">
        <v>43242</v>
      </c>
      <c r="B8496" s="40" t="s">
        <v>114</v>
      </c>
      <c r="C8496" s="10">
        <v>68</v>
      </c>
      <c r="D8496" s="10">
        <v>367</v>
      </c>
      <c r="E8496" s="10" t="s">
        <v>159</v>
      </c>
      <c r="F8496" t="s">
        <v>360</v>
      </c>
    </row>
    <row r="8497" spans="1:13" x14ac:dyDescent="0.35">
      <c r="A8497" s="2">
        <v>43242</v>
      </c>
      <c r="B8497" s="40" t="s">
        <v>114</v>
      </c>
      <c r="C8497" s="10">
        <v>74</v>
      </c>
      <c r="D8497" s="10">
        <v>504</v>
      </c>
      <c r="E8497" s="10" t="s">
        <v>159</v>
      </c>
      <c r="F8497" t="s">
        <v>360</v>
      </c>
    </row>
    <row r="8498" spans="1:13" x14ac:dyDescent="0.35">
      <c r="A8498" s="2">
        <v>43242</v>
      </c>
      <c r="B8498" s="40" t="s">
        <v>114</v>
      </c>
      <c r="C8498" s="10">
        <v>71</v>
      </c>
      <c r="D8498" s="10">
        <v>301</v>
      </c>
      <c r="E8498" s="10" t="s">
        <v>159</v>
      </c>
      <c r="F8498" t="s">
        <v>360</v>
      </c>
    </row>
    <row r="8499" spans="1:13" x14ac:dyDescent="0.35">
      <c r="A8499" s="2">
        <v>43242</v>
      </c>
      <c r="B8499" s="40" t="s">
        <v>114</v>
      </c>
      <c r="C8499" s="10">
        <v>78</v>
      </c>
      <c r="D8499" s="10">
        <v>541</v>
      </c>
      <c r="E8499" s="10" t="s">
        <v>159</v>
      </c>
      <c r="F8499" t="s">
        <v>360</v>
      </c>
    </row>
    <row r="8500" spans="1:13" x14ac:dyDescent="0.35">
      <c r="A8500" s="2">
        <v>43242</v>
      </c>
      <c r="B8500" s="40" t="s">
        <v>114</v>
      </c>
      <c r="C8500" s="10">
        <v>67</v>
      </c>
      <c r="D8500" s="10">
        <v>340</v>
      </c>
      <c r="E8500" s="10" t="s">
        <v>159</v>
      </c>
      <c r="F8500" t="s">
        <v>360</v>
      </c>
    </row>
    <row r="8501" spans="1:13" x14ac:dyDescent="0.35">
      <c r="A8501" s="2">
        <v>43242</v>
      </c>
      <c r="B8501" s="40" t="s">
        <v>114</v>
      </c>
      <c r="C8501" s="55">
        <v>80</v>
      </c>
      <c r="D8501" s="55">
        <v>581</v>
      </c>
      <c r="E8501" s="55" t="s">
        <v>159</v>
      </c>
      <c r="F8501" t="s">
        <v>783</v>
      </c>
    </row>
    <row r="8502" spans="1:13" x14ac:dyDescent="0.35">
      <c r="A8502" s="2">
        <v>43242</v>
      </c>
      <c r="B8502" s="40" t="s">
        <v>114</v>
      </c>
      <c r="C8502" s="10">
        <v>76</v>
      </c>
      <c r="D8502" s="10">
        <v>459</v>
      </c>
      <c r="E8502" s="10" t="s">
        <v>159</v>
      </c>
      <c r="F8502" t="s">
        <v>783</v>
      </c>
    </row>
    <row r="8503" spans="1:13" x14ac:dyDescent="0.35">
      <c r="A8503" s="2">
        <v>43242</v>
      </c>
      <c r="B8503" s="40" t="s">
        <v>114</v>
      </c>
      <c r="C8503" s="10">
        <v>75</v>
      </c>
      <c r="D8503" s="10">
        <v>593</v>
      </c>
      <c r="E8503" s="10" t="s">
        <v>159</v>
      </c>
      <c r="F8503" t="s">
        <v>783</v>
      </c>
    </row>
    <row r="8504" spans="1:13" s="4" customFormat="1" x14ac:dyDescent="0.35">
      <c r="A8504" s="3">
        <v>43242</v>
      </c>
      <c r="B8504" s="44" t="s">
        <v>114</v>
      </c>
      <c r="C8504" s="11">
        <v>74</v>
      </c>
      <c r="D8504" s="11">
        <v>362</v>
      </c>
      <c r="E8504" s="11" t="s">
        <v>159</v>
      </c>
      <c r="F8504" s="4" t="s">
        <v>360</v>
      </c>
    </row>
    <row r="8505" spans="1:13" x14ac:dyDescent="0.35">
      <c r="A8505" s="2">
        <v>43248</v>
      </c>
      <c r="B8505" s="36" t="s">
        <v>38</v>
      </c>
      <c r="C8505" s="10">
        <v>72</v>
      </c>
      <c r="D8505" s="10">
        <v>227</v>
      </c>
      <c r="E8505" s="10" t="s">
        <v>159</v>
      </c>
      <c r="F8505" s="10" t="s">
        <v>360</v>
      </c>
      <c r="M8505">
        <f>COUNTIF(F8505:F8606,"F0")</f>
        <v>0</v>
      </c>
    </row>
    <row r="8506" spans="1:13" x14ac:dyDescent="0.35">
      <c r="A8506" s="2">
        <v>43248</v>
      </c>
      <c r="B8506" s="36" t="s">
        <v>38</v>
      </c>
      <c r="C8506" s="10">
        <v>69</v>
      </c>
      <c r="D8506" s="10">
        <v>244</v>
      </c>
      <c r="E8506" s="10" t="s">
        <v>32</v>
      </c>
      <c r="F8506" s="10" t="s">
        <v>646</v>
      </c>
    </row>
    <row r="8507" spans="1:13" x14ac:dyDescent="0.35">
      <c r="A8507" s="2">
        <v>43248</v>
      </c>
      <c r="B8507" s="36" t="s">
        <v>38</v>
      </c>
      <c r="C8507" s="10">
        <v>75</v>
      </c>
      <c r="D8507" s="10">
        <v>248</v>
      </c>
      <c r="E8507" s="10" t="s">
        <v>159</v>
      </c>
      <c r="F8507" s="10" t="s">
        <v>360</v>
      </c>
    </row>
    <row r="8508" spans="1:13" x14ac:dyDescent="0.35">
      <c r="A8508" s="2">
        <v>43248</v>
      </c>
      <c r="B8508" s="36" t="s">
        <v>38</v>
      </c>
      <c r="C8508" s="10">
        <v>72</v>
      </c>
      <c r="D8508" s="10">
        <v>353</v>
      </c>
      <c r="E8508" s="10" t="s">
        <v>159</v>
      </c>
      <c r="F8508" s="10" t="s">
        <v>783</v>
      </c>
    </row>
    <row r="8509" spans="1:13" x14ac:dyDescent="0.35">
      <c r="A8509" s="2">
        <v>43248</v>
      </c>
      <c r="B8509" s="36" t="s">
        <v>38</v>
      </c>
      <c r="C8509" s="10">
        <v>76</v>
      </c>
      <c r="D8509" s="10">
        <v>315</v>
      </c>
      <c r="E8509" s="10" t="s">
        <v>159</v>
      </c>
      <c r="F8509" s="10" t="s">
        <v>360</v>
      </c>
    </row>
    <row r="8510" spans="1:13" x14ac:dyDescent="0.35">
      <c r="A8510" s="2">
        <v>43248</v>
      </c>
      <c r="B8510" s="36" t="s">
        <v>38</v>
      </c>
      <c r="C8510" s="10">
        <v>71</v>
      </c>
      <c r="D8510" s="10">
        <v>326</v>
      </c>
      <c r="E8510" s="10" t="s">
        <v>159</v>
      </c>
      <c r="F8510" s="10" t="s">
        <v>360</v>
      </c>
    </row>
    <row r="8511" spans="1:13" x14ac:dyDescent="0.35">
      <c r="A8511" s="2">
        <v>43248</v>
      </c>
      <c r="B8511" s="36" t="s">
        <v>38</v>
      </c>
      <c r="C8511" s="10">
        <v>71</v>
      </c>
      <c r="D8511" s="10">
        <v>262</v>
      </c>
      <c r="E8511" s="10" t="s">
        <v>159</v>
      </c>
      <c r="F8511" s="10" t="s">
        <v>360</v>
      </c>
    </row>
    <row r="8512" spans="1:13" x14ac:dyDescent="0.35">
      <c r="A8512" s="2">
        <v>43248</v>
      </c>
      <c r="B8512" s="36" t="s">
        <v>38</v>
      </c>
      <c r="C8512" s="10">
        <v>65</v>
      </c>
      <c r="D8512" s="10">
        <v>186</v>
      </c>
      <c r="E8512" s="10" t="s">
        <v>159</v>
      </c>
      <c r="F8512" s="10" t="s">
        <v>360</v>
      </c>
    </row>
    <row r="8513" spans="1:7" x14ac:dyDescent="0.35">
      <c r="A8513" s="2">
        <v>43248</v>
      </c>
      <c r="B8513" s="36" t="s">
        <v>38</v>
      </c>
      <c r="C8513" s="10">
        <v>78</v>
      </c>
      <c r="D8513" s="10">
        <v>283</v>
      </c>
      <c r="E8513" s="10" t="s">
        <v>159</v>
      </c>
      <c r="F8513" s="10" t="s">
        <v>198</v>
      </c>
    </row>
    <row r="8514" spans="1:7" x14ac:dyDescent="0.35">
      <c r="A8514" s="2">
        <v>43248</v>
      </c>
      <c r="B8514" s="36" t="s">
        <v>38</v>
      </c>
      <c r="C8514" s="10">
        <v>71</v>
      </c>
      <c r="D8514" s="10">
        <v>281</v>
      </c>
      <c r="E8514" s="10" t="s">
        <v>159</v>
      </c>
      <c r="F8514" s="10" t="s">
        <v>360</v>
      </c>
    </row>
    <row r="8515" spans="1:7" x14ac:dyDescent="0.35">
      <c r="A8515" s="2">
        <v>43248</v>
      </c>
      <c r="B8515" s="36" t="s">
        <v>38</v>
      </c>
      <c r="C8515" s="10">
        <v>72</v>
      </c>
      <c r="D8515" s="10">
        <v>204</v>
      </c>
      <c r="E8515" s="10" t="s">
        <v>32</v>
      </c>
      <c r="F8515" s="10" t="s">
        <v>198</v>
      </c>
    </row>
    <row r="8516" spans="1:7" x14ac:dyDescent="0.35">
      <c r="A8516" s="2">
        <v>43248</v>
      </c>
      <c r="B8516" s="36" t="s">
        <v>38</v>
      </c>
      <c r="C8516" s="10">
        <v>66</v>
      </c>
      <c r="D8516" s="10">
        <v>166</v>
      </c>
      <c r="E8516" s="10" t="s">
        <v>32</v>
      </c>
      <c r="F8516" s="10" t="s">
        <v>198</v>
      </c>
    </row>
    <row r="8517" spans="1:7" x14ac:dyDescent="0.35">
      <c r="A8517" s="2">
        <v>43248</v>
      </c>
      <c r="B8517" s="36" t="s">
        <v>38</v>
      </c>
      <c r="C8517" s="10">
        <v>70</v>
      </c>
      <c r="D8517" s="10">
        <v>199</v>
      </c>
      <c r="E8517" s="10" t="s">
        <v>32</v>
      </c>
      <c r="F8517" s="10" t="s">
        <v>360</v>
      </c>
    </row>
    <row r="8518" spans="1:7" x14ac:dyDescent="0.35">
      <c r="A8518" s="2">
        <v>43248</v>
      </c>
      <c r="B8518" s="36" t="s">
        <v>38</v>
      </c>
      <c r="C8518" s="10">
        <v>67</v>
      </c>
      <c r="D8518" s="10">
        <v>233</v>
      </c>
      <c r="E8518" s="10" t="s">
        <v>159</v>
      </c>
      <c r="F8518" s="10" t="s">
        <v>360</v>
      </c>
      <c r="G8518" s="10"/>
    </row>
    <row r="8519" spans="1:7" x14ac:dyDescent="0.35">
      <c r="A8519" s="2">
        <v>43248</v>
      </c>
      <c r="B8519" s="36" t="s">
        <v>38</v>
      </c>
      <c r="C8519" s="10">
        <v>70</v>
      </c>
      <c r="D8519" s="10">
        <v>205</v>
      </c>
      <c r="E8519" s="10" t="s">
        <v>37</v>
      </c>
      <c r="F8519" s="10" t="s">
        <v>360</v>
      </c>
      <c r="G8519" s="10" t="s">
        <v>161</v>
      </c>
    </row>
    <row r="8520" spans="1:7" x14ac:dyDescent="0.35">
      <c r="A8520" s="2">
        <v>43248</v>
      </c>
      <c r="B8520" s="36" t="s">
        <v>38</v>
      </c>
      <c r="C8520" s="10">
        <v>72</v>
      </c>
      <c r="D8520" s="10">
        <v>221</v>
      </c>
      <c r="E8520" s="10" t="s">
        <v>32</v>
      </c>
      <c r="F8520" s="10" t="s">
        <v>293</v>
      </c>
    </row>
    <row r="8521" spans="1:7" x14ac:dyDescent="0.35">
      <c r="A8521" s="2">
        <v>43248</v>
      </c>
      <c r="B8521" s="36" t="s">
        <v>38</v>
      </c>
      <c r="C8521" s="10">
        <v>76</v>
      </c>
      <c r="D8521" s="10">
        <v>405</v>
      </c>
      <c r="E8521" s="10" t="s">
        <v>159</v>
      </c>
      <c r="F8521" s="10" t="s">
        <v>783</v>
      </c>
    </row>
    <row r="8522" spans="1:7" x14ac:dyDescent="0.35">
      <c r="A8522" s="2">
        <v>43248</v>
      </c>
      <c r="B8522" s="36" t="s">
        <v>38</v>
      </c>
      <c r="C8522" s="10">
        <v>70</v>
      </c>
      <c r="D8522" s="10">
        <v>256</v>
      </c>
      <c r="E8522" s="10" t="s">
        <v>159</v>
      </c>
      <c r="F8522" s="10" t="s">
        <v>360</v>
      </c>
    </row>
    <row r="8523" spans="1:7" x14ac:dyDescent="0.35">
      <c r="A8523" s="2">
        <v>43248</v>
      </c>
      <c r="B8523" s="36" t="s">
        <v>38</v>
      </c>
      <c r="C8523" s="10">
        <v>70</v>
      </c>
      <c r="D8523" s="10">
        <v>217</v>
      </c>
      <c r="E8523" s="10" t="s">
        <v>32</v>
      </c>
      <c r="F8523" s="10" t="s">
        <v>646</v>
      </c>
      <c r="G8523" s="10" t="s">
        <v>682</v>
      </c>
    </row>
    <row r="8524" spans="1:7" x14ac:dyDescent="0.35">
      <c r="A8524" s="2">
        <v>43248</v>
      </c>
      <c r="B8524" s="36" t="s">
        <v>38</v>
      </c>
      <c r="C8524" s="10">
        <v>71</v>
      </c>
      <c r="D8524" s="10">
        <v>321</v>
      </c>
      <c r="E8524" s="10" t="s">
        <v>159</v>
      </c>
      <c r="F8524" s="10" t="s">
        <v>360</v>
      </c>
    </row>
    <row r="8525" spans="1:7" x14ac:dyDescent="0.35">
      <c r="A8525" s="2">
        <v>43248</v>
      </c>
      <c r="B8525" s="36" t="s">
        <v>38</v>
      </c>
      <c r="C8525" s="10">
        <v>75</v>
      </c>
      <c r="D8525" s="10">
        <v>161</v>
      </c>
      <c r="E8525" s="10" t="s">
        <v>32</v>
      </c>
      <c r="F8525" s="10" t="s">
        <v>198</v>
      </c>
      <c r="G8525" s="10" t="s">
        <v>161</v>
      </c>
    </row>
    <row r="8526" spans="1:7" x14ac:dyDescent="0.35">
      <c r="A8526" s="2">
        <v>43248</v>
      </c>
      <c r="B8526" s="36" t="s">
        <v>38</v>
      </c>
      <c r="C8526" s="10">
        <v>69</v>
      </c>
      <c r="D8526" s="10">
        <v>218</v>
      </c>
      <c r="E8526" s="10" t="s">
        <v>32</v>
      </c>
      <c r="F8526" s="10" t="s">
        <v>198</v>
      </c>
      <c r="G8526" s="10" t="s">
        <v>161</v>
      </c>
    </row>
    <row r="8527" spans="1:7" x14ac:dyDescent="0.35">
      <c r="A8527" s="2">
        <v>43248</v>
      </c>
      <c r="B8527" s="36" t="s">
        <v>38</v>
      </c>
      <c r="C8527" s="10">
        <v>62</v>
      </c>
      <c r="D8527" s="10">
        <v>187</v>
      </c>
      <c r="E8527" s="10" t="s">
        <v>159</v>
      </c>
      <c r="F8527" s="10" t="s">
        <v>360</v>
      </c>
    </row>
    <row r="8528" spans="1:7" x14ac:dyDescent="0.35">
      <c r="A8528" s="2">
        <v>43248</v>
      </c>
      <c r="B8528" s="36" t="s">
        <v>38</v>
      </c>
      <c r="C8528" s="10">
        <v>71</v>
      </c>
      <c r="D8528" s="10">
        <v>238</v>
      </c>
      <c r="E8528" s="10" t="s">
        <v>32</v>
      </c>
      <c r="F8528" s="10" t="s">
        <v>293</v>
      </c>
      <c r="G8528" s="10" t="s">
        <v>161</v>
      </c>
    </row>
    <row r="8529" spans="1:7" x14ac:dyDescent="0.35">
      <c r="A8529" s="2">
        <v>43248</v>
      </c>
      <c r="B8529" s="36" t="s">
        <v>38</v>
      </c>
      <c r="C8529" s="10">
        <v>72</v>
      </c>
      <c r="D8529" s="10">
        <v>240</v>
      </c>
      <c r="E8529" s="10" t="s">
        <v>159</v>
      </c>
      <c r="F8529" s="10" t="s">
        <v>360</v>
      </c>
    </row>
    <row r="8530" spans="1:7" x14ac:dyDescent="0.35">
      <c r="A8530" s="2">
        <v>43248</v>
      </c>
      <c r="B8530" s="36" t="s">
        <v>38</v>
      </c>
      <c r="C8530" s="10">
        <v>69</v>
      </c>
      <c r="D8530" s="10">
        <v>117</v>
      </c>
      <c r="E8530" s="10" t="s">
        <v>37</v>
      </c>
      <c r="F8530" s="10" t="s">
        <v>198</v>
      </c>
      <c r="G8530" s="10" t="s">
        <v>161</v>
      </c>
    </row>
    <row r="8531" spans="1:7" x14ac:dyDescent="0.35">
      <c r="A8531" s="2">
        <v>43248</v>
      </c>
      <c r="B8531" s="36" t="s">
        <v>38</v>
      </c>
      <c r="C8531" s="10">
        <v>67</v>
      </c>
      <c r="D8531" s="10">
        <v>218</v>
      </c>
      <c r="E8531" s="10" t="s">
        <v>37</v>
      </c>
      <c r="F8531" s="10" t="s">
        <v>198</v>
      </c>
      <c r="G8531" s="10" t="s">
        <v>161</v>
      </c>
    </row>
    <row r="8532" spans="1:7" x14ac:dyDescent="0.35">
      <c r="A8532" s="2">
        <v>43248</v>
      </c>
      <c r="B8532" s="36" t="s">
        <v>38</v>
      </c>
      <c r="C8532" s="10">
        <v>64</v>
      </c>
      <c r="D8532" s="10">
        <v>182</v>
      </c>
      <c r="E8532" s="10" t="s">
        <v>32</v>
      </c>
      <c r="F8532" s="10" t="s">
        <v>360</v>
      </c>
    </row>
    <row r="8533" spans="1:7" x14ac:dyDescent="0.35">
      <c r="A8533" s="2">
        <v>43248</v>
      </c>
      <c r="B8533" s="36" t="s">
        <v>38</v>
      </c>
      <c r="C8533" s="10">
        <v>74</v>
      </c>
      <c r="D8533" s="10">
        <v>175</v>
      </c>
      <c r="E8533" s="10" t="s">
        <v>32</v>
      </c>
      <c r="F8533" s="10" t="s">
        <v>293</v>
      </c>
    </row>
    <row r="8534" spans="1:7" x14ac:dyDescent="0.35">
      <c r="A8534" s="2">
        <v>43248</v>
      </c>
      <c r="B8534" s="36" t="s">
        <v>38</v>
      </c>
      <c r="C8534" s="10">
        <v>76</v>
      </c>
      <c r="D8534" s="10">
        <v>332</v>
      </c>
      <c r="E8534" s="10" t="s">
        <v>159</v>
      </c>
      <c r="F8534" s="10" t="s">
        <v>783</v>
      </c>
    </row>
    <row r="8535" spans="1:7" x14ac:dyDescent="0.35">
      <c r="A8535" s="2">
        <v>43248</v>
      </c>
      <c r="B8535" s="36" t="s">
        <v>38</v>
      </c>
      <c r="C8535" s="10">
        <v>73</v>
      </c>
      <c r="D8535" s="10">
        <v>219</v>
      </c>
      <c r="E8535" s="10" t="s">
        <v>32</v>
      </c>
      <c r="F8535" s="10" t="s">
        <v>293</v>
      </c>
      <c r="G8535" s="10" t="s">
        <v>161</v>
      </c>
    </row>
    <row r="8536" spans="1:7" x14ac:dyDescent="0.35">
      <c r="A8536" s="2">
        <v>43248</v>
      </c>
      <c r="B8536" s="36" t="s">
        <v>38</v>
      </c>
      <c r="C8536" s="10">
        <v>70</v>
      </c>
      <c r="D8536" s="10">
        <v>217</v>
      </c>
      <c r="E8536" s="10" t="s">
        <v>159</v>
      </c>
      <c r="F8536" s="10" t="s">
        <v>360</v>
      </c>
    </row>
    <row r="8537" spans="1:7" x14ac:dyDescent="0.35">
      <c r="A8537" s="2">
        <v>43248</v>
      </c>
      <c r="B8537" s="36" t="s">
        <v>38</v>
      </c>
      <c r="C8537" s="10">
        <v>69</v>
      </c>
      <c r="D8537" s="10">
        <v>221</v>
      </c>
      <c r="E8537" s="10" t="s">
        <v>32</v>
      </c>
      <c r="F8537" s="10" t="s">
        <v>360</v>
      </c>
      <c r="G8537" s="10" t="s">
        <v>161</v>
      </c>
    </row>
    <row r="8538" spans="1:7" x14ac:dyDescent="0.35">
      <c r="A8538" s="2">
        <v>43248</v>
      </c>
      <c r="B8538" s="36" t="s">
        <v>38</v>
      </c>
      <c r="C8538" s="10">
        <v>67</v>
      </c>
      <c r="D8538" s="10">
        <v>228</v>
      </c>
      <c r="E8538" s="10" t="s">
        <v>32</v>
      </c>
      <c r="F8538" s="10" t="s">
        <v>293</v>
      </c>
    </row>
    <row r="8539" spans="1:7" x14ac:dyDescent="0.35">
      <c r="A8539" s="2">
        <v>43248</v>
      </c>
      <c r="B8539" s="36" t="s">
        <v>38</v>
      </c>
      <c r="C8539" s="10">
        <v>60</v>
      </c>
      <c r="D8539" s="10">
        <v>130</v>
      </c>
      <c r="E8539" s="10" t="s">
        <v>32</v>
      </c>
      <c r="F8539" s="10" t="s">
        <v>198</v>
      </c>
      <c r="G8539" s="10" t="s">
        <v>161</v>
      </c>
    </row>
    <row r="8540" spans="1:7" x14ac:dyDescent="0.35">
      <c r="A8540" s="2">
        <v>43248</v>
      </c>
      <c r="B8540" s="36" t="s">
        <v>38</v>
      </c>
      <c r="C8540" s="10">
        <v>67</v>
      </c>
      <c r="D8540" s="10">
        <v>246</v>
      </c>
      <c r="E8540" s="10" t="s">
        <v>37</v>
      </c>
      <c r="F8540" s="10" t="s">
        <v>360</v>
      </c>
      <c r="G8540" s="10" t="s">
        <v>161</v>
      </c>
    </row>
    <row r="8541" spans="1:7" x14ac:dyDescent="0.35">
      <c r="A8541" s="2">
        <v>43248</v>
      </c>
      <c r="B8541" s="36" t="s">
        <v>38</v>
      </c>
      <c r="C8541" s="10">
        <v>79</v>
      </c>
      <c r="D8541" s="10">
        <v>315</v>
      </c>
      <c r="E8541" s="10" t="s">
        <v>159</v>
      </c>
      <c r="F8541" s="10" t="s">
        <v>360</v>
      </c>
    </row>
    <row r="8542" spans="1:7" x14ac:dyDescent="0.35">
      <c r="A8542" s="2">
        <v>43248</v>
      </c>
      <c r="B8542" s="36" t="s">
        <v>38</v>
      </c>
      <c r="C8542" s="10">
        <v>73</v>
      </c>
      <c r="D8542" s="10">
        <v>242</v>
      </c>
      <c r="E8542" s="10" t="s">
        <v>32</v>
      </c>
      <c r="F8542" s="10" t="s">
        <v>293</v>
      </c>
      <c r="G8542" s="10" t="s">
        <v>161</v>
      </c>
    </row>
    <row r="8543" spans="1:7" x14ac:dyDescent="0.35">
      <c r="A8543" s="2">
        <v>43248</v>
      </c>
      <c r="B8543" s="36" t="s">
        <v>38</v>
      </c>
      <c r="C8543" s="10">
        <v>69</v>
      </c>
      <c r="D8543" s="10">
        <v>260</v>
      </c>
      <c r="E8543" s="10" t="s">
        <v>159</v>
      </c>
      <c r="F8543" s="10" t="s">
        <v>360</v>
      </c>
    </row>
    <row r="8544" spans="1:7" x14ac:dyDescent="0.35">
      <c r="A8544" s="2">
        <v>43248</v>
      </c>
      <c r="B8544" s="36" t="s">
        <v>38</v>
      </c>
      <c r="C8544" s="10">
        <v>74</v>
      </c>
      <c r="D8544" s="10">
        <v>329</v>
      </c>
      <c r="E8544" s="10" t="s">
        <v>32</v>
      </c>
      <c r="F8544" s="10" t="s">
        <v>646</v>
      </c>
    </row>
    <row r="8545" spans="1:24" x14ac:dyDescent="0.35">
      <c r="A8545" s="2">
        <v>43248</v>
      </c>
      <c r="B8545" s="36" t="s">
        <v>38</v>
      </c>
      <c r="C8545" s="10">
        <v>67</v>
      </c>
      <c r="D8545" s="10">
        <v>194</v>
      </c>
      <c r="E8545" s="10" t="s">
        <v>159</v>
      </c>
      <c r="F8545" s="10" t="s">
        <v>360</v>
      </c>
    </row>
    <row r="8546" spans="1:24" x14ac:dyDescent="0.35">
      <c r="A8546" s="2">
        <v>43248</v>
      </c>
      <c r="B8546" s="36" t="s">
        <v>38</v>
      </c>
      <c r="C8546" s="10">
        <v>63</v>
      </c>
      <c r="D8546" s="10">
        <v>239</v>
      </c>
      <c r="E8546" s="10" t="s">
        <v>159</v>
      </c>
      <c r="F8546" s="10" t="s">
        <v>360</v>
      </c>
    </row>
    <row r="8547" spans="1:24" x14ac:dyDescent="0.35">
      <c r="A8547" s="2">
        <v>43248</v>
      </c>
      <c r="B8547" s="36" t="s">
        <v>38</v>
      </c>
      <c r="C8547" s="10">
        <v>71</v>
      </c>
      <c r="D8547" s="10">
        <v>209</v>
      </c>
      <c r="E8547" s="10" t="s">
        <v>32</v>
      </c>
      <c r="F8547" s="10" t="s">
        <v>293</v>
      </c>
    </row>
    <row r="8548" spans="1:24" x14ac:dyDescent="0.35">
      <c r="A8548" s="2">
        <v>43248</v>
      </c>
      <c r="B8548" s="36" t="s">
        <v>38</v>
      </c>
      <c r="C8548" s="10">
        <v>62</v>
      </c>
      <c r="D8548" s="10">
        <v>181</v>
      </c>
      <c r="E8548" s="10" t="s">
        <v>159</v>
      </c>
      <c r="F8548" s="10" t="s">
        <v>360</v>
      </c>
    </row>
    <row r="8549" spans="1:24" x14ac:dyDescent="0.35">
      <c r="A8549" s="2">
        <v>43248</v>
      </c>
      <c r="B8549" s="36" t="s">
        <v>38</v>
      </c>
      <c r="C8549" s="10">
        <v>70</v>
      </c>
      <c r="D8549" s="10">
        <v>211</v>
      </c>
      <c r="E8549" s="10" t="s">
        <v>159</v>
      </c>
      <c r="F8549" s="10" t="s">
        <v>360</v>
      </c>
    </row>
    <row r="8550" spans="1:24" x14ac:dyDescent="0.35">
      <c r="A8550" s="2">
        <v>43248</v>
      </c>
      <c r="B8550" s="36" t="s">
        <v>38</v>
      </c>
      <c r="C8550" s="10">
        <v>75</v>
      </c>
      <c r="D8550" s="10">
        <v>270</v>
      </c>
      <c r="E8550" s="10" t="s">
        <v>159</v>
      </c>
      <c r="F8550" s="10" t="s">
        <v>783</v>
      </c>
    </row>
    <row r="8551" spans="1:24" x14ac:dyDescent="0.35">
      <c r="A8551" s="2">
        <v>43248</v>
      </c>
      <c r="B8551" s="36" t="s">
        <v>38</v>
      </c>
      <c r="C8551" s="10">
        <v>66</v>
      </c>
      <c r="D8551" s="10">
        <v>192</v>
      </c>
      <c r="E8551" s="10" t="s">
        <v>32</v>
      </c>
      <c r="F8551" s="10" t="s">
        <v>293</v>
      </c>
      <c r="G8551" s="10" t="s">
        <v>161</v>
      </c>
    </row>
    <row r="8552" spans="1:24" x14ac:dyDescent="0.35">
      <c r="A8552" s="2">
        <v>43248</v>
      </c>
      <c r="B8552" s="36" t="s">
        <v>38</v>
      </c>
      <c r="C8552" s="10">
        <v>70</v>
      </c>
      <c r="D8552" s="10">
        <v>253</v>
      </c>
      <c r="E8552" s="10" t="s">
        <v>32</v>
      </c>
      <c r="F8552" s="10" t="s">
        <v>360</v>
      </c>
      <c r="G8552" s="10" t="s">
        <v>161</v>
      </c>
    </row>
    <row r="8553" spans="1:24" x14ac:dyDescent="0.35">
      <c r="A8553" s="2">
        <v>43248</v>
      </c>
      <c r="B8553" s="36" t="s">
        <v>38</v>
      </c>
      <c r="C8553" s="10">
        <v>72</v>
      </c>
      <c r="D8553" s="10">
        <v>250</v>
      </c>
      <c r="E8553" s="10" t="s">
        <v>32</v>
      </c>
      <c r="F8553" s="10" t="s">
        <v>360</v>
      </c>
      <c r="G8553" s="10" t="s">
        <v>161</v>
      </c>
      <c r="N8553" t="s">
        <v>42</v>
      </c>
      <c r="O8553" t="s">
        <v>39</v>
      </c>
      <c r="P8553" t="s">
        <v>40</v>
      </c>
      <c r="Q8553" t="s">
        <v>36</v>
      </c>
      <c r="R8553" t="s">
        <v>33</v>
      </c>
      <c r="S8553" t="s">
        <v>34</v>
      </c>
      <c r="T8553" t="s">
        <v>32</v>
      </c>
      <c r="U8553" t="s">
        <v>37</v>
      </c>
      <c r="V8553" t="s">
        <v>159</v>
      </c>
    </row>
    <row r="8554" spans="1:24" x14ac:dyDescent="0.35">
      <c r="A8554" s="2">
        <v>43248</v>
      </c>
      <c r="B8554" s="36" t="s">
        <v>38</v>
      </c>
      <c r="C8554" s="10">
        <v>67</v>
      </c>
      <c r="D8554" s="10">
        <v>245</v>
      </c>
      <c r="E8554" s="10" t="s">
        <v>159</v>
      </c>
      <c r="F8554" s="10" t="s">
        <v>360</v>
      </c>
      <c r="N8554" s="5">
        <f>COUNTIF(E8505:E8555,"VA")</f>
        <v>0</v>
      </c>
      <c r="O8554" s="5">
        <f>COUNTIF(E8505:E8555,"VB")</f>
        <v>0</v>
      </c>
      <c r="P8554" s="5">
        <f>COUNTIF(E8505:E8555,"VIA0")</f>
        <v>0</v>
      </c>
      <c r="Q8554" s="5">
        <f>COUNTIF(E8505:E8555,"VIA1")</f>
        <v>0</v>
      </c>
      <c r="R8554" s="5">
        <f>COUNTIF(E8504:E8555,"VIA2")</f>
        <v>0</v>
      </c>
      <c r="S8554" s="5">
        <f>COUNTIF(E8504:E8555,"VIA3")</f>
        <v>0</v>
      </c>
      <c r="T8554" s="5">
        <f>COUNTIF(E8504:E8555,"VIA4")</f>
        <v>21</v>
      </c>
      <c r="U8554" s="5">
        <f>COUNTIF(E8504:E8555,"VIB")</f>
        <v>4</v>
      </c>
      <c r="V8554" s="5">
        <f>COUNTIF(E8505:E8555,"VII")</f>
        <v>25</v>
      </c>
      <c r="W8554">
        <f>AVERAGE(C8505:C8554)</f>
        <v>70.14</v>
      </c>
      <c r="X8554">
        <f>AVERAGE(D8505:D8554)</f>
        <v>237.42</v>
      </c>
    </row>
    <row r="8555" spans="1:24" s="4" customFormat="1" x14ac:dyDescent="0.35">
      <c r="A8555" s="3">
        <v>43248</v>
      </c>
      <c r="B8555" s="26" t="s">
        <v>38</v>
      </c>
      <c r="C8555" s="11">
        <v>90</v>
      </c>
      <c r="D8555" s="11">
        <v>653</v>
      </c>
      <c r="E8555" s="4" t="s">
        <v>59</v>
      </c>
      <c r="N8555" s="6">
        <f>N8554/50*100</f>
        <v>0</v>
      </c>
      <c r="O8555" s="6">
        <f t="shared" ref="O8555" si="283">O8554/50*100</f>
        <v>0</v>
      </c>
      <c r="P8555" s="6">
        <f t="shared" ref="P8555" si="284">P8554/50*100</f>
        <v>0</v>
      </c>
      <c r="Q8555" s="6">
        <f t="shared" ref="Q8555" si="285">Q8554/50*100</f>
        <v>0</v>
      </c>
      <c r="R8555" s="6">
        <f t="shared" ref="R8555" si="286">R8554/50*100</f>
        <v>0</v>
      </c>
      <c r="S8555" s="6">
        <f t="shared" ref="S8555" si="287">S8554/50*100</f>
        <v>0</v>
      </c>
      <c r="T8555" s="6">
        <f t="shared" ref="T8555" si="288">T8554/50*100</f>
        <v>42</v>
      </c>
      <c r="U8555" s="6">
        <f t="shared" ref="U8555" si="289">U8554/50*100</f>
        <v>8</v>
      </c>
      <c r="V8555" s="6">
        <f t="shared" ref="V8555" si="290">V8554/50*100</f>
        <v>50</v>
      </c>
    </row>
    <row r="8556" spans="1:24" x14ac:dyDescent="0.35">
      <c r="A8556" s="2">
        <v>43248</v>
      </c>
      <c r="B8556" s="36" t="s">
        <v>29</v>
      </c>
      <c r="C8556" s="10">
        <v>72</v>
      </c>
      <c r="D8556" s="10">
        <v>266</v>
      </c>
      <c r="E8556" s="10" t="s">
        <v>159</v>
      </c>
      <c r="F8556" s="10" t="s">
        <v>360</v>
      </c>
    </row>
    <row r="8557" spans="1:24" x14ac:dyDescent="0.35">
      <c r="A8557" s="2">
        <v>43248</v>
      </c>
      <c r="B8557" s="36" t="s">
        <v>29</v>
      </c>
      <c r="C8557" s="10">
        <v>70</v>
      </c>
      <c r="D8557" s="10">
        <v>206</v>
      </c>
      <c r="E8557" s="10" t="s">
        <v>32</v>
      </c>
      <c r="F8557" s="10" t="s">
        <v>360</v>
      </c>
    </row>
    <row r="8558" spans="1:24" x14ac:dyDescent="0.35">
      <c r="A8558" s="2">
        <v>43248</v>
      </c>
      <c r="B8558" s="36" t="s">
        <v>29</v>
      </c>
      <c r="C8558" s="10">
        <v>66</v>
      </c>
      <c r="D8558" s="10">
        <v>216</v>
      </c>
      <c r="E8558" s="10" t="s">
        <v>159</v>
      </c>
      <c r="F8558" s="10" t="s">
        <v>360</v>
      </c>
    </row>
    <row r="8559" spans="1:24" x14ac:dyDescent="0.35">
      <c r="A8559" s="2">
        <v>43248</v>
      </c>
      <c r="B8559" s="36" t="s">
        <v>29</v>
      </c>
      <c r="C8559" s="10">
        <v>74</v>
      </c>
      <c r="D8559" s="10">
        <v>274</v>
      </c>
      <c r="E8559" s="10" t="s">
        <v>159</v>
      </c>
      <c r="F8559" s="10" t="s">
        <v>360</v>
      </c>
    </row>
    <row r="8560" spans="1:24" x14ac:dyDescent="0.35">
      <c r="A8560" s="2">
        <v>43248</v>
      </c>
      <c r="B8560" s="36" t="s">
        <v>29</v>
      </c>
      <c r="C8560" s="10">
        <v>79</v>
      </c>
      <c r="D8560" s="10">
        <v>307</v>
      </c>
      <c r="E8560" s="10" t="s">
        <v>37</v>
      </c>
      <c r="F8560" s="10" t="s">
        <v>646</v>
      </c>
    </row>
    <row r="8561" spans="1:7" x14ac:dyDescent="0.35">
      <c r="A8561" s="2">
        <v>43248</v>
      </c>
      <c r="B8561" s="36" t="s">
        <v>29</v>
      </c>
      <c r="C8561" s="10">
        <v>75</v>
      </c>
      <c r="D8561" s="10">
        <v>363</v>
      </c>
      <c r="E8561" s="10" t="s">
        <v>159</v>
      </c>
      <c r="F8561" s="10" t="s">
        <v>783</v>
      </c>
    </row>
    <row r="8562" spans="1:7" x14ac:dyDescent="0.35">
      <c r="A8562" s="2">
        <v>43248</v>
      </c>
      <c r="B8562" s="36" t="s">
        <v>29</v>
      </c>
      <c r="C8562" s="10">
        <v>72</v>
      </c>
      <c r="D8562" s="10">
        <v>303</v>
      </c>
      <c r="E8562" s="10" t="s">
        <v>159</v>
      </c>
      <c r="F8562" s="10" t="s">
        <v>360</v>
      </c>
    </row>
    <row r="8563" spans="1:7" x14ac:dyDescent="0.35">
      <c r="A8563" s="2">
        <v>43248</v>
      </c>
      <c r="B8563" s="36" t="s">
        <v>29</v>
      </c>
      <c r="C8563" s="10">
        <v>73</v>
      </c>
      <c r="D8563" s="10">
        <v>192</v>
      </c>
      <c r="E8563" s="10" t="s">
        <v>159</v>
      </c>
      <c r="F8563" s="10" t="s">
        <v>360</v>
      </c>
    </row>
    <row r="8564" spans="1:7" x14ac:dyDescent="0.35">
      <c r="A8564" s="2">
        <v>43248</v>
      </c>
      <c r="B8564" s="36" t="s">
        <v>29</v>
      </c>
      <c r="C8564" s="10">
        <v>70</v>
      </c>
      <c r="D8564" s="10">
        <v>222</v>
      </c>
      <c r="E8564" s="10" t="s">
        <v>37</v>
      </c>
      <c r="F8564" s="10" t="s">
        <v>198</v>
      </c>
      <c r="G8564" s="10" t="s">
        <v>161</v>
      </c>
    </row>
    <row r="8565" spans="1:7" x14ac:dyDescent="0.35">
      <c r="A8565" s="2">
        <v>43248</v>
      </c>
      <c r="B8565" s="36" t="s">
        <v>29</v>
      </c>
      <c r="C8565" s="10">
        <v>67</v>
      </c>
      <c r="D8565" s="10">
        <v>206</v>
      </c>
      <c r="E8565" s="10" t="s">
        <v>159</v>
      </c>
      <c r="F8565" s="10" t="s">
        <v>783</v>
      </c>
    </row>
    <row r="8566" spans="1:7" x14ac:dyDescent="0.35">
      <c r="A8566" s="2">
        <v>43248</v>
      </c>
      <c r="B8566" s="36" t="s">
        <v>29</v>
      </c>
      <c r="C8566" s="10">
        <v>74</v>
      </c>
      <c r="D8566" s="10">
        <v>296</v>
      </c>
      <c r="E8566" s="10" t="s">
        <v>159</v>
      </c>
      <c r="F8566" s="10" t="s">
        <v>360</v>
      </c>
    </row>
    <row r="8567" spans="1:7" x14ac:dyDescent="0.35">
      <c r="A8567" s="2">
        <v>43248</v>
      </c>
      <c r="B8567" s="36" t="s">
        <v>29</v>
      </c>
      <c r="C8567" s="10">
        <v>64</v>
      </c>
      <c r="D8567" s="10">
        <v>135</v>
      </c>
      <c r="E8567" s="10" t="s">
        <v>37</v>
      </c>
      <c r="F8567" s="10" t="s">
        <v>360</v>
      </c>
      <c r="G8567" s="10" t="s">
        <v>161</v>
      </c>
    </row>
    <row r="8568" spans="1:7" x14ac:dyDescent="0.35">
      <c r="A8568" s="2">
        <v>43248</v>
      </c>
      <c r="B8568" s="36" t="s">
        <v>29</v>
      </c>
      <c r="C8568" s="10">
        <v>75</v>
      </c>
      <c r="D8568" s="10">
        <v>351</v>
      </c>
      <c r="E8568" s="10" t="s">
        <v>159</v>
      </c>
      <c r="F8568" s="10" t="s">
        <v>783</v>
      </c>
    </row>
    <row r="8569" spans="1:7" x14ac:dyDescent="0.35">
      <c r="A8569" s="2">
        <v>43248</v>
      </c>
      <c r="B8569" s="36" t="s">
        <v>29</v>
      </c>
      <c r="C8569" s="10">
        <v>71</v>
      </c>
      <c r="D8569" s="10">
        <v>221</v>
      </c>
      <c r="E8569" s="10" t="s">
        <v>37</v>
      </c>
      <c r="F8569" s="10" t="s">
        <v>198</v>
      </c>
      <c r="G8569" s="10" t="s">
        <v>161</v>
      </c>
    </row>
    <row r="8570" spans="1:7" x14ac:dyDescent="0.35">
      <c r="A8570" s="2">
        <v>43248</v>
      </c>
      <c r="B8570" s="36" t="s">
        <v>29</v>
      </c>
      <c r="C8570" s="10">
        <v>70</v>
      </c>
      <c r="D8570" s="10">
        <v>194</v>
      </c>
      <c r="E8570" s="10" t="s">
        <v>32</v>
      </c>
      <c r="F8570" s="10" t="s">
        <v>198</v>
      </c>
      <c r="G8570" s="10" t="s">
        <v>161</v>
      </c>
    </row>
    <row r="8571" spans="1:7" x14ac:dyDescent="0.35">
      <c r="A8571" s="2">
        <v>43248</v>
      </c>
      <c r="B8571" s="36" t="s">
        <v>29</v>
      </c>
      <c r="C8571" s="10">
        <v>72</v>
      </c>
      <c r="D8571" s="10">
        <v>357</v>
      </c>
      <c r="E8571" s="10" t="s">
        <v>159</v>
      </c>
      <c r="F8571" s="10" t="s">
        <v>360</v>
      </c>
    </row>
    <row r="8572" spans="1:7" x14ac:dyDescent="0.35">
      <c r="A8572" s="2">
        <v>43248</v>
      </c>
      <c r="B8572" s="36" t="s">
        <v>29</v>
      </c>
      <c r="C8572" s="10">
        <v>62</v>
      </c>
      <c r="D8572" s="10">
        <v>155</v>
      </c>
      <c r="E8572" s="10" t="s">
        <v>37</v>
      </c>
      <c r="F8572" s="10" t="s">
        <v>360</v>
      </c>
      <c r="G8572" s="10" t="s">
        <v>161</v>
      </c>
    </row>
    <row r="8573" spans="1:7" x14ac:dyDescent="0.35">
      <c r="A8573" s="2">
        <v>43248</v>
      </c>
      <c r="B8573" s="36" t="s">
        <v>29</v>
      </c>
      <c r="C8573" s="10">
        <v>70</v>
      </c>
      <c r="D8573" s="10">
        <v>220</v>
      </c>
      <c r="E8573" s="10" t="s">
        <v>37</v>
      </c>
      <c r="F8573" s="10" t="s">
        <v>198</v>
      </c>
      <c r="G8573" s="10"/>
    </row>
    <row r="8574" spans="1:7" x14ac:dyDescent="0.35">
      <c r="A8574" s="2">
        <v>43248</v>
      </c>
      <c r="B8574" s="36" t="s">
        <v>29</v>
      </c>
      <c r="C8574" s="10">
        <v>63</v>
      </c>
      <c r="D8574" s="10">
        <v>233</v>
      </c>
      <c r="E8574" s="10" t="s">
        <v>159</v>
      </c>
      <c r="F8574" s="10" t="s">
        <v>360</v>
      </c>
    </row>
    <row r="8575" spans="1:7" x14ac:dyDescent="0.35">
      <c r="A8575" s="2">
        <v>43248</v>
      </c>
      <c r="B8575" s="36" t="s">
        <v>29</v>
      </c>
      <c r="C8575" s="10">
        <v>69</v>
      </c>
      <c r="D8575" s="10">
        <v>186</v>
      </c>
      <c r="E8575" s="10" t="s">
        <v>37</v>
      </c>
      <c r="F8575" s="10" t="s">
        <v>360</v>
      </c>
    </row>
    <row r="8576" spans="1:7" x14ac:dyDescent="0.35">
      <c r="A8576" s="2">
        <v>43248</v>
      </c>
      <c r="B8576" s="36" t="s">
        <v>29</v>
      </c>
      <c r="C8576" s="10">
        <v>65</v>
      </c>
      <c r="D8576" s="10">
        <v>174</v>
      </c>
      <c r="E8576" s="10" t="s">
        <v>159</v>
      </c>
      <c r="F8576" s="10" t="s">
        <v>360</v>
      </c>
    </row>
    <row r="8577" spans="1:7" x14ac:dyDescent="0.35">
      <c r="A8577" s="2">
        <v>43248</v>
      </c>
      <c r="B8577" s="36" t="s">
        <v>29</v>
      </c>
      <c r="C8577" s="10">
        <v>69</v>
      </c>
      <c r="D8577" s="10">
        <v>225</v>
      </c>
      <c r="E8577" s="10" t="s">
        <v>37</v>
      </c>
      <c r="F8577" s="10" t="s">
        <v>360</v>
      </c>
      <c r="G8577" s="10" t="s">
        <v>161</v>
      </c>
    </row>
    <row r="8578" spans="1:7" x14ac:dyDescent="0.35">
      <c r="A8578" s="2">
        <v>43248</v>
      </c>
      <c r="B8578" s="36" t="s">
        <v>29</v>
      </c>
      <c r="C8578" s="10">
        <v>67</v>
      </c>
      <c r="D8578" s="10">
        <v>174</v>
      </c>
      <c r="E8578" s="10" t="s">
        <v>159</v>
      </c>
      <c r="F8578" s="10" t="s">
        <v>360</v>
      </c>
    </row>
    <row r="8579" spans="1:7" x14ac:dyDescent="0.35">
      <c r="A8579" s="2">
        <v>43248</v>
      </c>
      <c r="B8579" s="36" t="s">
        <v>29</v>
      </c>
      <c r="C8579" s="10">
        <v>74</v>
      </c>
      <c r="D8579" s="10">
        <v>293</v>
      </c>
      <c r="E8579" s="10" t="s">
        <v>159</v>
      </c>
      <c r="F8579" s="10" t="s">
        <v>360</v>
      </c>
    </row>
    <row r="8580" spans="1:7" x14ac:dyDescent="0.35">
      <c r="A8580" s="2">
        <v>43248</v>
      </c>
      <c r="B8580" s="36" t="s">
        <v>29</v>
      </c>
      <c r="C8580" s="10">
        <v>61</v>
      </c>
      <c r="D8580" s="10">
        <v>144</v>
      </c>
      <c r="E8580" s="10" t="s">
        <v>159</v>
      </c>
      <c r="F8580" s="10" t="s">
        <v>360</v>
      </c>
    </row>
    <row r="8581" spans="1:7" x14ac:dyDescent="0.35">
      <c r="A8581" s="2">
        <v>43248</v>
      </c>
      <c r="B8581" s="36" t="s">
        <v>29</v>
      </c>
      <c r="C8581" s="55">
        <v>80</v>
      </c>
      <c r="D8581" s="55">
        <v>410</v>
      </c>
      <c r="E8581" s="55" t="s">
        <v>159</v>
      </c>
      <c r="F8581" s="10" t="s">
        <v>360</v>
      </c>
    </row>
    <row r="8582" spans="1:7" x14ac:dyDescent="0.35">
      <c r="A8582" s="2">
        <v>43248</v>
      </c>
      <c r="B8582" s="36" t="s">
        <v>29</v>
      </c>
      <c r="C8582" s="10">
        <v>71</v>
      </c>
      <c r="D8582" s="10">
        <v>304</v>
      </c>
      <c r="E8582" s="10" t="s">
        <v>159</v>
      </c>
      <c r="F8582" s="10" t="s">
        <v>360</v>
      </c>
    </row>
    <row r="8583" spans="1:7" x14ac:dyDescent="0.35">
      <c r="A8583" s="2">
        <v>43248</v>
      </c>
      <c r="B8583" s="36" t="s">
        <v>29</v>
      </c>
      <c r="C8583" s="10">
        <v>67</v>
      </c>
      <c r="D8583" s="10">
        <v>209</v>
      </c>
      <c r="E8583" s="10" t="s">
        <v>159</v>
      </c>
      <c r="F8583" s="10" t="s">
        <v>198</v>
      </c>
    </row>
    <row r="8584" spans="1:7" x14ac:dyDescent="0.35">
      <c r="A8584" s="2">
        <v>43248</v>
      </c>
      <c r="B8584" s="36" t="s">
        <v>29</v>
      </c>
      <c r="C8584" s="10">
        <v>74</v>
      </c>
      <c r="D8584" s="10">
        <v>249</v>
      </c>
      <c r="E8584" s="10" t="s">
        <v>37</v>
      </c>
      <c r="F8584" s="10" t="s">
        <v>198</v>
      </c>
    </row>
    <row r="8585" spans="1:7" x14ac:dyDescent="0.35">
      <c r="A8585" s="2">
        <v>43248</v>
      </c>
      <c r="B8585" s="36" t="s">
        <v>29</v>
      </c>
      <c r="C8585" s="10">
        <v>67</v>
      </c>
      <c r="D8585" s="10">
        <v>142</v>
      </c>
      <c r="E8585" s="10" t="s">
        <v>37</v>
      </c>
      <c r="F8585" s="10" t="s">
        <v>198</v>
      </c>
    </row>
    <row r="8586" spans="1:7" x14ac:dyDescent="0.35">
      <c r="A8586" s="2">
        <v>43248</v>
      </c>
      <c r="B8586" s="36" t="s">
        <v>29</v>
      </c>
      <c r="C8586" s="10">
        <v>73</v>
      </c>
      <c r="D8586" s="10">
        <v>288</v>
      </c>
      <c r="E8586" s="10" t="s">
        <v>159</v>
      </c>
      <c r="F8586" s="10" t="s">
        <v>360</v>
      </c>
    </row>
    <row r="8587" spans="1:7" x14ac:dyDescent="0.35">
      <c r="A8587" s="2">
        <v>43248</v>
      </c>
      <c r="B8587" s="36" t="s">
        <v>29</v>
      </c>
      <c r="C8587" s="10">
        <v>72</v>
      </c>
      <c r="D8587" s="10">
        <v>433</v>
      </c>
      <c r="E8587" s="10" t="s">
        <v>159</v>
      </c>
      <c r="F8587" s="10" t="s">
        <v>360</v>
      </c>
    </row>
    <row r="8588" spans="1:7" x14ac:dyDescent="0.35">
      <c r="A8588" s="2">
        <v>43248</v>
      </c>
      <c r="B8588" s="36" t="s">
        <v>29</v>
      </c>
      <c r="C8588" s="10">
        <v>68</v>
      </c>
      <c r="D8588" s="10">
        <v>232</v>
      </c>
      <c r="E8588" s="10" t="s">
        <v>159</v>
      </c>
      <c r="F8588" s="10" t="s">
        <v>360</v>
      </c>
    </row>
    <row r="8589" spans="1:7" x14ac:dyDescent="0.35">
      <c r="A8589" s="2">
        <v>43248</v>
      </c>
      <c r="B8589" s="36" t="s">
        <v>29</v>
      </c>
      <c r="C8589" s="10">
        <v>69</v>
      </c>
      <c r="D8589" s="10">
        <v>295</v>
      </c>
      <c r="E8589" s="10" t="s">
        <v>159</v>
      </c>
      <c r="F8589" s="10" t="s">
        <v>360</v>
      </c>
    </row>
    <row r="8590" spans="1:7" x14ac:dyDescent="0.35">
      <c r="A8590" s="2">
        <v>43248</v>
      </c>
      <c r="B8590" s="36" t="s">
        <v>29</v>
      </c>
      <c r="C8590" s="10">
        <v>74</v>
      </c>
      <c r="D8590" s="10">
        <v>399</v>
      </c>
      <c r="E8590" s="10" t="s">
        <v>159</v>
      </c>
      <c r="F8590" s="10" t="s">
        <v>360</v>
      </c>
    </row>
    <row r="8591" spans="1:7" x14ac:dyDescent="0.35">
      <c r="A8591" s="2">
        <v>43248</v>
      </c>
      <c r="B8591" s="36" t="s">
        <v>29</v>
      </c>
      <c r="C8591" s="10">
        <v>68</v>
      </c>
      <c r="D8591" s="10">
        <v>236</v>
      </c>
      <c r="E8591" s="10" t="s">
        <v>32</v>
      </c>
      <c r="F8591" s="10" t="s">
        <v>198</v>
      </c>
    </row>
    <row r="8592" spans="1:7" x14ac:dyDescent="0.35">
      <c r="A8592" s="2">
        <v>43248</v>
      </c>
      <c r="B8592" s="36" t="s">
        <v>29</v>
      </c>
      <c r="C8592" s="10">
        <v>67</v>
      </c>
      <c r="D8592" s="10">
        <v>185</v>
      </c>
      <c r="E8592" s="10" t="s">
        <v>159</v>
      </c>
      <c r="F8592" s="10" t="s">
        <v>360</v>
      </c>
    </row>
    <row r="8593" spans="1:24" x14ac:dyDescent="0.35">
      <c r="A8593" s="2">
        <v>43248</v>
      </c>
      <c r="B8593" s="36" t="s">
        <v>29</v>
      </c>
      <c r="C8593" s="10">
        <v>70</v>
      </c>
      <c r="D8593" s="10">
        <v>239</v>
      </c>
      <c r="E8593" s="10" t="s">
        <v>159</v>
      </c>
      <c r="F8593" s="10" t="s">
        <v>360</v>
      </c>
    </row>
    <row r="8594" spans="1:24" x14ac:dyDescent="0.35">
      <c r="A8594" s="2">
        <v>43248</v>
      </c>
      <c r="B8594" s="36" t="s">
        <v>29</v>
      </c>
      <c r="C8594" s="10">
        <v>71</v>
      </c>
      <c r="D8594" s="10">
        <v>265</v>
      </c>
      <c r="E8594" s="10" t="s">
        <v>159</v>
      </c>
      <c r="F8594" s="10" t="s">
        <v>360</v>
      </c>
    </row>
    <row r="8595" spans="1:24" x14ac:dyDescent="0.35">
      <c r="A8595" s="2">
        <v>43248</v>
      </c>
      <c r="B8595" s="36" t="s">
        <v>29</v>
      </c>
      <c r="C8595" s="10">
        <v>74</v>
      </c>
      <c r="D8595" s="10">
        <v>344</v>
      </c>
      <c r="E8595" s="10" t="s">
        <v>159</v>
      </c>
      <c r="F8595" s="10" t="s">
        <v>360</v>
      </c>
    </row>
    <row r="8596" spans="1:24" x14ac:dyDescent="0.35">
      <c r="A8596" s="2">
        <v>43248</v>
      </c>
      <c r="B8596" s="36" t="s">
        <v>29</v>
      </c>
      <c r="C8596" s="10">
        <v>75</v>
      </c>
      <c r="D8596" s="10">
        <v>260</v>
      </c>
      <c r="E8596" s="10" t="s">
        <v>37</v>
      </c>
      <c r="F8596" s="10" t="s">
        <v>198</v>
      </c>
    </row>
    <row r="8597" spans="1:24" x14ac:dyDescent="0.35">
      <c r="A8597" s="2">
        <v>43248</v>
      </c>
      <c r="B8597" s="36" t="s">
        <v>29</v>
      </c>
      <c r="C8597" s="10">
        <v>62</v>
      </c>
      <c r="D8597" s="10">
        <v>203</v>
      </c>
      <c r="E8597" s="10" t="s">
        <v>159</v>
      </c>
      <c r="F8597" s="10" t="s">
        <v>360</v>
      </c>
      <c r="N8597" t="s">
        <v>42</v>
      </c>
      <c r="O8597" t="s">
        <v>39</v>
      </c>
      <c r="P8597" t="s">
        <v>40</v>
      </c>
      <c r="Q8597" t="s">
        <v>36</v>
      </c>
      <c r="R8597" t="s">
        <v>33</v>
      </c>
      <c r="S8597" t="s">
        <v>34</v>
      </c>
      <c r="T8597" t="s">
        <v>32</v>
      </c>
      <c r="U8597" t="s">
        <v>37</v>
      </c>
      <c r="V8597" t="s">
        <v>159</v>
      </c>
    </row>
    <row r="8598" spans="1:24" x14ac:dyDescent="0.35">
      <c r="A8598" s="2">
        <v>43248</v>
      </c>
      <c r="B8598" s="36" t="s">
        <v>29</v>
      </c>
      <c r="C8598" s="10">
        <v>71</v>
      </c>
      <c r="D8598" s="10">
        <v>217</v>
      </c>
      <c r="E8598" s="10" t="s">
        <v>37</v>
      </c>
      <c r="F8598" s="10" t="s">
        <v>360</v>
      </c>
      <c r="G8598" s="10" t="s">
        <v>161</v>
      </c>
      <c r="N8598">
        <f>N8605+N8554</f>
        <v>0</v>
      </c>
      <c r="O8598">
        <f t="shared" ref="O8598:V8598" si="291">O8605+O8554</f>
        <v>0</v>
      </c>
      <c r="P8598">
        <f t="shared" si="291"/>
        <v>0</v>
      </c>
      <c r="Q8598">
        <f t="shared" si="291"/>
        <v>0</v>
      </c>
      <c r="R8598">
        <f t="shared" si="291"/>
        <v>0</v>
      </c>
      <c r="S8598">
        <f t="shared" si="291"/>
        <v>0</v>
      </c>
      <c r="T8598">
        <f t="shared" si="291"/>
        <v>25</v>
      </c>
      <c r="U8598">
        <f t="shared" si="291"/>
        <v>18</v>
      </c>
      <c r="V8598">
        <f t="shared" si="291"/>
        <v>57</v>
      </c>
      <c r="W8598">
        <f>AVERAGE(C8556:C8605,C8505:C8554)</f>
        <v>70.03</v>
      </c>
      <c r="X8598">
        <f>AVERAGE(D8556:D8605,D8505:D8554)</f>
        <v>245.49</v>
      </c>
    </row>
    <row r="8599" spans="1:24" x14ac:dyDescent="0.35">
      <c r="A8599" s="2">
        <v>43248</v>
      </c>
      <c r="B8599" s="36" t="s">
        <v>29</v>
      </c>
      <c r="C8599" s="10">
        <v>67</v>
      </c>
      <c r="D8599" s="10">
        <v>254</v>
      </c>
      <c r="E8599" s="10" t="s">
        <v>37</v>
      </c>
      <c r="F8599" s="10" t="s">
        <v>360</v>
      </c>
      <c r="G8599" s="10" t="s">
        <v>161</v>
      </c>
    </row>
    <row r="8600" spans="1:24" x14ac:dyDescent="0.35">
      <c r="A8600" s="2">
        <v>43248</v>
      </c>
      <c r="B8600" s="36" t="s">
        <v>29</v>
      </c>
      <c r="C8600" s="10">
        <v>70</v>
      </c>
      <c r="D8600" s="10">
        <v>280</v>
      </c>
      <c r="E8600" s="10" t="s">
        <v>159</v>
      </c>
      <c r="F8600" s="10" t="s">
        <v>360</v>
      </c>
    </row>
    <row r="8601" spans="1:24" x14ac:dyDescent="0.35">
      <c r="A8601" s="2">
        <v>43248</v>
      </c>
      <c r="B8601" s="36" t="s">
        <v>29</v>
      </c>
      <c r="C8601" s="10">
        <v>66</v>
      </c>
      <c r="D8601" s="10">
        <v>273</v>
      </c>
      <c r="E8601" s="10" t="s">
        <v>159</v>
      </c>
      <c r="F8601" s="10" t="s">
        <v>360</v>
      </c>
    </row>
    <row r="8602" spans="1:24" x14ac:dyDescent="0.35">
      <c r="A8602" s="2">
        <v>43248</v>
      </c>
      <c r="B8602" s="36" t="s">
        <v>29</v>
      </c>
      <c r="C8602" s="10">
        <v>71</v>
      </c>
      <c r="D8602" s="10">
        <v>306</v>
      </c>
      <c r="E8602" s="10" t="s">
        <v>32</v>
      </c>
      <c r="F8602" s="10" t="s">
        <v>360</v>
      </c>
      <c r="G8602" s="10" t="s">
        <v>161</v>
      </c>
    </row>
    <row r="8603" spans="1:24" x14ac:dyDescent="0.35">
      <c r="A8603" s="2">
        <v>43248</v>
      </c>
      <c r="B8603" s="36" t="s">
        <v>29</v>
      </c>
      <c r="C8603" s="10">
        <v>67</v>
      </c>
      <c r="D8603" s="10">
        <v>199</v>
      </c>
      <c r="E8603" s="10" t="s">
        <v>159</v>
      </c>
      <c r="F8603" s="10" t="s">
        <v>360</v>
      </c>
    </row>
    <row r="8604" spans="1:24" x14ac:dyDescent="0.35">
      <c r="A8604" s="2">
        <v>43248</v>
      </c>
      <c r="B8604" s="36" t="s">
        <v>29</v>
      </c>
      <c r="C8604" s="10">
        <v>70</v>
      </c>
      <c r="D8604" s="10">
        <v>290</v>
      </c>
      <c r="E8604" s="10" t="s">
        <v>37</v>
      </c>
      <c r="F8604" s="10" t="s">
        <v>360</v>
      </c>
      <c r="G8604" s="10" t="s">
        <v>161</v>
      </c>
      <c r="N8604" t="s">
        <v>42</v>
      </c>
      <c r="O8604" t="s">
        <v>39</v>
      </c>
      <c r="P8604" t="s">
        <v>40</v>
      </c>
      <c r="Q8604" t="s">
        <v>36</v>
      </c>
      <c r="R8604" t="s">
        <v>33</v>
      </c>
      <c r="S8604" t="s">
        <v>34</v>
      </c>
      <c r="T8604" t="s">
        <v>32</v>
      </c>
      <c r="U8604" t="s">
        <v>37</v>
      </c>
      <c r="V8604" t="s">
        <v>159</v>
      </c>
    </row>
    <row r="8605" spans="1:24" x14ac:dyDescent="0.35">
      <c r="A8605" s="2">
        <v>43248</v>
      </c>
      <c r="B8605" s="36" t="s">
        <v>29</v>
      </c>
      <c r="C8605" s="10">
        <v>68</v>
      </c>
      <c r="D8605" s="10">
        <v>253</v>
      </c>
      <c r="E8605" s="10" t="s">
        <v>159</v>
      </c>
      <c r="F8605" s="10" t="s">
        <v>360</v>
      </c>
      <c r="N8605" s="5">
        <f>COUNTIF(E8556:E8606,"VA")</f>
        <v>0</v>
      </c>
      <c r="O8605" s="5">
        <f>COUNTIF(E8556:E8606,"VB")</f>
        <v>0</v>
      </c>
      <c r="P8605" s="5">
        <f>COUNTIF(E8556:E8606,"VIA0")</f>
        <v>0</v>
      </c>
      <c r="Q8605" s="5">
        <f>COUNTIF(E8556:E8606,"VIA1")</f>
        <v>0</v>
      </c>
      <c r="R8605" s="5">
        <f>COUNTIF(E8555:E8606,"VIA2")</f>
        <v>0</v>
      </c>
      <c r="S8605" s="5">
        <f>COUNTIF(E8555:E8606,"VIA3")</f>
        <v>0</v>
      </c>
      <c r="T8605" s="5">
        <f>COUNTIF(E8555:E8606,"VIA4")</f>
        <v>4</v>
      </c>
      <c r="U8605" s="5">
        <f>COUNTIF(E8555:E8606,"VIB")</f>
        <v>14</v>
      </c>
      <c r="V8605" s="5">
        <f>COUNTIF(E8556:E8606,"VII")</f>
        <v>32</v>
      </c>
      <c r="W8605">
        <f>AVERAGE(C8556:C8605)</f>
        <v>69.92</v>
      </c>
      <c r="X8605">
        <f>AVERAGE(D8556:D8605)</f>
        <v>253.56</v>
      </c>
    </row>
    <row r="8606" spans="1:24" s="4" customFormat="1" x14ac:dyDescent="0.35">
      <c r="A8606" s="3">
        <v>43248</v>
      </c>
      <c r="B8606" s="26" t="s">
        <v>29</v>
      </c>
      <c r="C8606" s="11">
        <v>122</v>
      </c>
      <c r="D8606" s="11">
        <v>2403</v>
      </c>
      <c r="E8606" s="4" t="s">
        <v>59</v>
      </c>
      <c r="N8606" s="6">
        <f>N8605/50*100</f>
        <v>0</v>
      </c>
      <c r="O8606" s="6">
        <f t="shared" ref="O8606" si="292">O8605/50*100</f>
        <v>0</v>
      </c>
      <c r="P8606" s="6">
        <f t="shared" ref="P8606" si="293">P8605/50*100</f>
        <v>0</v>
      </c>
      <c r="Q8606" s="6">
        <f t="shared" ref="Q8606" si="294">Q8605/50*100</f>
        <v>0</v>
      </c>
      <c r="R8606" s="6">
        <f t="shared" ref="R8606" si="295">R8605/50*100</f>
        <v>0</v>
      </c>
      <c r="S8606" s="6">
        <f t="shared" ref="S8606" si="296">S8605/50*100</f>
        <v>0</v>
      </c>
      <c r="T8606" s="6">
        <f t="shared" ref="T8606" si="297">T8605/50*100</f>
        <v>8</v>
      </c>
      <c r="U8606" s="6">
        <f t="shared" ref="U8606" si="298">U8605/50*100</f>
        <v>28.000000000000004</v>
      </c>
      <c r="V8606" s="6">
        <f t="shared" ref="V8606" si="299">V8605/50*100</f>
        <v>64</v>
      </c>
    </row>
    <row r="8607" spans="1:24" x14ac:dyDescent="0.35">
      <c r="A8607" s="2">
        <v>43248</v>
      </c>
      <c r="B8607" s="36" t="s">
        <v>66</v>
      </c>
      <c r="C8607" s="10">
        <v>68</v>
      </c>
      <c r="D8607" s="10">
        <v>249</v>
      </c>
      <c r="E8607" s="10" t="s">
        <v>37</v>
      </c>
      <c r="F8607" s="10" t="s">
        <v>360</v>
      </c>
      <c r="L8607">
        <f>COUNTIF(F8607:F8813,"F0")</f>
        <v>1</v>
      </c>
    </row>
    <row r="8608" spans="1:24" x14ac:dyDescent="0.35">
      <c r="A8608" s="2">
        <v>43248</v>
      </c>
      <c r="B8608" s="36" t="s">
        <v>66</v>
      </c>
      <c r="C8608" s="10">
        <v>65</v>
      </c>
      <c r="D8608" s="10">
        <v>179</v>
      </c>
      <c r="E8608" s="10" t="s">
        <v>159</v>
      </c>
      <c r="F8608" s="10" t="s">
        <v>360</v>
      </c>
    </row>
    <row r="8609" spans="1:7" x14ac:dyDescent="0.35">
      <c r="A8609" s="2">
        <v>43248</v>
      </c>
      <c r="B8609" s="36" t="s">
        <v>66</v>
      </c>
      <c r="C8609" s="10">
        <v>74</v>
      </c>
      <c r="D8609" s="10">
        <v>315</v>
      </c>
      <c r="E8609" s="10" t="s">
        <v>159</v>
      </c>
      <c r="F8609" s="10" t="s">
        <v>360</v>
      </c>
    </row>
    <row r="8610" spans="1:7" x14ac:dyDescent="0.35">
      <c r="A8610" s="2">
        <v>43248</v>
      </c>
      <c r="B8610" s="36" t="s">
        <v>66</v>
      </c>
      <c r="C8610" s="10">
        <v>63</v>
      </c>
      <c r="D8610" s="10">
        <v>245</v>
      </c>
      <c r="E8610" s="10" t="s">
        <v>159</v>
      </c>
      <c r="F8610" s="10" t="s">
        <v>360</v>
      </c>
    </row>
    <row r="8611" spans="1:7" x14ac:dyDescent="0.35">
      <c r="A8611" s="2">
        <v>43248</v>
      </c>
      <c r="B8611" s="36" t="s">
        <v>66</v>
      </c>
      <c r="C8611" s="10">
        <v>70</v>
      </c>
      <c r="D8611" s="10">
        <v>337</v>
      </c>
      <c r="E8611" s="10" t="s">
        <v>159</v>
      </c>
      <c r="F8611" s="10" t="s">
        <v>783</v>
      </c>
    </row>
    <row r="8612" spans="1:7" x14ac:dyDescent="0.35">
      <c r="A8612" s="2">
        <v>43248</v>
      </c>
      <c r="B8612" s="36" t="s">
        <v>66</v>
      </c>
      <c r="C8612" s="10">
        <v>69</v>
      </c>
      <c r="D8612" s="10">
        <v>330</v>
      </c>
      <c r="E8612" s="10" t="s">
        <v>159</v>
      </c>
      <c r="F8612" s="10" t="s">
        <v>360</v>
      </c>
    </row>
    <row r="8613" spans="1:7" x14ac:dyDescent="0.35">
      <c r="A8613" s="2">
        <v>43248</v>
      </c>
      <c r="B8613" s="36" t="s">
        <v>66</v>
      </c>
      <c r="C8613" s="10">
        <v>68</v>
      </c>
      <c r="D8613" s="10">
        <v>256</v>
      </c>
      <c r="E8613" s="10" t="s">
        <v>159</v>
      </c>
      <c r="F8613" s="10" t="s">
        <v>360</v>
      </c>
    </row>
    <row r="8614" spans="1:7" x14ac:dyDescent="0.35">
      <c r="A8614" s="2">
        <v>43248</v>
      </c>
      <c r="B8614" s="36" t="s">
        <v>66</v>
      </c>
      <c r="C8614" s="10">
        <v>71</v>
      </c>
      <c r="D8614" s="10">
        <v>313</v>
      </c>
      <c r="E8614" s="10" t="s">
        <v>159</v>
      </c>
      <c r="F8614" s="10" t="s">
        <v>360</v>
      </c>
    </row>
    <row r="8615" spans="1:7" x14ac:dyDescent="0.35">
      <c r="A8615" s="2">
        <v>43248</v>
      </c>
      <c r="B8615" s="36" t="s">
        <v>66</v>
      </c>
      <c r="C8615" s="10">
        <v>72</v>
      </c>
      <c r="D8615" s="10">
        <v>444</v>
      </c>
      <c r="E8615" s="10" t="s">
        <v>159</v>
      </c>
      <c r="F8615" s="10" t="s">
        <v>783</v>
      </c>
    </row>
    <row r="8616" spans="1:7" x14ac:dyDescent="0.35">
      <c r="A8616" s="2">
        <v>43248</v>
      </c>
      <c r="B8616" s="36" t="s">
        <v>66</v>
      </c>
      <c r="C8616" s="10">
        <v>62</v>
      </c>
      <c r="D8616" s="10">
        <v>180</v>
      </c>
      <c r="E8616" s="10" t="s">
        <v>37</v>
      </c>
      <c r="F8616" s="10" t="s">
        <v>360</v>
      </c>
    </row>
    <row r="8617" spans="1:7" x14ac:dyDescent="0.35">
      <c r="A8617" s="2">
        <v>43248</v>
      </c>
      <c r="B8617" s="36" t="s">
        <v>66</v>
      </c>
      <c r="C8617" s="10">
        <v>65</v>
      </c>
      <c r="D8617" s="10">
        <v>163</v>
      </c>
      <c r="E8617" s="10" t="s">
        <v>32</v>
      </c>
      <c r="F8617" s="10" t="s">
        <v>360</v>
      </c>
    </row>
    <row r="8618" spans="1:7" x14ac:dyDescent="0.35">
      <c r="A8618" s="2">
        <v>43248</v>
      </c>
      <c r="B8618" s="36" t="s">
        <v>66</v>
      </c>
      <c r="C8618" s="10">
        <v>69</v>
      </c>
      <c r="D8618" s="10">
        <v>234</v>
      </c>
      <c r="E8618" s="10" t="s">
        <v>159</v>
      </c>
      <c r="F8618" s="10" t="s">
        <v>360</v>
      </c>
    </row>
    <row r="8619" spans="1:7" x14ac:dyDescent="0.35">
      <c r="A8619" s="2">
        <v>43248</v>
      </c>
      <c r="B8619" s="36" t="s">
        <v>66</v>
      </c>
      <c r="C8619" s="10">
        <v>72</v>
      </c>
      <c r="D8619" s="10">
        <v>309</v>
      </c>
      <c r="E8619" s="10" t="s">
        <v>159</v>
      </c>
      <c r="F8619" s="10" t="s">
        <v>360</v>
      </c>
    </row>
    <row r="8620" spans="1:7" x14ac:dyDescent="0.35">
      <c r="A8620" s="2">
        <v>43248</v>
      </c>
      <c r="B8620" s="36" t="s">
        <v>66</v>
      </c>
      <c r="C8620" s="10">
        <v>66</v>
      </c>
      <c r="D8620" s="10">
        <v>287</v>
      </c>
      <c r="E8620" s="10" t="s">
        <v>159</v>
      </c>
      <c r="F8620" s="10" t="s">
        <v>783</v>
      </c>
    </row>
    <row r="8621" spans="1:7" x14ac:dyDescent="0.35">
      <c r="A8621" s="2">
        <v>43248</v>
      </c>
      <c r="B8621" s="36" t="s">
        <v>66</v>
      </c>
      <c r="C8621" s="10">
        <v>65</v>
      </c>
      <c r="D8621" s="10">
        <v>233</v>
      </c>
      <c r="E8621" s="10" t="s">
        <v>34</v>
      </c>
      <c r="F8621" s="10" t="s">
        <v>360</v>
      </c>
    </row>
    <row r="8622" spans="1:7" x14ac:dyDescent="0.35">
      <c r="A8622" s="2">
        <v>43248</v>
      </c>
      <c r="B8622" s="36" t="s">
        <v>66</v>
      </c>
      <c r="C8622" s="10">
        <v>73</v>
      </c>
      <c r="D8622" s="10">
        <v>229</v>
      </c>
      <c r="E8622" s="10" t="s">
        <v>37</v>
      </c>
      <c r="F8622" s="10" t="s">
        <v>360</v>
      </c>
      <c r="G8622" s="10" t="s">
        <v>161</v>
      </c>
    </row>
    <row r="8623" spans="1:7" x14ac:dyDescent="0.35">
      <c r="A8623" s="2">
        <v>43248</v>
      </c>
      <c r="B8623" s="36" t="s">
        <v>66</v>
      </c>
      <c r="C8623" s="10">
        <v>69</v>
      </c>
      <c r="D8623" s="10">
        <v>249</v>
      </c>
      <c r="E8623" s="10" t="s">
        <v>159</v>
      </c>
      <c r="F8623" s="10" t="s">
        <v>360</v>
      </c>
    </row>
    <row r="8624" spans="1:7" x14ac:dyDescent="0.35">
      <c r="A8624" s="2">
        <v>43248</v>
      </c>
      <c r="B8624" s="36" t="s">
        <v>66</v>
      </c>
      <c r="C8624" s="10">
        <v>69</v>
      </c>
      <c r="D8624" s="10">
        <v>281</v>
      </c>
      <c r="E8624" s="10" t="s">
        <v>159</v>
      </c>
      <c r="F8624" s="10" t="s">
        <v>360</v>
      </c>
    </row>
    <row r="8625" spans="1:7" x14ac:dyDescent="0.35">
      <c r="A8625" s="2">
        <v>43248</v>
      </c>
      <c r="B8625" s="36" t="s">
        <v>66</v>
      </c>
      <c r="C8625" s="10">
        <v>68</v>
      </c>
      <c r="D8625" s="10">
        <v>225</v>
      </c>
      <c r="E8625" s="10" t="s">
        <v>32</v>
      </c>
      <c r="F8625" s="10" t="s">
        <v>360</v>
      </c>
    </row>
    <row r="8626" spans="1:7" x14ac:dyDescent="0.35">
      <c r="A8626" s="2">
        <v>43248</v>
      </c>
      <c r="B8626" s="36" t="s">
        <v>66</v>
      </c>
      <c r="C8626" s="10">
        <v>66</v>
      </c>
      <c r="D8626" s="10">
        <v>157</v>
      </c>
      <c r="E8626" s="10" t="s">
        <v>32</v>
      </c>
      <c r="F8626" s="10" t="s">
        <v>646</v>
      </c>
    </row>
    <row r="8627" spans="1:7" x14ac:dyDescent="0.35">
      <c r="A8627" s="2">
        <v>43248</v>
      </c>
      <c r="B8627" s="36" t="s">
        <v>66</v>
      </c>
      <c r="C8627" s="10">
        <v>69</v>
      </c>
      <c r="D8627" s="10">
        <v>345</v>
      </c>
      <c r="E8627" s="10" t="s">
        <v>159</v>
      </c>
      <c r="F8627" s="10" t="s">
        <v>783</v>
      </c>
    </row>
    <row r="8628" spans="1:7" x14ac:dyDescent="0.35">
      <c r="A8628" s="2">
        <v>43248</v>
      </c>
      <c r="B8628" s="36" t="s">
        <v>66</v>
      </c>
      <c r="C8628" s="10">
        <v>65</v>
      </c>
      <c r="D8628" s="10">
        <v>284</v>
      </c>
      <c r="E8628" s="10" t="s">
        <v>159</v>
      </c>
      <c r="F8628" s="10" t="s">
        <v>360</v>
      </c>
    </row>
    <row r="8629" spans="1:7" x14ac:dyDescent="0.35">
      <c r="A8629" s="2">
        <v>43248</v>
      </c>
      <c r="B8629" s="36" t="s">
        <v>66</v>
      </c>
      <c r="C8629" s="55">
        <v>80</v>
      </c>
      <c r="D8629" s="55">
        <v>653</v>
      </c>
      <c r="E8629" s="55" t="s">
        <v>159</v>
      </c>
      <c r="F8629" s="10" t="s">
        <v>783</v>
      </c>
    </row>
    <row r="8630" spans="1:7" x14ac:dyDescent="0.35">
      <c r="A8630" s="2">
        <v>43248</v>
      </c>
      <c r="B8630" s="36" t="s">
        <v>66</v>
      </c>
      <c r="C8630" s="10">
        <v>69</v>
      </c>
      <c r="D8630" s="10">
        <v>318</v>
      </c>
      <c r="E8630" s="10" t="s">
        <v>159</v>
      </c>
      <c r="F8630" s="10" t="s">
        <v>360</v>
      </c>
    </row>
    <row r="8631" spans="1:7" x14ac:dyDescent="0.35">
      <c r="A8631" s="2">
        <v>43248</v>
      </c>
      <c r="B8631" s="36" t="s">
        <v>66</v>
      </c>
      <c r="C8631" s="10">
        <v>70</v>
      </c>
      <c r="D8631" s="10">
        <v>218</v>
      </c>
      <c r="E8631" s="10" t="s">
        <v>34</v>
      </c>
      <c r="F8631" s="10" t="s">
        <v>476</v>
      </c>
    </row>
    <row r="8632" spans="1:7" x14ac:dyDescent="0.35">
      <c r="A8632" s="2">
        <v>43248</v>
      </c>
      <c r="B8632" s="36" t="s">
        <v>66</v>
      </c>
      <c r="C8632" s="10">
        <v>72</v>
      </c>
      <c r="D8632" s="10">
        <v>332</v>
      </c>
      <c r="E8632" s="10" t="s">
        <v>159</v>
      </c>
      <c r="F8632" s="10" t="s">
        <v>360</v>
      </c>
    </row>
    <row r="8633" spans="1:7" x14ac:dyDescent="0.35">
      <c r="A8633" s="2">
        <v>43248</v>
      </c>
      <c r="B8633" s="36" t="s">
        <v>66</v>
      </c>
      <c r="C8633" s="10">
        <v>65</v>
      </c>
      <c r="D8633" s="10">
        <v>292</v>
      </c>
      <c r="E8633" s="10" t="s">
        <v>159</v>
      </c>
      <c r="F8633" s="10" t="s">
        <v>360</v>
      </c>
    </row>
    <row r="8634" spans="1:7" x14ac:dyDescent="0.35">
      <c r="A8634" s="2">
        <v>43248</v>
      </c>
      <c r="B8634" s="36" t="s">
        <v>66</v>
      </c>
      <c r="C8634" s="10">
        <v>65</v>
      </c>
      <c r="D8634" s="10">
        <v>252</v>
      </c>
      <c r="E8634" s="10" t="s">
        <v>159</v>
      </c>
      <c r="F8634" s="10" t="s">
        <v>360</v>
      </c>
    </row>
    <row r="8635" spans="1:7" x14ac:dyDescent="0.35">
      <c r="A8635" s="2">
        <v>43248</v>
      </c>
      <c r="B8635" s="36" t="s">
        <v>66</v>
      </c>
      <c r="C8635" s="10">
        <v>74</v>
      </c>
      <c r="D8635" s="10">
        <v>287</v>
      </c>
      <c r="E8635" s="10" t="s">
        <v>32</v>
      </c>
      <c r="F8635" s="10" t="s">
        <v>198</v>
      </c>
      <c r="G8635" s="10" t="s">
        <v>161</v>
      </c>
    </row>
    <row r="8636" spans="1:7" x14ac:dyDescent="0.35">
      <c r="A8636" s="2">
        <v>43248</v>
      </c>
      <c r="B8636" s="36" t="s">
        <v>66</v>
      </c>
      <c r="C8636" s="10">
        <v>68</v>
      </c>
      <c r="D8636" s="10">
        <v>368</v>
      </c>
      <c r="E8636" s="10" t="s">
        <v>159</v>
      </c>
      <c r="F8636" s="10" t="s">
        <v>783</v>
      </c>
    </row>
    <row r="8637" spans="1:7" x14ac:dyDescent="0.35">
      <c r="A8637" s="2">
        <v>43248</v>
      </c>
      <c r="B8637" s="36" t="s">
        <v>66</v>
      </c>
      <c r="C8637" s="10">
        <v>71</v>
      </c>
      <c r="D8637" s="10">
        <v>244</v>
      </c>
      <c r="E8637" s="10" t="s">
        <v>159</v>
      </c>
      <c r="F8637" s="10" t="s">
        <v>360</v>
      </c>
    </row>
    <row r="8638" spans="1:7" x14ac:dyDescent="0.35">
      <c r="A8638" s="2">
        <v>43248</v>
      </c>
      <c r="B8638" s="36" t="s">
        <v>66</v>
      </c>
      <c r="C8638" s="10">
        <v>67</v>
      </c>
      <c r="D8638" s="10">
        <v>249</v>
      </c>
      <c r="E8638" s="10" t="s">
        <v>32</v>
      </c>
      <c r="F8638" s="10" t="s">
        <v>198</v>
      </c>
      <c r="G8638" s="10" t="s">
        <v>161</v>
      </c>
    </row>
    <row r="8639" spans="1:7" x14ac:dyDescent="0.35">
      <c r="A8639" s="2">
        <v>43248</v>
      </c>
      <c r="B8639" s="36" t="s">
        <v>66</v>
      </c>
      <c r="C8639" s="10">
        <v>70</v>
      </c>
      <c r="D8639" s="10">
        <v>308</v>
      </c>
      <c r="E8639" s="10" t="s">
        <v>159</v>
      </c>
      <c r="F8639" s="10" t="s">
        <v>360</v>
      </c>
    </row>
    <row r="8640" spans="1:7" x14ac:dyDescent="0.35">
      <c r="A8640" s="2">
        <v>43248</v>
      </c>
      <c r="B8640" s="36" t="s">
        <v>66</v>
      </c>
      <c r="C8640" s="10">
        <v>65</v>
      </c>
      <c r="D8640" s="10">
        <v>238</v>
      </c>
      <c r="E8640" s="10" t="s">
        <v>37</v>
      </c>
      <c r="F8640" s="10" t="s">
        <v>360</v>
      </c>
      <c r="G8640" s="10" t="s">
        <v>161</v>
      </c>
    </row>
    <row r="8641" spans="1:7" x14ac:dyDescent="0.35">
      <c r="A8641" s="2">
        <v>43248</v>
      </c>
      <c r="B8641" s="36" t="s">
        <v>66</v>
      </c>
      <c r="C8641" s="10">
        <v>63</v>
      </c>
      <c r="D8641" s="10">
        <v>216</v>
      </c>
      <c r="E8641" s="10" t="s">
        <v>32</v>
      </c>
      <c r="F8641" s="10" t="s">
        <v>198</v>
      </c>
      <c r="G8641" s="10" t="s">
        <v>161</v>
      </c>
    </row>
    <row r="8642" spans="1:7" x14ac:dyDescent="0.35">
      <c r="A8642" s="2">
        <v>43248</v>
      </c>
      <c r="B8642" s="36" t="s">
        <v>66</v>
      </c>
      <c r="C8642" s="10">
        <v>71</v>
      </c>
      <c r="D8642" s="10">
        <v>352</v>
      </c>
      <c r="E8642" s="10" t="s">
        <v>159</v>
      </c>
      <c r="F8642" s="10" t="s">
        <v>360</v>
      </c>
    </row>
    <row r="8643" spans="1:7" x14ac:dyDescent="0.35">
      <c r="A8643" s="2">
        <v>43248</v>
      </c>
      <c r="B8643" s="36" t="s">
        <v>66</v>
      </c>
      <c r="C8643" s="10">
        <v>71</v>
      </c>
      <c r="D8643" s="10">
        <v>344</v>
      </c>
      <c r="E8643" s="10" t="s">
        <v>159</v>
      </c>
      <c r="F8643" s="10" t="s">
        <v>360</v>
      </c>
    </row>
    <row r="8644" spans="1:7" x14ac:dyDescent="0.35">
      <c r="A8644" s="2">
        <v>43248</v>
      </c>
      <c r="B8644" s="36" t="s">
        <v>66</v>
      </c>
      <c r="C8644" s="10">
        <v>69</v>
      </c>
      <c r="D8644" s="10">
        <v>298</v>
      </c>
      <c r="E8644" s="10" t="s">
        <v>37</v>
      </c>
      <c r="F8644" s="10" t="s">
        <v>360</v>
      </c>
    </row>
    <row r="8645" spans="1:7" x14ac:dyDescent="0.35">
      <c r="A8645" s="2">
        <v>43248</v>
      </c>
      <c r="B8645" s="36" t="s">
        <v>66</v>
      </c>
      <c r="C8645" s="10">
        <v>64</v>
      </c>
      <c r="D8645" s="10">
        <v>191</v>
      </c>
      <c r="E8645" s="10" t="s">
        <v>159</v>
      </c>
      <c r="F8645" s="10" t="s">
        <v>198</v>
      </c>
    </row>
    <row r="8646" spans="1:7" x14ac:dyDescent="0.35">
      <c r="A8646" s="2">
        <v>43248</v>
      </c>
      <c r="B8646" s="36" t="s">
        <v>66</v>
      </c>
      <c r="C8646" s="10">
        <v>66</v>
      </c>
      <c r="D8646" s="10">
        <v>179</v>
      </c>
      <c r="E8646" s="10" t="s">
        <v>32</v>
      </c>
      <c r="F8646" s="10" t="s">
        <v>293</v>
      </c>
    </row>
    <row r="8647" spans="1:7" x14ac:dyDescent="0.35">
      <c r="A8647" s="2">
        <v>43248</v>
      </c>
      <c r="B8647" s="36" t="s">
        <v>66</v>
      </c>
      <c r="C8647" s="10">
        <v>68</v>
      </c>
      <c r="D8647" s="10">
        <v>247</v>
      </c>
      <c r="E8647" s="10" t="s">
        <v>32</v>
      </c>
      <c r="F8647" s="10" t="s">
        <v>293</v>
      </c>
    </row>
    <row r="8648" spans="1:7" x14ac:dyDescent="0.35">
      <c r="A8648" s="2">
        <v>43248</v>
      </c>
      <c r="B8648" s="36" t="s">
        <v>66</v>
      </c>
      <c r="C8648" s="10">
        <v>68</v>
      </c>
      <c r="D8648" s="10">
        <v>296</v>
      </c>
      <c r="E8648" s="10" t="s">
        <v>159</v>
      </c>
      <c r="F8648" s="10" t="s">
        <v>360</v>
      </c>
    </row>
    <row r="8649" spans="1:7" s="4" customFormat="1" x14ac:dyDescent="0.35">
      <c r="A8649" s="3">
        <v>43248</v>
      </c>
      <c r="B8649" s="26" t="s">
        <v>66</v>
      </c>
      <c r="C8649" s="11">
        <v>70</v>
      </c>
      <c r="D8649" s="11">
        <v>241</v>
      </c>
      <c r="E8649" s="11" t="s">
        <v>159</v>
      </c>
      <c r="F8649" s="11" t="s">
        <v>360</v>
      </c>
    </row>
    <row r="8650" spans="1:7" x14ac:dyDescent="0.35">
      <c r="A8650" s="2">
        <v>43248</v>
      </c>
      <c r="B8650" s="36" t="s">
        <v>102</v>
      </c>
      <c r="C8650" s="10">
        <v>71</v>
      </c>
      <c r="D8650" s="10">
        <v>431</v>
      </c>
      <c r="E8650" s="10" t="s">
        <v>159</v>
      </c>
      <c r="F8650" s="10" t="s">
        <v>360</v>
      </c>
    </row>
    <row r="8651" spans="1:7" x14ac:dyDescent="0.35">
      <c r="A8651" s="2">
        <v>43248</v>
      </c>
      <c r="B8651" s="36" t="s">
        <v>102</v>
      </c>
      <c r="C8651" s="10">
        <v>70</v>
      </c>
      <c r="D8651" s="10">
        <v>357</v>
      </c>
      <c r="E8651" s="10" t="s">
        <v>159</v>
      </c>
      <c r="F8651" s="10" t="s">
        <v>360</v>
      </c>
    </row>
    <row r="8652" spans="1:7" x14ac:dyDescent="0.35">
      <c r="A8652" s="2">
        <v>43248</v>
      </c>
      <c r="B8652" s="36" t="s">
        <v>102</v>
      </c>
      <c r="C8652" s="10">
        <v>67</v>
      </c>
      <c r="D8652" s="10">
        <v>184</v>
      </c>
      <c r="E8652" s="10" t="s">
        <v>37</v>
      </c>
      <c r="F8652" s="10" t="s">
        <v>360</v>
      </c>
      <c r="G8652" s="10" t="s">
        <v>161</v>
      </c>
    </row>
    <row r="8653" spans="1:7" x14ac:dyDescent="0.35">
      <c r="A8653" s="2">
        <v>43248</v>
      </c>
      <c r="B8653" s="36" t="s">
        <v>102</v>
      </c>
      <c r="C8653" s="10">
        <v>76</v>
      </c>
      <c r="D8653" s="10">
        <v>518</v>
      </c>
      <c r="E8653" s="10" t="s">
        <v>159</v>
      </c>
      <c r="F8653" s="10" t="s">
        <v>360</v>
      </c>
    </row>
    <row r="8654" spans="1:7" x14ac:dyDescent="0.35">
      <c r="A8654" s="2">
        <v>43248</v>
      </c>
      <c r="B8654" s="36" t="s">
        <v>102</v>
      </c>
      <c r="C8654" s="10">
        <v>70</v>
      </c>
      <c r="D8654" s="10">
        <v>310</v>
      </c>
      <c r="E8654" s="10" t="s">
        <v>159</v>
      </c>
      <c r="F8654" s="10" t="s">
        <v>360</v>
      </c>
    </row>
    <row r="8655" spans="1:7" x14ac:dyDescent="0.35">
      <c r="A8655" s="2">
        <v>43248</v>
      </c>
      <c r="B8655" s="36" t="s">
        <v>102</v>
      </c>
      <c r="C8655" s="10">
        <v>67</v>
      </c>
      <c r="D8655" s="10">
        <v>337</v>
      </c>
      <c r="E8655" s="10" t="s">
        <v>159</v>
      </c>
      <c r="F8655" s="10" t="s">
        <v>360</v>
      </c>
    </row>
    <row r="8656" spans="1:7" x14ac:dyDescent="0.35">
      <c r="A8656" s="2">
        <v>43248</v>
      </c>
      <c r="B8656" s="36" t="s">
        <v>102</v>
      </c>
      <c r="C8656" s="10">
        <v>74</v>
      </c>
      <c r="D8656" s="10">
        <v>341</v>
      </c>
      <c r="E8656" s="10" t="s">
        <v>37</v>
      </c>
      <c r="F8656" s="10" t="s">
        <v>360</v>
      </c>
    </row>
    <row r="8657" spans="1:7" x14ac:dyDescent="0.35">
      <c r="A8657" s="2">
        <v>43248</v>
      </c>
      <c r="B8657" s="36" t="s">
        <v>102</v>
      </c>
      <c r="C8657" s="10">
        <v>77</v>
      </c>
      <c r="D8657" s="10">
        <v>519</v>
      </c>
      <c r="E8657" s="10" t="s">
        <v>159</v>
      </c>
      <c r="F8657" s="10" t="s">
        <v>360</v>
      </c>
    </row>
    <row r="8658" spans="1:7" x14ac:dyDescent="0.35">
      <c r="A8658" s="2">
        <v>43248</v>
      </c>
      <c r="B8658" s="36" t="s">
        <v>102</v>
      </c>
      <c r="C8658" s="10">
        <v>66</v>
      </c>
      <c r="D8658" s="10">
        <v>275</v>
      </c>
      <c r="E8658" s="10" t="s">
        <v>32</v>
      </c>
      <c r="F8658" s="10" t="s">
        <v>360</v>
      </c>
      <c r="G8658" s="10" t="s">
        <v>161</v>
      </c>
    </row>
    <row r="8659" spans="1:7" x14ac:dyDescent="0.35">
      <c r="A8659" s="2">
        <v>43248</v>
      </c>
      <c r="B8659" s="36" t="s">
        <v>102</v>
      </c>
      <c r="C8659" s="10">
        <v>69</v>
      </c>
      <c r="D8659" s="10">
        <v>282</v>
      </c>
      <c r="E8659" s="10" t="s">
        <v>159</v>
      </c>
      <c r="F8659" s="10" t="s">
        <v>360</v>
      </c>
    </row>
    <row r="8660" spans="1:7" x14ac:dyDescent="0.35">
      <c r="A8660" s="2">
        <v>43248</v>
      </c>
      <c r="B8660" s="36" t="s">
        <v>102</v>
      </c>
      <c r="C8660" s="10">
        <v>75</v>
      </c>
      <c r="D8660" s="10">
        <v>358</v>
      </c>
      <c r="E8660" s="10" t="s">
        <v>159</v>
      </c>
      <c r="F8660" s="10" t="s">
        <v>360</v>
      </c>
    </row>
    <row r="8661" spans="1:7" x14ac:dyDescent="0.35">
      <c r="A8661" s="2">
        <v>43248</v>
      </c>
      <c r="B8661" s="36" t="s">
        <v>102</v>
      </c>
      <c r="C8661" s="10">
        <v>74</v>
      </c>
      <c r="D8661" s="10">
        <v>380</v>
      </c>
      <c r="E8661" s="10" t="s">
        <v>159</v>
      </c>
      <c r="F8661" s="10" t="s">
        <v>360</v>
      </c>
    </row>
    <row r="8662" spans="1:7" x14ac:dyDescent="0.35">
      <c r="A8662" s="2">
        <v>43248</v>
      </c>
      <c r="B8662" s="36" t="s">
        <v>102</v>
      </c>
      <c r="C8662" s="10">
        <v>70</v>
      </c>
      <c r="D8662" s="10">
        <v>259</v>
      </c>
      <c r="E8662" s="10" t="s">
        <v>32</v>
      </c>
      <c r="F8662" s="10" t="s">
        <v>198</v>
      </c>
      <c r="G8662" s="10" t="s">
        <v>935</v>
      </c>
    </row>
    <row r="8663" spans="1:7" x14ac:dyDescent="0.35">
      <c r="A8663" s="2">
        <v>43248</v>
      </c>
      <c r="B8663" s="36" t="s">
        <v>102</v>
      </c>
      <c r="C8663" s="10">
        <v>76</v>
      </c>
      <c r="D8663" s="10">
        <v>334</v>
      </c>
      <c r="E8663" s="10" t="s">
        <v>159</v>
      </c>
      <c r="F8663" s="10" t="s">
        <v>360</v>
      </c>
    </row>
    <row r="8664" spans="1:7" x14ac:dyDescent="0.35">
      <c r="A8664" s="2">
        <v>43248</v>
      </c>
      <c r="B8664" s="36" t="s">
        <v>102</v>
      </c>
      <c r="C8664" s="10">
        <v>74</v>
      </c>
      <c r="D8664" s="10">
        <v>488</v>
      </c>
      <c r="E8664" s="10" t="s">
        <v>159</v>
      </c>
      <c r="F8664" s="10" t="s">
        <v>360</v>
      </c>
    </row>
    <row r="8665" spans="1:7" x14ac:dyDescent="0.35">
      <c r="A8665" s="2">
        <v>43248</v>
      </c>
      <c r="B8665" s="36" t="s">
        <v>102</v>
      </c>
      <c r="C8665" s="10">
        <v>74</v>
      </c>
      <c r="D8665" s="10">
        <v>350</v>
      </c>
      <c r="E8665" s="10" t="s">
        <v>159</v>
      </c>
      <c r="F8665" s="10" t="s">
        <v>360</v>
      </c>
    </row>
    <row r="8666" spans="1:7" x14ac:dyDescent="0.35">
      <c r="A8666" s="2">
        <v>43248</v>
      </c>
      <c r="B8666" s="36" t="s">
        <v>102</v>
      </c>
      <c r="C8666" s="10">
        <v>73</v>
      </c>
      <c r="D8666" s="10">
        <v>374</v>
      </c>
      <c r="E8666" s="10" t="s">
        <v>37</v>
      </c>
      <c r="F8666" s="10" t="s">
        <v>360</v>
      </c>
      <c r="G8666" s="10" t="s">
        <v>161</v>
      </c>
    </row>
    <row r="8667" spans="1:7" x14ac:dyDescent="0.35">
      <c r="A8667" s="2">
        <v>43248</v>
      </c>
      <c r="B8667" s="36" t="s">
        <v>102</v>
      </c>
      <c r="C8667" s="10">
        <v>63</v>
      </c>
      <c r="D8667" s="10">
        <v>202</v>
      </c>
      <c r="E8667" s="10" t="s">
        <v>32</v>
      </c>
      <c r="F8667" s="10" t="s">
        <v>198</v>
      </c>
    </row>
    <row r="8668" spans="1:7" x14ac:dyDescent="0.35">
      <c r="A8668" s="2">
        <v>43248</v>
      </c>
      <c r="B8668" s="36" t="s">
        <v>102</v>
      </c>
      <c r="C8668" s="10">
        <v>73</v>
      </c>
      <c r="D8668" s="10">
        <v>460</v>
      </c>
      <c r="E8668" s="10" t="s">
        <v>159</v>
      </c>
      <c r="F8668" s="10" t="s">
        <v>783</v>
      </c>
    </row>
    <row r="8669" spans="1:7" x14ac:dyDescent="0.35">
      <c r="A8669" s="2">
        <v>43248</v>
      </c>
      <c r="B8669" s="36" t="s">
        <v>102</v>
      </c>
      <c r="C8669" s="10">
        <v>71</v>
      </c>
      <c r="D8669" s="10">
        <v>275</v>
      </c>
      <c r="E8669" s="10" t="s">
        <v>37</v>
      </c>
      <c r="F8669" s="10" t="s">
        <v>360</v>
      </c>
      <c r="G8669" s="10" t="s">
        <v>161</v>
      </c>
    </row>
    <row r="8670" spans="1:7" x14ac:dyDescent="0.35">
      <c r="A8670" s="2">
        <v>43248</v>
      </c>
      <c r="B8670" s="36" t="s">
        <v>102</v>
      </c>
      <c r="C8670" s="10">
        <v>72</v>
      </c>
      <c r="D8670" s="10">
        <v>360</v>
      </c>
      <c r="E8670" s="10" t="s">
        <v>159</v>
      </c>
      <c r="F8670" s="10" t="s">
        <v>360</v>
      </c>
    </row>
    <row r="8671" spans="1:7" x14ac:dyDescent="0.35">
      <c r="A8671" s="2">
        <v>43248</v>
      </c>
      <c r="B8671" s="36" t="s">
        <v>102</v>
      </c>
      <c r="C8671" s="10">
        <v>72</v>
      </c>
      <c r="D8671" s="10">
        <v>316</v>
      </c>
      <c r="E8671" s="10" t="s">
        <v>159</v>
      </c>
      <c r="F8671" s="10" t="s">
        <v>360</v>
      </c>
    </row>
    <row r="8672" spans="1:7" x14ac:dyDescent="0.35">
      <c r="A8672" s="2">
        <v>43248</v>
      </c>
      <c r="B8672" s="36" t="s">
        <v>102</v>
      </c>
      <c r="C8672" s="10">
        <v>70</v>
      </c>
      <c r="D8672" s="10">
        <v>347</v>
      </c>
      <c r="E8672" s="10" t="s">
        <v>159</v>
      </c>
      <c r="F8672" s="10" t="s">
        <v>360</v>
      </c>
    </row>
    <row r="8673" spans="1:7" x14ac:dyDescent="0.35">
      <c r="A8673" s="2">
        <v>43248</v>
      </c>
      <c r="B8673" s="36" t="s">
        <v>102</v>
      </c>
      <c r="C8673" s="10">
        <v>73</v>
      </c>
      <c r="D8673" s="10">
        <v>313</v>
      </c>
      <c r="E8673" s="10" t="s">
        <v>37</v>
      </c>
      <c r="F8673" s="10" t="s">
        <v>198</v>
      </c>
    </row>
    <row r="8674" spans="1:7" x14ac:dyDescent="0.35">
      <c r="A8674" s="2">
        <v>43248</v>
      </c>
      <c r="B8674" s="36" t="s">
        <v>102</v>
      </c>
      <c r="C8674" s="10">
        <v>66</v>
      </c>
      <c r="D8674" s="10">
        <v>279</v>
      </c>
      <c r="E8674" s="10" t="s">
        <v>32</v>
      </c>
      <c r="F8674" s="10" t="s">
        <v>293</v>
      </c>
    </row>
    <row r="8675" spans="1:7" x14ac:dyDescent="0.35">
      <c r="A8675" s="2">
        <v>43248</v>
      </c>
      <c r="B8675" s="36" t="s">
        <v>102</v>
      </c>
      <c r="C8675" s="10">
        <v>70</v>
      </c>
      <c r="D8675" s="10">
        <v>215</v>
      </c>
      <c r="E8675" s="10" t="s">
        <v>159</v>
      </c>
      <c r="F8675" s="10" t="s">
        <v>198</v>
      </c>
    </row>
    <row r="8676" spans="1:7" x14ac:dyDescent="0.35">
      <c r="A8676" s="2">
        <v>43248</v>
      </c>
      <c r="B8676" s="36" t="s">
        <v>102</v>
      </c>
      <c r="C8676" s="10">
        <v>74</v>
      </c>
      <c r="D8676" s="10">
        <v>411</v>
      </c>
      <c r="E8676" s="10" t="s">
        <v>159</v>
      </c>
      <c r="F8676" s="10" t="s">
        <v>360</v>
      </c>
    </row>
    <row r="8677" spans="1:7" x14ac:dyDescent="0.35">
      <c r="A8677" s="2">
        <v>43248</v>
      </c>
      <c r="B8677" s="36" t="s">
        <v>102</v>
      </c>
      <c r="C8677" s="10">
        <v>75</v>
      </c>
      <c r="D8677" s="10">
        <v>301</v>
      </c>
      <c r="E8677" s="10" t="s">
        <v>37</v>
      </c>
      <c r="F8677" s="10" t="s">
        <v>198</v>
      </c>
    </row>
    <row r="8678" spans="1:7" x14ac:dyDescent="0.35">
      <c r="A8678" s="2">
        <v>43248</v>
      </c>
      <c r="B8678" s="36" t="s">
        <v>102</v>
      </c>
      <c r="C8678" s="10">
        <v>74</v>
      </c>
      <c r="D8678" s="10">
        <v>442</v>
      </c>
      <c r="E8678" s="10" t="s">
        <v>159</v>
      </c>
      <c r="F8678" s="10" t="s">
        <v>783</v>
      </c>
    </row>
    <row r="8679" spans="1:7" x14ac:dyDescent="0.35">
      <c r="A8679" s="2">
        <v>43248</v>
      </c>
      <c r="B8679" s="36" t="s">
        <v>102</v>
      </c>
      <c r="C8679" s="10">
        <v>67</v>
      </c>
      <c r="D8679" s="10">
        <v>302</v>
      </c>
      <c r="E8679" s="10" t="s">
        <v>159</v>
      </c>
      <c r="F8679" s="10" t="s">
        <v>360</v>
      </c>
    </row>
    <row r="8680" spans="1:7" x14ac:dyDescent="0.35">
      <c r="A8680" s="2">
        <v>43248</v>
      </c>
      <c r="B8680" s="36" t="s">
        <v>102</v>
      </c>
      <c r="C8680" s="10">
        <v>74</v>
      </c>
      <c r="D8680" s="10">
        <v>300</v>
      </c>
      <c r="E8680" s="10" t="s">
        <v>37</v>
      </c>
      <c r="F8680" s="10" t="s">
        <v>198</v>
      </c>
    </row>
    <row r="8681" spans="1:7" x14ac:dyDescent="0.35">
      <c r="A8681" s="2">
        <v>43248</v>
      </c>
      <c r="B8681" s="36" t="s">
        <v>102</v>
      </c>
      <c r="C8681" s="10">
        <v>72</v>
      </c>
      <c r="D8681" s="10">
        <v>318</v>
      </c>
      <c r="E8681" s="10" t="s">
        <v>159</v>
      </c>
      <c r="F8681" s="10" t="s">
        <v>360</v>
      </c>
    </row>
    <row r="8682" spans="1:7" x14ac:dyDescent="0.35">
      <c r="A8682" s="2">
        <v>43248</v>
      </c>
      <c r="B8682" s="36" t="s">
        <v>102</v>
      </c>
      <c r="C8682" s="10">
        <v>68</v>
      </c>
      <c r="D8682" s="10">
        <v>317</v>
      </c>
      <c r="E8682" s="10" t="s">
        <v>159</v>
      </c>
      <c r="F8682" s="10" t="s">
        <v>360</v>
      </c>
    </row>
    <row r="8683" spans="1:7" x14ac:dyDescent="0.35">
      <c r="A8683" s="2">
        <v>43248</v>
      </c>
      <c r="B8683" s="36" t="s">
        <v>102</v>
      </c>
      <c r="C8683" s="10">
        <v>65</v>
      </c>
      <c r="D8683" s="10">
        <v>260</v>
      </c>
      <c r="E8683" s="10" t="s">
        <v>37</v>
      </c>
      <c r="F8683" s="10" t="s">
        <v>293</v>
      </c>
      <c r="G8683" s="10" t="s">
        <v>161</v>
      </c>
    </row>
    <row r="8684" spans="1:7" x14ac:dyDescent="0.35">
      <c r="A8684" s="2">
        <v>43248</v>
      </c>
      <c r="B8684" s="36" t="s">
        <v>102</v>
      </c>
      <c r="C8684" s="10">
        <v>65</v>
      </c>
      <c r="D8684" s="10">
        <v>278</v>
      </c>
      <c r="E8684" s="10" t="s">
        <v>159</v>
      </c>
      <c r="F8684" s="10" t="s">
        <v>360</v>
      </c>
    </row>
    <row r="8685" spans="1:7" x14ac:dyDescent="0.35">
      <c r="A8685" s="2">
        <v>43248</v>
      </c>
      <c r="B8685" s="36" t="s">
        <v>102</v>
      </c>
      <c r="C8685" s="10">
        <v>65</v>
      </c>
      <c r="D8685" s="10">
        <v>232</v>
      </c>
      <c r="E8685" s="10" t="s">
        <v>32</v>
      </c>
      <c r="F8685" s="10" t="s">
        <v>293</v>
      </c>
    </row>
    <row r="8686" spans="1:7" s="4" customFormat="1" x14ac:dyDescent="0.35">
      <c r="A8686" s="3">
        <v>43248</v>
      </c>
      <c r="B8686" s="26" t="s">
        <v>102</v>
      </c>
      <c r="C8686" s="11">
        <v>68</v>
      </c>
      <c r="D8686" s="11">
        <v>328</v>
      </c>
      <c r="E8686" s="11" t="s">
        <v>159</v>
      </c>
      <c r="F8686" s="11" t="s">
        <v>360</v>
      </c>
    </row>
    <row r="8687" spans="1:7" x14ac:dyDescent="0.35">
      <c r="A8687" s="2">
        <v>43248</v>
      </c>
      <c r="B8687" s="36" t="s">
        <v>104</v>
      </c>
      <c r="C8687" s="10">
        <v>68</v>
      </c>
      <c r="D8687" s="10">
        <v>336</v>
      </c>
      <c r="E8687" s="10" t="s">
        <v>37</v>
      </c>
      <c r="F8687" s="10" t="s">
        <v>360</v>
      </c>
      <c r="G8687" s="10" t="s">
        <v>161</v>
      </c>
    </row>
    <row r="8688" spans="1:7" x14ac:dyDescent="0.35">
      <c r="A8688" s="2">
        <v>43248</v>
      </c>
      <c r="B8688" s="36" t="s">
        <v>104</v>
      </c>
      <c r="C8688" s="10">
        <v>71</v>
      </c>
      <c r="D8688" s="10">
        <v>270</v>
      </c>
      <c r="E8688" s="10" t="s">
        <v>32</v>
      </c>
      <c r="F8688" s="10" t="s">
        <v>198</v>
      </c>
    </row>
    <row r="8689" spans="1:7" x14ac:dyDescent="0.35">
      <c r="A8689" s="2">
        <v>43248</v>
      </c>
      <c r="B8689" s="36" t="s">
        <v>104</v>
      </c>
      <c r="C8689" s="10">
        <v>75</v>
      </c>
      <c r="D8689" s="10">
        <v>346</v>
      </c>
      <c r="E8689" s="10" t="s">
        <v>159</v>
      </c>
      <c r="F8689" s="10" t="s">
        <v>360</v>
      </c>
    </row>
    <row r="8690" spans="1:7" x14ac:dyDescent="0.35">
      <c r="A8690" s="2">
        <v>43248</v>
      </c>
      <c r="B8690" s="36" t="s">
        <v>104</v>
      </c>
      <c r="C8690" s="10">
        <v>68</v>
      </c>
      <c r="D8690" s="10">
        <v>272</v>
      </c>
      <c r="E8690" s="10" t="s">
        <v>159</v>
      </c>
      <c r="F8690" s="10" t="s">
        <v>360</v>
      </c>
    </row>
    <row r="8691" spans="1:7" x14ac:dyDescent="0.35">
      <c r="A8691" s="2">
        <v>43248</v>
      </c>
      <c r="B8691" s="36" t="s">
        <v>104</v>
      </c>
      <c r="C8691" s="10">
        <v>70</v>
      </c>
      <c r="D8691" s="10">
        <v>305</v>
      </c>
      <c r="E8691" s="10" t="s">
        <v>37</v>
      </c>
      <c r="F8691" s="10" t="s">
        <v>198</v>
      </c>
      <c r="G8691" s="10" t="s">
        <v>161</v>
      </c>
    </row>
    <row r="8692" spans="1:7" x14ac:dyDescent="0.35">
      <c r="A8692" s="2">
        <v>43248</v>
      </c>
      <c r="B8692" s="36" t="s">
        <v>104</v>
      </c>
      <c r="C8692" s="10">
        <v>70</v>
      </c>
      <c r="D8692" s="10">
        <v>432</v>
      </c>
      <c r="E8692" s="10" t="s">
        <v>159</v>
      </c>
      <c r="F8692" s="10" t="s">
        <v>360</v>
      </c>
    </row>
    <row r="8693" spans="1:7" x14ac:dyDescent="0.35">
      <c r="A8693" s="2">
        <v>43248</v>
      </c>
      <c r="B8693" s="36" t="s">
        <v>104</v>
      </c>
      <c r="C8693" s="10">
        <v>76</v>
      </c>
      <c r="D8693" s="10">
        <v>394</v>
      </c>
      <c r="E8693" s="10" t="s">
        <v>159</v>
      </c>
      <c r="F8693" s="10" t="s">
        <v>360</v>
      </c>
    </row>
    <row r="8694" spans="1:7" x14ac:dyDescent="0.35">
      <c r="A8694" s="2">
        <v>43248</v>
      </c>
      <c r="B8694" s="36" t="s">
        <v>104</v>
      </c>
      <c r="C8694" s="10">
        <v>72</v>
      </c>
      <c r="D8694" s="10">
        <v>429</v>
      </c>
      <c r="E8694" s="10" t="s">
        <v>159</v>
      </c>
      <c r="F8694" s="10" t="s">
        <v>783</v>
      </c>
    </row>
    <row r="8695" spans="1:7" x14ac:dyDescent="0.35">
      <c r="A8695" s="2">
        <v>43248</v>
      </c>
      <c r="B8695" s="36" t="s">
        <v>104</v>
      </c>
      <c r="C8695" s="10">
        <v>71</v>
      </c>
      <c r="D8695" s="10">
        <v>357</v>
      </c>
      <c r="E8695" s="10" t="s">
        <v>159</v>
      </c>
      <c r="F8695" s="10" t="s">
        <v>360</v>
      </c>
    </row>
    <row r="8696" spans="1:7" x14ac:dyDescent="0.35">
      <c r="A8696" s="2">
        <v>43248</v>
      </c>
      <c r="B8696" s="36" t="s">
        <v>104</v>
      </c>
      <c r="C8696" s="10">
        <v>76</v>
      </c>
      <c r="D8696" s="10">
        <v>404</v>
      </c>
      <c r="E8696" s="10" t="s">
        <v>159</v>
      </c>
      <c r="F8696" s="10" t="s">
        <v>360</v>
      </c>
    </row>
    <row r="8697" spans="1:7" x14ac:dyDescent="0.35">
      <c r="A8697" s="2">
        <v>43248</v>
      </c>
      <c r="B8697" s="36" t="s">
        <v>104</v>
      </c>
      <c r="C8697" s="10">
        <v>69</v>
      </c>
      <c r="D8697" s="10">
        <v>300</v>
      </c>
      <c r="E8697" s="10" t="s">
        <v>37</v>
      </c>
      <c r="F8697" s="10" t="s">
        <v>360</v>
      </c>
      <c r="G8697" s="10" t="s">
        <v>161</v>
      </c>
    </row>
    <row r="8698" spans="1:7" x14ac:dyDescent="0.35">
      <c r="A8698" s="2">
        <v>43248</v>
      </c>
      <c r="B8698" s="36" t="s">
        <v>104</v>
      </c>
      <c r="C8698" s="10">
        <v>66</v>
      </c>
      <c r="D8698" s="10">
        <v>333</v>
      </c>
      <c r="E8698" s="10" t="s">
        <v>159</v>
      </c>
      <c r="F8698" s="10" t="s">
        <v>360</v>
      </c>
    </row>
    <row r="8699" spans="1:7" x14ac:dyDescent="0.35">
      <c r="A8699" s="2">
        <v>43248</v>
      </c>
      <c r="B8699" s="36" t="s">
        <v>104</v>
      </c>
      <c r="C8699" s="10">
        <v>68</v>
      </c>
      <c r="D8699" s="10">
        <v>344</v>
      </c>
      <c r="E8699" s="10" t="s">
        <v>159</v>
      </c>
      <c r="F8699" s="10" t="s">
        <v>360</v>
      </c>
    </row>
    <row r="8700" spans="1:7" x14ac:dyDescent="0.35">
      <c r="A8700" s="2">
        <v>43248</v>
      </c>
      <c r="B8700" s="36" t="s">
        <v>104</v>
      </c>
      <c r="C8700" s="10">
        <v>74</v>
      </c>
      <c r="D8700" s="10">
        <v>309</v>
      </c>
      <c r="E8700" s="10" t="s">
        <v>159</v>
      </c>
      <c r="F8700" s="10" t="s">
        <v>360</v>
      </c>
    </row>
    <row r="8701" spans="1:7" x14ac:dyDescent="0.35">
      <c r="A8701" s="2">
        <v>43248</v>
      </c>
      <c r="B8701" s="36" t="s">
        <v>104</v>
      </c>
      <c r="C8701" s="10">
        <v>68</v>
      </c>
      <c r="D8701" s="10">
        <v>250</v>
      </c>
      <c r="E8701" s="10" t="s">
        <v>37</v>
      </c>
      <c r="F8701" s="10" t="s">
        <v>198</v>
      </c>
      <c r="G8701" s="10" t="s">
        <v>161</v>
      </c>
    </row>
    <row r="8702" spans="1:7" x14ac:dyDescent="0.35">
      <c r="A8702" s="2">
        <v>43248</v>
      </c>
      <c r="B8702" s="36" t="s">
        <v>104</v>
      </c>
      <c r="C8702" s="10">
        <v>69</v>
      </c>
      <c r="D8702" s="10">
        <v>419</v>
      </c>
      <c r="E8702" s="10" t="s">
        <v>159</v>
      </c>
      <c r="F8702" s="10" t="s">
        <v>783</v>
      </c>
    </row>
    <row r="8703" spans="1:7" x14ac:dyDescent="0.35">
      <c r="A8703" s="2">
        <v>43248</v>
      </c>
      <c r="B8703" s="36" t="s">
        <v>104</v>
      </c>
      <c r="C8703" s="10">
        <v>77</v>
      </c>
      <c r="D8703" s="10">
        <v>313</v>
      </c>
      <c r="E8703" s="10" t="s">
        <v>37</v>
      </c>
      <c r="F8703" s="10" t="s">
        <v>198</v>
      </c>
    </row>
    <row r="8704" spans="1:7" x14ac:dyDescent="0.35">
      <c r="A8704" s="2">
        <v>43248</v>
      </c>
      <c r="B8704" s="36" t="s">
        <v>104</v>
      </c>
      <c r="C8704" s="10">
        <v>75</v>
      </c>
      <c r="D8704" s="10">
        <v>497</v>
      </c>
      <c r="E8704" s="10" t="s">
        <v>159</v>
      </c>
      <c r="F8704" s="10" t="s">
        <v>783</v>
      </c>
    </row>
    <row r="8705" spans="1:7" x14ac:dyDescent="0.35">
      <c r="A8705" s="2">
        <v>43248</v>
      </c>
      <c r="B8705" s="36" t="s">
        <v>104</v>
      </c>
      <c r="C8705" s="10">
        <v>71</v>
      </c>
      <c r="D8705" s="10">
        <v>424</v>
      </c>
      <c r="E8705" s="10" t="s">
        <v>159</v>
      </c>
      <c r="F8705" s="10" t="s">
        <v>360</v>
      </c>
    </row>
    <row r="8706" spans="1:7" x14ac:dyDescent="0.35">
      <c r="A8706" s="2">
        <v>43248</v>
      </c>
      <c r="B8706" s="36" t="s">
        <v>104</v>
      </c>
      <c r="C8706" s="10">
        <v>79</v>
      </c>
      <c r="D8706" s="10">
        <v>405</v>
      </c>
      <c r="E8706" s="10" t="s">
        <v>159</v>
      </c>
      <c r="F8706" s="10" t="s">
        <v>360</v>
      </c>
    </row>
    <row r="8707" spans="1:7" x14ac:dyDescent="0.35">
      <c r="A8707" s="2">
        <v>43248</v>
      </c>
      <c r="B8707" s="36" t="s">
        <v>104</v>
      </c>
      <c r="C8707" s="10">
        <v>67</v>
      </c>
      <c r="D8707" s="10">
        <v>201</v>
      </c>
      <c r="E8707" s="10" t="s">
        <v>159</v>
      </c>
      <c r="F8707" s="10" t="s">
        <v>198</v>
      </c>
    </row>
    <row r="8708" spans="1:7" x14ac:dyDescent="0.35">
      <c r="A8708" s="2">
        <v>43248</v>
      </c>
      <c r="B8708" s="36" t="s">
        <v>104</v>
      </c>
      <c r="C8708" s="10">
        <v>65</v>
      </c>
      <c r="D8708" s="10">
        <v>302</v>
      </c>
      <c r="E8708" s="10" t="s">
        <v>37</v>
      </c>
      <c r="F8708" s="10" t="s">
        <v>198</v>
      </c>
      <c r="G8708" s="10" t="s">
        <v>161</v>
      </c>
    </row>
    <row r="8709" spans="1:7" x14ac:dyDescent="0.35">
      <c r="A8709" s="2">
        <v>43248</v>
      </c>
      <c r="B8709" s="36" t="s">
        <v>104</v>
      </c>
      <c r="C8709" s="10">
        <v>74</v>
      </c>
      <c r="D8709" s="10">
        <v>376</v>
      </c>
      <c r="E8709" s="10" t="s">
        <v>159</v>
      </c>
      <c r="F8709" s="10" t="s">
        <v>360</v>
      </c>
    </row>
    <row r="8710" spans="1:7" x14ac:dyDescent="0.35">
      <c r="A8710" s="2">
        <v>43248</v>
      </c>
      <c r="B8710" s="36" t="s">
        <v>104</v>
      </c>
      <c r="C8710" s="10">
        <v>65</v>
      </c>
      <c r="D8710" s="10">
        <v>345</v>
      </c>
      <c r="E8710" s="10" t="s">
        <v>159</v>
      </c>
      <c r="F8710" s="10" t="s">
        <v>783</v>
      </c>
    </row>
    <row r="8711" spans="1:7" x14ac:dyDescent="0.35">
      <c r="A8711" s="2">
        <v>43248</v>
      </c>
      <c r="B8711" s="36" t="s">
        <v>104</v>
      </c>
      <c r="C8711" s="53">
        <v>83</v>
      </c>
      <c r="D8711" s="53">
        <v>600</v>
      </c>
      <c r="E8711" s="10" t="s">
        <v>59</v>
      </c>
      <c r="F8711" s="10" t="s">
        <v>783</v>
      </c>
    </row>
    <row r="8712" spans="1:7" x14ac:dyDescent="0.35">
      <c r="A8712" s="2">
        <v>43248</v>
      </c>
      <c r="B8712" s="36" t="s">
        <v>104</v>
      </c>
      <c r="C8712" s="10">
        <v>66</v>
      </c>
      <c r="D8712" s="10">
        <v>222</v>
      </c>
      <c r="E8712" s="10" t="s">
        <v>32</v>
      </c>
      <c r="F8712" s="10" t="s">
        <v>198</v>
      </c>
      <c r="G8712" s="10" t="s">
        <v>161</v>
      </c>
    </row>
    <row r="8713" spans="1:7" x14ac:dyDescent="0.35">
      <c r="A8713" s="2">
        <v>43248</v>
      </c>
      <c r="B8713" s="36" t="s">
        <v>104</v>
      </c>
      <c r="C8713" s="10">
        <v>62</v>
      </c>
      <c r="D8713" s="10">
        <v>223</v>
      </c>
      <c r="E8713" s="10" t="s">
        <v>159</v>
      </c>
      <c r="F8713" s="10" t="s">
        <v>360</v>
      </c>
    </row>
    <row r="8714" spans="1:7" x14ac:dyDescent="0.35">
      <c r="A8714" s="2">
        <v>43248</v>
      </c>
      <c r="B8714" s="36" t="s">
        <v>104</v>
      </c>
      <c r="C8714" s="10">
        <v>70</v>
      </c>
      <c r="D8714" s="10">
        <v>328</v>
      </c>
      <c r="E8714" s="10" t="s">
        <v>37</v>
      </c>
      <c r="F8714" s="10" t="s">
        <v>198</v>
      </c>
      <c r="G8714" s="10" t="s">
        <v>161</v>
      </c>
    </row>
    <row r="8715" spans="1:7" x14ac:dyDescent="0.35">
      <c r="A8715" s="2">
        <v>43248</v>
      </c>
      <c r="B8715" s="36" t="s">
        <v>104</v>
      </c>
      <c r="C8715" s="10">
        <v>72</v>
      </c>
      <c r="D8715" s="10">
        <v>311</v>
      </c>
      <c r="E8715" s="10" t="s">
        <v>37</v>
      </c>
      <c r="F8715" s="10" t="s">
        <v>360</v>
      </c>
      <c r="G8715" s="10" t="s">
        <v>161</v>
      </c>
    </row>
    <row r="8716" spans="1:7" x14ac:dyDescent="0.35">
      <c r="A8716" s="2">
        <v>43248</v>
      </c>
      <c r="B8716" s="36" t="s">
        <v>104</v>
      </c>
      <c r="C8716" s="10">
        <v>65</v>
      </c>
      <c r="D8716" s="10">
        <v>217</v>
      </c>
      <c r="E8716" s="10" t="s">
        <v>37</v>
      </c>
      <c r="F8716" s="10" t="s">
        <v>360</v>
      </c>
    </row>
    <row r="8717" spans="1:7" x14ac:dyDescent="0.35">
      <c r="A8717" s="2">
        <v>43248</v>
      </c>
      <c r="B8717" s="36" t="s">
        <v>104</v>
      </c>
      <c r="C8717" s="10">
        <v>70</v>
      </c>
      <c r="D8717" s="10">
        <v>392</v>
      </c>
      <c r="E8717" s="10" t="s">
        <v>159</v>
      </c>
      <c r="F8717" s="10" t="s">
        <v>360</v>
      </c>
    </row>
    <row r="8718" spans="1:7" x14ac:dyDescent="0.35">
      <c r="A8718" s="2">
        <v>43248</v>
      </c>
      <c r="B8718" s="36" t="s">
        <v>104</v>
      </c>
      <c r="C8718" s="55">
        <v>80</v>
      </c>
      <c r="D8718" s="55">
        <v>374</v>
      </c>
      <c r="E8718" s="55" t="s">
        <v>159</v>
      </c>
      <c r="F8718" s="10" t="s">
        <v>360</v>
      </c>
    </row>
    <row r="8719" spans="1:7" x14ac:dyDescent="0.35">
      <c r="A8719" s="2">
        <v>43248</v>
      </c>
      <c r="B8719" s="36" t="s">
        <v>104</v>
      </c>
      <c r="C8719" s="10">
        <v>73</v>
      </c>
      <c r="D8719" s="10">
        <v>372</v>
      </c>
      <c r="E8719" s="10" t="s">
        <v>159</v>
      </c>
      <c r="F8719" s="10" t="s">
        <v>360</v>
      </c>
    </row>
    <row r="8720" spans="1:7" x14ac:dyDescent="0.35">
      <c r="A8720" s="2">
        <v>43248</v>
      </c>
      <c r="B8720" s="36" t="s">
        <v>104</v>
      </c>
      <c r="C8720" s="10">
        <v>69</v>
      </c>
      <c r="D8720" s="10">
        <v>294</v>
      </c>
      <c r="E8720" s="10" t="s">
        <v>37</v>
      </c>
      <c r="F8720" s="10" t="s">
        <v>360</v>
      </c>
      <c r="G8720" s="10" t="s">
        <v>161</v>
      </c>
    </row>
    <row r="8721" spans="1:7" x14ac:dyDescent="0.35">
      <c r="A8721" s="2">
        <v>43248</v>
      </c>
      <c r="B8721" s="36" t="s">
        <v>104</v>
      </c>
      <c r="C8721" s="10">
        <v>67</v>
      </c>
      <c r="D8721" s="10">
        <v>285</v>
      </c>
      <c r="E8721" s="10" t="s">
        <v>159</v>
      </c>
      <c r="F8721" s="10" t="s">
        <v>360</v>
      </c>
    </row>
    <row r="8722" spans="1:7" x14ac:dyDescent="0.35">
      <c r="A8722" s="2">
        <v>43248</v>
      </c>
      <c r="B8722" s="36" t="s">
        <v>104</v>
      </c>
      <c r="C8722" s="10">
        <v>73</v>
      </c>
      <c r="D8722" s="10">
        <v>281</v>
      </c>
      <c r="E8722" s="10" t="s">
        <v>37</v>
      </c>
      <c r="F8722" s="10" t="s">
        <v>198</v>
      </c>
      <c r="G8722" s="10" t="s">
        <v>161</v>
      </c>
    </row>
    <row r="8723" spans="1:7" x14ac:dyDescent="0.35">
      <c r="A8723" s="2">
        <v>43248</v>
      </c>
      <c r="B8723" s="36" t="s">
        <v>104</v>
      </c>
      <c r="C8723" s="10">
        <v>71</v>
      </c>
      <c r="D8723" s="10">
        <v>381</v>
      </c>
      <c r="E8723" s="10" t="s">
        <v>159</v>
      </c>
      <c r="F8723" s="10" t="s">
        <v>783</v>
      </c>
    </row>
    <row r="8724" spans="1:7" x14ac:dyDescent="0.35">
      <c r="A8724" s="2">
        <v>43248</v>
      </c>
      <c r="B8724" s="36" t="s">
        <v>104</v>
      </c>
      <c r="C8724" s="10">
        <v>76</v>
      </c>
      <c r="D8724" s="10">
        <v>488</v>
      </c>
      <c r="E8724" s="10" t="s">
        <v>159</v>
      </c>
      <c r="F8724" s="10" t="s">
        <v>360</v>
      </c>
    </row>
    <row r="8725" spans="1:7" x14ac:dyDescent="0.35">
      <c r="A8725" s="2">
        <v>43248</v>
      </c>
      <c r="B8725" s="36" t="s">
        <v>104</v>
      </c>
      <c r="C8725" s="10">
        <v>78</v>
      </c>
      <c r="D8725" s="10">
        <v>463</v>
      </c>
      <c r="E8725" s="10" t="s">
        <v>159</v>
      </c>
      <c r="F8725" s="10" t="s">
        <v>360</v>
      </c>
    </row>
    <row r="8726" spans="1:7" x14ac:dyDescent="0.35">
      <c r="A8726" s="2">
        <v>43248</v>
      </c>
      <c r="B8726" s="36" t="s">
        <v>104</v>
      </c>
      <c r="C8726" s="10">
        <v>65</v>
      </c>
      <c r="D8726" s="10">
        <v>328</v>
      </c>
      <c r="E8726" s="10" t="s">
        <v>159</v>
      </c>
      <c r="F8726" s="10" t="s">
        <v>360</v>
      </c>
    </row>
    <row r="8727" spans="1:7" x14ac:dyDescent="0.35">
      <c r="A8727" s="2">
        <v>43248</v>
      </c>
      <c r="B8727" s="36" t="s">
        <v>104</v>
      </c>
      <c r="C8727" s="10">
        <v>75</v>
      </c>
      <c r="D8727" s="10">
        <v>427</v>
      </c>
      <c r="E8727" s="10" t="s">
        <v>159</v>
      </c>
      <c r="F8727" s="10" t="s">
        <v>360</v>
      </c>
    </row>
    <row r="8728" spans="1:7" x14ac:dyDescent="0.35">
      <c r="A8728" s="2">
        <v>43248</v>
      </c>
      <c r="B8728" s="36" t="s">
        <v>104</v>
      </c>
      <c r="C8728" s="10">
        <v>68</v>
      </c>
      <c r="D8728" s="10">
        <v>278</v>
      </c>
      <c r="E8728" s="10" t="s">
        <v>159</v>
      </c>
      <c r="F8728" s="10" t="s">
        <v>360</v>
      </c>
    </row>
    <row r="8729" spans="1:7" x14ac:dyDescent="0.35">
      <c r="A8729" s="2">
        <v>43248</v>
      </c>
      <c r="B8729" s="36" t="s">
        <v>104</v>
      </c>
      <c r="C8729" s="10">
        <v>67</v>
      </c>
      <c r="D8729" s="10">
        <v>258</v>
      </c>
      <c r="E8729" s="10" t="s">
        <v>159</v>
      </c>
      <c r="F8729" s="10" t="s">
        <v>360</v>
      </c>
    </row>
    <row r="8730" spans="1:7" x14ac:dyDescent="0.35">
      <c r="A8730" s="2">
        <v>43248</v>
      </c>
      <c r="B8730" s="36" t="s">
        <v>104</v>
      </c>
      <c r="C8730" s="10">
        <v>60</v>
      </c>
      <c r="D8730" s="10">
        <v>204</v>
      </c>
      <c r="E8730" s="10" t="s">
        <v>37</v>
      </c>
      <c r="F8730" s="10" t="s">
        <v>360</v>
      </c>
      <c r="G8730" s="10" t="s">
        <v>161</v>
      </c>
    </row>
    <row r="8731" spans="1:7" x14ac:dyDescent="0.35">
      <c r="A8731" s="2">
        <v>43248</v>
      </c>
      <c r="B8731" s="36" t="s">
        <v>104</v>
      </c>
      <c r="C8731" s="10">
        <v>70</v>
      </c>
      <c r="D8731" s="10">
        <v>308</v>
      </c>
      <c r="E8731" s="10" t="s">
        <v>159</v>
      </c>
      <c r="F8731" s="10" t="s">
        <v>360</v>
      </c>
    </row>
    <row r="8732" spans="1:7" x14ac:dyDescent="0.35">
      <c r="A8732" s="2">
        <v>43248</v>
      </c>
      <c r="B8732" s="36" t="s">
        <v>104</v>
      </c>
      <c r="C8732" s="10">
        <v>74</v>
      </c>
      <c r="D8732" s="10">
        <v>420</v>
      </c>
      <c r="E8732" s="10" t="s">
        <v>159</v>
      </c>
      <c r="F8732" s="10" t="s">
        <v>360</v>
      </c>
    </row>
    <row r="8733" spans="1:7" x14ac:dyDescent="0.35">
      <c r="A8733" s="2">
        <v>43248</v>
      </c>
      <c r="B8733" s="36" t="s">
        <v>104</v>
      </c>
      <c r="C8733" s="10">
        <v>65</v>
      </c>
      <c r="D8733" s="10">
        <v>354</v>
      </c>
      <c r="E8733" s="10" t="s">
        <v>159</v>
      </c>
      <c r="F8733" s="10" t="s">
        <v>360</v>
      </c>
    </row>
    <row r="8734" spans="1:7" x14ac:dyDescent="0.35">
      <c r="A8734" s="2">
        <v>43248</v>
      </c>
      <c r="B8734" s="36" t="s">
        <v>104</v>
      </c>
      <c r="C8734" s="10">
        <v>70</v>
      </c>
      <c r="D8734" s="10">
        <v>326</v>
      </c>
      <c r="E8734" s="10" t="s">
        <v>159</v>
      </c>
      <c r="F8734" s="10" t="s">
        <v>360</v>
      </c>
    </row>
    <row r="8735" spans="1:7" x14ac:dyDescent="0.35">
      <c r="A8735" s="2">
        <v>43248</v>
      </c>
      <c r="B8735" s="36" t="s">
        <v>104</v>
      </c>
      <c r="C8735" s="10">
        <v>70</v>
      </c>
      <c r="D8735" s="10">
        <v>351</v>
      </c>
      <c r="E8735" s="10" t="s">
        <v>159</v>
      </c>
      <c r="F8735" s="10" t="s">
        <v>360</v>
      </c>
    </row>
    <row r="8736" spans="1:7" x14ac:dyDescent="0.35">
      <c r="A8736" s="2">
        <v>43248</v>
      </c>
      <c r="B8736" s="36" t="s">
        <v>104</v>
      </c>
      <c r="C8736" s="10">
        <v>76</v>
      </c>
      <c r="D8736" s="10">
        <v>504</v>
      </c>
      <c r="E8736" s="10" t="s">
        <v>159</v>
      </c>
      <c r="F8736" s="10" t="s">
        <v>783</v>
      </c>
    </row>
    <row r="8737" spans="1:7" s="4" customFormat="1" x14ac:dyDescent="0.35">
      <c r="A8737" s="3">
        <v>43248</v>
      </c>
      <c r="B8737" s="26" t="s">
        <v>104</v>
      </c>
      <c r="C8737" s="11">
        <v>69</v>
      </c>
      <c r="D8737" s="11">
        <v>350</v>
      </c>
      <c r="E8737" s="11" t="s">
        <v>159</v>
      </c>
      <c r="F8737" s="11" t="s">
        <v>783</v>
      </c>
    </row>
    <row r="8738" spans="1:7" x14ac:dyDescent="0.35">
      <c r="A8738" s="2">
        <v>43248</v>
      </c>
      <c r="B8738" s="36" t="s">
        <v>63</v>
      </c>
      <c r="C8738" s="10">
        <v>76</v>
      </c>
      <c r="D8738" s="10">
        <v>505</v>
      </c>
      <c r="E8738" s="10" t="s">
        <v>159</v>
      </c>
      <c r="F8738" s="10" t="s">
        <v>360</v>
      </c>
    </row>
    <row r="8739" spans="1:7" x14ac:dyDescent="0.35">
      <c r="A8739" s="2">
        <v>43248</v>
      </c>
      <c r="B8739" s="36" t="s">
        <v>63</v>
      </c>
      <c r="C8739" s="10">
        <v>77</v>
      </c>
      <c r="D8739" s="10">
        <v>390</v>
      </c>
      <c r="E8739" s="10" t="s">
        <v>159</v>
      </c>
      <c r="F8739" s="10" t="s">
        <v>360</v>
      </c>
    </row>
    <row r="8740" spans="1:7" x14ac:dyDescent="0.35">
      <c r="A8740" s="2">
        <v>43248</v>
      </c>
      <c r="B8740" s="36" t="s">
        <v>63</v>
      </c>
      <c r="C8740" s="10">
        <v>72</v>
      </c>
      <c r="D8740" s="10">
        <v>310</v>
      </c>
      <c r="E8740" s="10" t="s">
        <v>37</v>
      </c>
      <c r="F8740" s="10" t="s">
        <v>198</v>
      </c>
    </row>
    <row r="8741" spans="1:7" x14ac:dyDescent="0.35">
      <c r="A8741" s="2">
        <v>43248</v>
      </c>
      <c r="B8741" s="36" t="s">
        <v>63</v>
      </c>
      <c r="C8741" s="10">
        <v>69</v>
      </c>
      <c r="D8741" s="10">
        <v>273</v>
      </c>
      <c r="E8741" s="10" t="s">
        <v>32</v>
      </c>
      <c r="F8741" s="10" t="s">
        <v>360</v>
      </c>
      <c r="G8741" s="10" t="s">
        <v>161</v>
      </c>
    </row>
    <row r="8742" spans="1:7" x14ac:dyDescent="0.35">
      <c r="A8742" s="2">
        <v>43248</v>
      </c>
      <c r="B8742" s="36" t="s">
        <v>63</v>
      </c>
      <c r="C8742" s="10">
        <v>68</v>
      </c>
      <c r="D8742" s="10">
        <v>222</v>
      </c>
      <c r="E8742" s="10" t="s">
        <v>37</v>
      </c>
      <c r="F8742" s="10" t="s">
        <v>360</v>
      </c>
      <c r="G8742" s="10" t="s">
        <v>161</v>
      </c>
    </row>
    <row r="8743" spans="1:7" x14ac:dyDescent="0.35">
      <c r="A8743" s="2">
        <v>43248</v>
      </c>
      <c r="B8743" s="36" t="s">
        <v>63</v>
      </c>
      <c r="C8743" s="10">
        <v>75</v>
      </c>
      <c r="D8743" s="10">
        <v>434</v>
      </c>
      <c r="E8743" s="10" t="s">
        <v>159</v>
      </c>
      <c r="F8743" s="10" t="s">
        <v>360</v>
      </c>
    </row>
    <row r="8744" spans="1:7" x14ac:dyDescent="0.35">
      <c r="A8744" s="2">
        <v>43248</v>
      </c>
      <c r="B8744" s="36" t="s">
        <v>63</v>
      </c>
      <c r="C8744" s="10">
        <v>68</v>
      </c>
      <c r="D8744" s="10">
        <v>346</v>
      </c>
      <c r="E8744" s="10" t="s">
        <v>159</v>
      </c>
      <c r="F8744" s="10" t="s">
        <v>360</v>
      </c>
    </row>
    <row r="8745" spans="1:7" x14ac:dyDescent="0.35">
      <c r="A8745" s="2">
        <v>43248</v>
      </c>
      <c r="B8745" s="36" t="s">
        <v>63</v>
      </c>
      <c r="C8745" s="10">
        <v>69</v>
      </c>
      <c r="D8745" s="10">
        <v>290</v>
      </c>
      <c r="E8745" s="10" t="s">
        <v>159</v>
      </c>
      <c r="F8745" s="10" t="s">
        <v>360</v>
      </c>
    </row>
    <row r="8746" spans="1:7" x14ac:dyDescent="0.35">
      <c r="A8746" s="2">
        <v>43248</v>
      </c>
      <c r="B8746" s="36" t="s">
        <v>63</v>
      </c>
      <c r="C8746" s="10">
        <v>64</v>
      </c>
      <c r="D8746" s="10">
        <v>218</v>
      </c>
      <c r="E8746" s="10" t="s">
        <v>32</v>
      </c>
      <c r="F8746" s="10" t="s">
        <v>293</v>
      </c>
    </row>
    <row r="8747" spans="1:7" x14ac:dyDescent="0.35">
      <c r="A8747" s="2">
        <v>43248</v>
      </c>
      <c r="B8747" s="36" t="s">
        <v>63</v>
      </c>
      <c r="C8747" s="10">
        <v>74</v>
      </c>
      <c r="D8747" s="10">
        <v>557</v>
      </c>
      <c r="E8747" s="10" t="s">
        <v>159</v>
      </c>
      <c r="F8747" s="10" t="s">
        <v>783</v>
      </c>
    </row>
    <row r="8748" spans="1:7" x14ac:dyDescent="0.35">
      <c r="A8748" s="2">
        <v>43248</v>
      </c>
      <c r="B8748" s="36" t="s">
        <v>63</v>
      </c>
      <c r="C8748" s="10">
        <v>71</v>
      </c>
      <c r="D8748" s="10">
        <v>292</v>
      </c>
      <c r="E8748" s="10" t="s">
        <v>159</v>
      </c>
      <c r="F8748" s="10" t="s">
        <v>360</v>
      </c>
    </row>
    <row r="8749" spans="1:7" x14ac:dyDescent="0.35">
      <c r="A8749" s="2">
        <v>43248</v>
      </c>
      <c r="B8749" s="36" t="s">
        <v>63</v>
      </c>
      <c r="C8749" s="10">
        <v>69</v>
      </c>
      <c r="D8749" s="10">
        <v>224</v>
      </c>
      <c r="E8749" s="10" t="s">
        <v>159</v>
      </c>
      <c r="F8749" s="10" t="s">
        <v>360</v>
      </c>
    </row>
    <row r="8750" spans="1:7" x14ac:dyDescent="0.35">
      <c r="A8750" s="2">
        <v>43248</v>
      </c>
      <c r="B8750" s="36" t="s">
        <v>63</v>
      </c>
      <c r="C8750" s="10">
        <v>69</v>
      </c>
      <c r="D8750" s="10">
        <v>276</v>
      </c>
      <c r="E8750" s="10" t="s">
        <v>159</v>
      </c>
      <c r="F8750" s="10" t="s">
        <v>360</v>
      </c>
    </row>
    <row r="8751" spans="1:7" x14ac:dyDescent="0.35">
      <c r="A8751" s="2">
        <v>43248</v>
      </c>
      <c r="B8751" s="36" t="s">
        <v>63</v>
      </c>
      <c r="C8751" s="10">
        <v>69</v>
      </c>
      <c r="D8751" s="10">
        <v>308</v>
      </c>
      <c r="E8751" s="10" t="s">
        <v>159</v>
      </c>
      <c r="F8751" s="10" t="s">
        <v>360</v>
      </c>
    </row>
    <row r="8752" spans="1:7" x14ac:dyDescent="0.35">
      <c r="A8752" s="2">
        <v>43248</v>
      </c>
      <c r="B8752" s="36" t="s">
        <v>63</v>
      </c>
      <c r="C8752" s="10">
        <v>70</v>
      </c>
      <c r="D8752" s="10">
        <v>312</v>
      </c>
      <c r="E8752" s="10" t="s">
        <v>37</v>
      </c>
      <c r="F8752" s="10" t="s">
        <v>360</v>
      </c>
    </row>
    <row r="8753" spans="1:7" x14ac:dyDescent="0.35">
      <c r="A8753" s="2">
        <v>43248</v>
      </c>
      <c r="B8753" s="36" t="s">
        <v>63</v>
      </c>
      <c r="C8753" s="10">
        <v>73</v>
      </c>
      <c r="D8753" s="10">
        <v>459</v>
      </c>
      <c r="E8753" s="10" t="s">
        <v>159</v>
      </c>
      <c r="F8753" s="10" t="s">
        <v>783</v>
      </c>
    </row>
    <row r="8754" spans="1:7" x14ac:dyDescent="0.35">
      <c r="A8754" s="2">
        <v>43248</v>
      </c>
      <c r="B8754" s="36" t="s">
        <v>63</v>
      </c>
      <c r="C8754" s="10">
        <v>72</v>
      </c>
      <c r="D8754" s="10">
        <v>344</v>
      </c>
      <c r="E8754" s="10" t="s">
        <v>159</v>
      </c>
      <c r="F8754" s="10" t="s">
        <v>360</v>
      </c>
    </row>
    <row r="8755" spans="1:7" x14ac:dyDescent="0.35">
      <c r="A8755" s="2">
        <v>43248</v>
      </c>
      <c r="B8755" s="36" t="s">
        <v>63</v>
      </c>
      <c r="C8755" s="10">
        <v>72</v>
      </c>
      <c r="D8755" s="10">
        <v>328</v>
      </c>
      <c r="E8755" s="10" t="s">
        <v>37</v>
      </c>
      <c r="F8755" s="10" t="s">
        <v>360</v>
      </c>
      <c r="G8755" s="10" t="s">
        <v>161</v>
      </c>
    </row>
    <row r="8756" spans="1:7" x14ac:dyDescent="0.35">
      <c r="A8756" s="2">
        <v>43248</v>
      </c>
      <c r="B8756" s="36" t="s">
        <v>63</v>
      </c>
      <c r="C8756" s="10">
        <v>159</v>
      </c>
      <c r="D8756" s="10">
        <v>6378</v>
      </c>
      <c r="E8756" s="10" t="s">
        <v>59</v>
      </c>
    </row>
    <row r="8757" spans="1:7" x14ac:dyDescent="0.35">
      <c r="A8757" s="2">
        <v>43248</v>
      </c>
      <c r="B8757" s="36" t="s">
        <v>63</v>
      </c>
      <c r="C8757" s="10">
        <v>160</v>
      </c>
      <c r="D8757" s="10">
        <v>5662</v>
      </c>
      <c r="E8757" s="10" t="s">
        <v>59</v>
      </c>
    </row>
    <row r="8758" spans="1:7" x14ac:dyDescent="0.35">
      <c r="A8758" s="2">
        <v>43248</v>
      </c>
      <c r="B8758" s="36" t="s">
        <v>63</v>
      </c>
      <c r="C8758" s="10">
        <v>168</v>
      </c>
      <c r="D8758" s="10">
        <v>7117</v>
      </c>
      <c r="E8758" s="10" t="s">
        <v>59</v>
      </c>
    </row>
    <row r="8759" spans="1:7" x14ac:dyDescent="0.35">
      <c r="A8759" s="2">
        <v>43248</v>
      </c>
      <c r="B8759" s="36" t="s">
        <v>63</v>
      </c>
      <c r="C8759" s="10">
        <v>145</v>
      </c>
      <c r="D8759" s="10">
        <v>4008</v>
      </c>
      <c r="E8759" s="10" t="s">
        <v>59</v>
      </c>
    </row>
    <row r="8760" spans="1:7" s="4" customFormat="1" x14ac:dyDescent="0.35">
      <c r="A8760" s="3">
        <v>43248</v>
      </c>
      <c r="B8760" s="26" t="s">
        <v>63</v>
      </c>
      <c r="C8760" s="11">
        <v>166</v>
      </c>
      <c r="D8760" s="11">
        <v>6432</v>
      </c>
      <c r="E8760" s="11" t="s">
        <v>59</v>
      </c>
    </row>
    <row r="8761" spans="1:7" s="22" customFormat="1" x14ac:dyDescent="0.35">
      <c r="A8761" s="19">
        <v>43248</v>
      </c>
      <c r="B8761" s="72" t="s">
        <v>143</v>
      </c>
      <c r="C8761" s="20">
        <v>71</v>
      </c>
      <c r="D8761" s="20">
        <v>370</v>
      </c>
      <c r="E8761" s="20" t="s">
        <v>37</v>
      </c>
      <c r="F8761" s="22" t="s">
        <v>360</v>
      </c>
      <c r="G8761" s="22" t="s">
        <v>161</v>
      </c>
    </row>
    <row r="8762" spans="1:7" x14ac:dyDescent="0.35">
      <c r="A8762" s="2">
        <v>43248</v>
      </c>
      <c r="B8762" s="36" t="s">
        <v>103</v>
      </c>
      <c r="C8762" s="10">
        <v>68</v>
      </c>
      <c r="D8762" s="10">
        <v>363</v>
      </c>
      <c r="E8762" s="10" t="s">
        <v>37</v>
      </c>
      <c r="F8762" t="s">
        <v>360</v>
      </c>
    </row>
    <row r="8763" spans="1:7" x14ac:dyDescent="0.35">
      <c r="A8763" s="2">
        <v>43248</v>
      </c>
      <c r="B8763" s="36" t="s">
        <v>103</v>
      </c>
      <c r="C8763" s="55">
        <v>80</v>
      </c>
      <c r="D8763" s="55">
        <v>553</v>
      </c>
      <c r="E8763" s="55" t="s">
        <v>159</v>
      </c>
      <c r="F8763" t="s">
        <v>360</v>
      </c>
    </row>
    <row r="8764" spans="1:7" x14ac:dyDescent="0.35">
      <c r="A8764" s="2">
        <v>43248</v>
      </c>
      <c r="B8764" s="36" t="s">
        <v>103</v>
      </c>
      <c r="C8764" s="10">
        <v>69</v>
      </c>
      <c r="D8764" s="10">
        <v>246</v>
      </c>
      <c r="E8764" s="10" t="s">
        <v>159</v>
      </c>
      <c r="F8764" t="s">
        <v>360</v>
      </c>
    </row>
    <row r="8765" spans="1:7" x14ac:dyDescent="0.35">
      <c r="A8765" s="2">
        <v>43248</v>
      </c>
      <c r="B8765" s="36" t="s">
        <v>103</v>
      </c>
      <c r="C8765" s="10">
        <v>79</v>
      </c>
      <c r="D8765" s="10">
        <v>357</v>
      </c>
      <c r="E8765" s="10" t="s">
        <v>37</v>
      </c>
      <c r="F8765" t="s">
        <v>360</v>
      </c>
    </row>
    <row r="8766" spans="1:7" x14ac:dyDescent="0.35">
      <c r="A8766" s="2">
        <v>43248</v>
      </c>
      <c r="B8766" s="36" t="s">
        <v>103</v>
      </c>
      <c r="C8766" s="10">
        <v>76</v>
      </c>
      <c r="D8766" s="10">
        <v>372</v>
      </c>
      <c r="E8766" s="10" t="s">
        <v>159</v>
      </c>
      <c r="F8766" t="s">
        <v>360</v>
      </c>
    </row>
    <row r="8767" spans="1:7" x14ac:dyDescent="0.35">
      <c r="A8767" s="2">
        <v>43248</v>
      </c>
      <c r="B8767" s="36" t="s">
        <v>103</v>
      </c>
      <c r="C8767" s="10">
        <v>63</v>
      </c>
      <c r="D8767" s="10">
        <v>218</v>
      </c>
      <c r="E8767" s="10" t="s">
        <v>37</v>
      </c>
      <c r="F8767" t="s">
        <v>360</v>
      </c>
      <c r="G8767" t="s">
        <v>161</v>
      </c>
    </row>
    <row r="8768" spans="1:7" x14ac:dyDescent="0.35">
      <c r="A8768" s="2">
        <v>43248</v>
      </c>
      <c r="B8768" s="36" t="s">
        <v>103</v>
      </c>
      <c r="C8768" s="10">
        <v>75</v>
      </c>
      <c r="D8768" s="10">
        <v>435</v>
      </c>
      <c r="E8768" s="10" t="s">
        <v>159</v>
      </c>
      <c r="F8768" t="s">
        <v>360</v>
      </c>
    </row>
    <row r="8769" spans="1:7" x14ac:dyDescent="0.35">
      <c r="A8769" s="2">
        <v>43248</v>
      </c>
      <c r="B8769" s="36" t="s">
        <v>103</v>
      </c>
      <c r="C8769" s="10">
        <v>68</v>
      </c>
      <c r="D8769" s="10">
        <v>288</v>
      </c>
      <c r="E8769" s="10" t="s">
        <v>159</v>
      </c>
      <c r="F8769" t="s">
        <v>783</v>
      </c>
    </row>
    <row r="8770" spans="1:7" x14ac:dyDescent="0.35">
      <c r="A8770" s="2">
        <v>43248</v>
      </c>
      <c r="B8770" s="36" t="s">
        <v>103</v>
      </c>
      <c r="C8770" s="10">
        <v>70</v>
      </c>
      <c r="D8770" s="10">
        <v>238</v>
      </c>
      <c r="E8770" s="10" t="s">
        <v>159</v>
      </c>
      <c r="F8770" t="s">
        <v>360</v>
      </c>
    </row>
    <row r="8771" spans="1:7" x14ac:dyDescent="0.35">
      <c r="A8771" s="2">
        <v>43248</v>
      </c>
      <c r="B8771" s="36" t="s">
        <v>103</v>
      </c>
      <c r="C8771" s="10">
        <v>68</v>
      </c>
      <c r="D8771" s="10">
        <v>344</v>
      </c>
      <c r="E8771" s="10" t="s">
        <v>159</v>
      </c>
      <c r="F8771" t="s">
        <v>360</v>
      </c>
    </row>
    <row r="8772" spans="1:7" x14ac:dyDescent="0.35">
      <c r="A8772" s="2">
        <v>43248</v>
      </c>
      <c r="B8772" s="36" t="s">
        <v>103</v>
      </c>
      <c r="C8772" s="10">
        <v>66</v>
      </c>
      <c r="D8772" s="10">
        <v>221</v>
      </c>
      <c r="E8772" s="10" t="s">
        <v>32</v>
      </c>
      <c r="F8772" t="s">
        <v>360</v>
      </c>
    </row>
    <row r="8773" spans="1:7" x14ac:dyDescent="0.35">
      <c r="A8773" s="2">
        <v>43248</v>
      </c>
      <c r="B8773" s="36" t="s">
        <v>103</v>
      </c>
      <c r="C8773" s="10">
        <v>71</v>
      </c>
      <c r="D8773" s="10">
        <v>352</v>
      </c>
      <c r="E8773" s="10" t="s">
        <v>159</v>
      </c>
      <c r="F8773" t="s">
        <v>360</v>
      </c>
    </row>
    <row r="8774" spans="1:7" x14ac:dyDescent="0.35">
      <c r="A8774" s="2">
        <v>43248</v>
      </c>
      <c r="B8774" s="36" t="s">
        <v>103</v>
      </c>
      <c r="C8774" s="10">
        <v>71</v>
      </c>
      <c r="D8774" s="10">
        <v>412</v>
      </c>
      <c r="E8774" s="10" t="s">
        <v>159</v>
      </c>
      <c r="F8774" t="s">
        <v>360</v>
      </c>
    </row>
    <row r="8775" spans="1:7" x14ac:dyDescent="0.35">
      <c r="A8775" s="2">
        <v>43248</v>
      </c>
      <c r="B8775" s="36" t="s">
        <v>103</v>
      </c>
      <c r="C8775" s="10">
        <v>65</v>
      </c>
      <c r="D8775" s="10">
        <v>252</v>
      </c>
      <c r="E8775" s="10" t="s">
        <v>37</v>
      </c>
      <c r="F8775" t="s">
        <v>360</v>
      </c>
      <c r="G8775" t="s">
        <v>161</v>
      </c>
    </row>
    <row r="8776" spans="1:7" x14ac:dyDescent="0.35">
      <c r="A8776" s="2">
        <v>43248</v>
      </c>
      <c r="B8776" s="36" t="s">
        <v>103</v>
      </c>
      <c r="C8776" s="10">
        <v>67</v>
      </c>
      <c r="D8776" s="10">
        <v>223</v>
      </c>
      <c r="E8776" s="10" t="s">
        <v>37</v>
      </c>
      <c r="F8776" t="s">
        <v>360</v>
      </c>
    </row>
    <row r="8777" spans="1:7" x14ac:dyDescent="0.35">
      <c r="A8777" s="2">
        <v>43248</v>
      </c>
      <c r="B8777" s="36" t="s">
        <v>103</v>
      </c>
      <c r="C8777" s="10">
        <v>70</v>
      </c>
      <c r="D8777" s="10">
        <v>310</v>
      </c>
      <c r="E8777" s="10" t="s">
        <v>37</v>
      </c>
      <c r="F8777" t="s">
        <v>360</v>
      </c>
    </row>
    <row r="8778" spans="1:7" x14ac:dyDescent="0.35">
      <c r="A8778" s="2">
        <v>43248</v>
      </c>
      <c r="B8778" s="36" t="s">
        <v>103</v>
      </c>
      <c r="C8778" s="10">
        <v>71</v>
      </c>
      <c r="D8778" s="10">
        <v>283</v>
      </c>
      <c r="E8778" s="10" t="s">
        <v>159</v>
      </c>
      <c r="F8778" t="s">
        <v>360</v>
      </c>
    </row>
    <row r="8779" spans="1:7" x14ac:dyDescent="0.35">
      <c r="A8779" s="2">
        <v>43248</v>
      </c>
      <c r="B8779" s="36" t="s">
        <v>103</v>
      </c>
      <c r="C8779" s="10">
        <v>76</v>
      </c>
      <c r="D8779" s="10">
        <v>345</v>
      </c>
      <c r="E8779" s="10" t="s">
        <v>37</v>
      </c>
      <c r="F8779" t="s">
        <v>360</v>
      </c>
    </row>
    <row r="8780" spans="1:7" x14ac:dyDescent="0.35">
      <c r="A8780" s="2">
        <v>43248</v>
      </c>
      <c r="B8780" s="36" t="s">
        <v>103</v>
      </c>
      <c r="C8780" s="10">
        <v>79</v>
      </c>
      <c r="D8780" s="10">
        <v>357</v>
      </c>
      <c r="E8780" s="10" t="s">
        <v>159</v>
      </c>
      <c r="F8780" t="s">
        <v>360</v>
      </c>
    </row>
    <row r="8781" spans="1:7" x14ac:dyDescent="0.35">
      <c r="A8781" s="2">
        <v>43248</v>
      </c>
      <c r="B8781" s="36" t="s">
        <v>103</v>
      </c>
      <c r="C8781" s="10">
        <v>73</v>
      </c>
      <c r="D8781" s="10">
        <v>469</v>
      </c>
      <c r="E8781" s="10" t="s">
        <v>159</v>
      </c>
      <c r="F8781" t="s">
        <v>360</v>
      </c>
    </row>
    <row r="8782" spans="1:7" x14ac:dyDescent="0.35">
      <c r="A8782" s="2">
        <v>43248</v>
      </c>
      <c r="B8782" s="36" t="s">
        <v>103</v>
      </c>
      <c r="C8782" s="10">
        <v>76</v>
      </c>
      <c r="D8782" s="10">
        <v>454</v>
      </c>
      <c r="E8782" s="10" t="s">
        <v>159</v>
      </c>
      <c r="F8782" t="s">
        <v>360</v>
      </c>
    </row>
    <row r="8783" spans="1:7" s="4" customFormat="1" x14ac:dyDescent="0.35">
      <c r="A8783" s="3">
        <v>43248</v>
      </c>
      <c r="B8783" s="26" t="s">
        <v>103</v>
      </c>
      <c r="C8783" s="11">
        <v>71</v>
      </c>
      <c r="D8783" s="11">
        <v>308</v>
      </c>
      <c r="E8783" s="11" t="s">
        <v>159</v>
      </c>
      <c r="F8783" s="4" t="s">
        <v>360</v>
      </c>
    </row>
    <row r="8784" spans="1:7" x14ac:dyDescent="0.35">
      <c r="A8784" s="2">
        <v>43248</v>
      </c>
      <c r="B8784" s="36" t="s">
        <v>113</v>
      </c>
      <c r="C8784" s="10">
        <v>134</v>
      </c>
      <c r="D8784" s="10">
        <v>3280</v>
      </c>
      <c r="E8784" s="10" t="s">
        <v>59</v>
      </c>
    </row>
    <row r="8785" spans="1:7" x14ac:dyDescent="0.35">
      <c r="A8785" s="2">
        <v>43248</v>
      </c>
      <c r="B8785" s="36" t="s">
        <v>113</v>
      </c>
      <c r="C8785" s="10">
        <v>71</v>
      </c>
      <c r="D8785" s="10">
        <v>210</v>
      </c>
      <c r="E8785" s="10" t="s">
        <v>159</v>
      </c>
      <c r="F8785" t="s">
        <v>360</v>
      </c>
    </row>
    <row r="8786" spans="1:7" x14ac:dyDescent="0.35">
      <c r="A8786" s="2">
        <v>43248</v>
      </c>
      <c r="B8786" s="36" t="s">
        <v>113</v>
      </c>
      <c r="C8786" s="10">
        <v>79</v>
      </c>
      <c r="D8786" s="10">
        <v>544</v>
      </c>
      <c r="E8786" s="10" t="s">
        <v>159</v>
      </c>
      <c r="F8786" t="s">
        <v>360</v>
      </c>
    </row>
    <row r="8787" spans="1:7" x14ac:dyDescent="0.35">
      <c r="A8787" s="2">
        <v>43248</v>
      </c>
      <c r="B8787" s="36" t="s">
        <v>113</v>
      </c>
      <c r="C8787" s="10">
        <v>72</v>
      </c>
      <c r="D8787" s="10">
        <v>358</v>
      </c>
      <c r="E8787" s="10" t="s">
        <v>37</v>
      </c>
      <c r="F8787" t="s">
        <v>360</v>
      </c>
      <c r="G8787" t="s">
        <v>161</v>
      </c>
    </row>
    <row r="8788" spans="1:7" x14ac:dyDescent="0.35">
      <c r="A8788" s="2">
        <v>43248</v>
      </c>
      <c r="B8788" s="36" t="s">
        <v>113</v>
      </c>
      <c r="C8788" s="10">
        <v>74</v>
      </c>
      <c r="D8788" s="10">
        <v>359</v>
      </c>
      <c r="E8788" s="10" t="s">
        <v>159</v>
      </c>
      <c r="F8788" t="s">
        <v>360</v>
      </c>
    </row>
    <row r="8789" spans="1:7" x14ac:dyDescent="0.35">
      <c r="A8789" s="2">
        <v>43248</v>
      </c>
      <c r="B8789" s="36" t="s">
        <v>113</v>
      </c>
      <c r="C8789" s="10">
        <v>70</v>
      </c>
      <c r="D8789" s="10">
        <v>239</v>
      </c>
      <c r="E8789" s="10" t="s">
        <v>159</v>
      </c>
      <c r="F8789" t="s">
        <v>360</v>
      </c>
    </row>
    <row r="8790" spans="1:7" x14ac:dyDescent="0.35">
      <c r="A8790" s="2">
        <v>43248</v>
      </c>
      <c r="B8790" s="36" t="s">
        <v>113</v>
      </c>
      <c r="C8790" s="10">
        <v>73</v>
      </c>
      <c r="D8790" s="10">
        <v>318</v>
      </c>
      <c r="E8790" s="10" t="s">
        <v>159</v>
      </c>
      <c r="F8790" t="s">
        <v>360</v>
      </c>
    </row>
    <row r="8791" spans="1:7" x14ac:dyDescent="0.35">
      <c r="A8791" s="2">
        <v>43248</v>
      </c>
      <c r="B8791" s="36" t="s">
        <v>113</v>
      </c>
      <c r="C8791" s="10">
        <v>74</v>
      </c>
      <c r="D8791" s="10">
        <v>394</v>
      </c>
      <c r="E8791" s="10" t="s">
        <v>159</v>
      </c>
      <c r="F8791" t="s">
        <v>360</v>
      </c>
    </row>
    <row r="8792" spans="1:7" x14ac:dyDescent="0.35">
      <c r="A8792" s="2">
        <v>43248</v>
      </c>
      <c r="B8792" s="36" t="s">
        <v>113</v>
      </c>
      <c r="C8792" s="10">
        <v>71</v>
      </c>
      <c r="D8792" s="10">
        <v>244</v>
      </c>
      <c r="E8792" s="10" t="s">
        <v>159</v>
      </c>
      <c r="F8792" t="s">
        <v>360</v>
      </c>
    </row>
    <row r="8793" spans="1:7" x14ac:dyDescent="0.35">
      <c r="A8793" s="2">
        <v>43248</v>
      </c>
      <c r="B8793" s="36" t="s">
        <v>113</v>
      </c>
      <c r="C8793" s="10">
        <v>80</v>
      </c>
      <c r="D8793" s="10">
        <v>307</v>
      </c>
      <c r="E8793" s="10" t="s">
        <v>37</v>
      </c>
      <c r="F8793" t="s">
        <v>360</v>
      </c>
      <c r="G8793" t="s">
        <v>161</v>
      </c>
    </row>
    <row r="8794" spans="1:7" x14ac:dyDescent="0.35">
      <c r="A8794" s="2">
        <v>43248</v>
      </c>
      <c r="B8794" s="36" t="s">
        <v>113</v>
      </c>
      <c r="C8794" s="10">
        <v>75</v>
      </c>
      <c r="D8794" s="10">
        <v>458</v>
      </c>
      <c r="E8794" s="10" t="s">
        <v>159</v>
      </c>
      <c r="F8794" t="s">
        <v>360</v>
      </c>
    </row>
    <row r="8795" spans="1:7" x14ac:dyDescent="0.35">
      <c r="A8795" s="2">
        <v>43248</v>
      </c>
      <c r="B8795" s="36" t="s">
        <v>113</v>
      </c>
      <c r="C8795" s="10">
        <v>72</v>
      </c>
      <c r="D8795" s="10">
        <v>429</v>
      </c>
      <c r="E8795" s="10" t="s">
        <v>159</v>
      </c>
      <c r="F8795" t="s">
        <v>360</v>
      </c>
    </row>
    <row r="8796" spans="1:7" x14ac:dyDescent="0.35">
      <c r="A8796" s="2">
        <v>43248</v>
      </c>
      <c r="B8796" s="36" t="s">
        <v>113</v>
      </c>
      <c r="C8796" s="10">
        <v>75</v>
      </c>
      <c r="D8796" s="10">
        <v>416</v>
      </c>
      <c r="E8796" s="10" t="s">
        <v>159</v>
      </c>
      <c r="F8796" t="s">
        <v>360</v>
      </c>
    </row>
    <row r="8797" spans="1:7" x14ac:dyDescent="0.35">
      <c r="A8797" s="2">
        <v>43248</v>
      </c>
      <c r="B8797" s="36" t="s">
        <v>113</v>
      </c>
      <c r="C8797" s="10">
        <v>72</v>
      </c>
      <c r="D8797" s="10">
        <v>377</v>
      </c>
      <c r="E8797" s="10" t="s">
        <v>159</v>
      </c>
      <c r="F8797" t="s">
        <v>360</v>
      </c>
    </row>
    <row r="8798" spans="1:7" x14ac:dyDescent="0.35">
      <c r="A8798" s="2">
        <v>43248</v>
      </c>
      <c r="B8798" s="36" t="s">
        <v>113</v>
      </c>
      <c r="C8798" s="10">
        <v>69</v>
      </c>
      <c r="D8798" s="10">
        <v>347</v>
      </c>
      <c r="E8798" s="10" t="s">
        <v>159</v>
      </c>
      <c r="F8798" t="s">
        <v>360</v>
      </c>
    </row>
    <row r="8799" spans="1:7" x14ac:dyDescent="0.35">
      <c r="A8799" s="2">
        <v>43248</v>
      </c>
      <c r="B8799" s="36" t="s">
        <v>113</v>
      </c>
      <c r="C8799" s="10">
        <v>77</v>
      </c>
      <c r="D8799" s="10">
        <v>267</v>
      </c>
      <c r="E8799" s="10" t="s">
        <v>32</v>
      </c>
      <c r="F8799" t="s">
        <v>360</v>
      </c>
    </row>
    <row r="8800" spans="1:7" x14ac:dyDescent="0.35">
      <c r="A8800" s="2">
        <v>43248</v>
      </c>
      <c r="B8800" s="36" t="s">
        <v>113</v>
      </c>
      <c r="C8800" s="10">
        <v>73</v>
      </c>
      <c r="D8800" s="10">
        <v>365</v>
      </c>
      <c r="E8800" s="10" t="s">
        <v>37</v>
      </c>
      <c r="F8800" t="s">
        <v>360</v>
      </c>
      <c r="G8800" t="s">
        <v>161</v>
      </c>
    </row>
    <row r="8801" spans="1:24" x14ac:dyDescent="0.35">
      <c r="A8801" s="2">
        <v>43248</v>
      </c>
      <c r="B8801" s="36" t="s">
        <v>113</v>
      </c>
      <c r="C8801" s="10">
        <v>69</v>
      </c>
      <c r="D8801" s="10">
        <v>318</v>
      </c>
      <c r="E8801" s="10" t="s">
        <v>37</v>
      </c>
      <c r="F8801" t="s">
        <v>360</v>
      </c>
      <c r="G8801" t="s">
        <v>161</v>
      </c>
    </row>
    <row r="8802" spans="1:24" x14ac:dyDescent="0.35">
      <c r="A8802" s="2">
        <v>43248</v>
      </c>
      <c r="B8802" s="36" t="s">
        <v>113</v>
      </c>
      <c r="C8802" s="10">
        <v>78</v>
      </c>
      <c r="D8802" s="10">
        <v>381</v>
      </c>
      <c r="E8802" s="10" t="s">
        <v>37</v>
      </c>
      <c r="F8802" t="s">
        <v>360</v>
      </c>
    </row>
    <row r="8803" spans="1:24" x14ac:dyDescent="0.35">
      <c r="A8803" s="2">
        <v>43248</v>
      </c>
      <c r="B8803" s="36" t="s">
        <v>113</v>
      </c>
      <c r="C8803" s="10">
        <v>76</v>
      </c>
      <c r="D8803" s="10">
        <v>418</v>
      </c>
      <c r="E8803" s="10" t="s">
        <v>159</v>
      </c>
      <c r="F8803" t="s">
        <v>783</v>
      </c>
    </row>
    <row r="8804" spans="1:24" x14ac:dyDescent="0.35">
      <c r="A8804" s="2">
        <v>43248</v>
      </c>
      <c r="B8804" s="36" t="s">
        <v>113</v>
      </c>
      <c r="C8804" s="10">
        <v>78</v>
      </c>
      <c r="D8804" s="10">
        <v>470</v>
      </c>
      <c r="E8804" s="10" t="s">
        <v>159</v>
      </c>
      <c r="F8804" t="s">
        <v>360</v>
      </c>
    </row>
    <row r="8805" spans="1:24" x14ac:dyDescent="0.35">
      <c r="A8805" s="2">
        <v>43248</v>
      </c>
      <c r="B8805" s="36" t="s">
        <v>113</v>
      </c>
      <c r="C8805" s="10">
        <v>77</v>
      </c>
      <c r="D8805" s="10">
        <v>403</v>
      </c>
      <c r="E8805" s="10" t="s">
        <v>37</v>
      </c>
      <c r="F8805" t="s">
        <v>360</v>
      </c>
      <c r="G8805" t="s">
        <v>161</v>
      </c>
    </row>
    <row r="8806" spans="1:24" x14ac:dyDescent="0.35">
      <c r="A8806" s="2">
        <v>43248</v>
      </c>
      <c r="B8806" s="36" t="s">
        <v>113</v>
      </c>
      <c r="C8806" s="10">
        <v>77</v>
      </c>
      <c r="D8806" s="10">
        <v>286</v>
      </c>
      <c r="E8806" s="10" t="s">
        <v>159</v>
      </c>
      <c r="F8806" t="s">
        <v>360</v>
      </c>
    </row>
    <row r="8807" spans="1:24" x14ac:dyDescent="0.35">
      <c r="A8807" s="2">
        <v>43248</v>
      </c>
      <c r="B8807" s="36" t="s">
        <v>113</v>
      </c>
      <c r="C8807" s="10">
        <v>70</v>
      </c>
      <c r="D8807" s="10">
        <v>398</v>
      </c>
      <c r="E8807" s="10" t="s">
        <v>159</v>
      </c>
      <c r="F8807" t="s">
        <v>360</v>
      </c>
    </row>
    <row r="8808" spans="1:24" x14ac:dyDescent="0.35">
      <c r="A8808" s="2">
        <v>43248</v>
      </c>
      <c r="B8808" s="36" t="s">
        <v>113</v>
      </c>
      <c r="C8808" s="10">
        <v>76</v>
      </c>
      <c r="D8808" s="10">
        <v>366</v>
      </c>
      <c r="E8808" s="10" t="s">
        <v>159</v>
      </c>
      <c r="F8808" t="s">
        <v>360</v>
      </c>
    </row>
    <row r="8809" spans="1:24" x14ac:dyDescent="0.35">
      <c r="A8809" s="2">
        <v>43248</v>
      </c>
      <c r="B8809" s="36" t="s">
        <v>113</v>
      </c>
      <c r="C8809" s="10">
        <v>77</v>
      </c>
      <c r="D8809" s="10">
        <v>372</v>
      </c>
      <c r="E8809" s="10" t="s">
        <v>159</v>
      </c>
      <c r="F8809" t="s">
        <v>360</v>
      </c>
    </row>
    <row r="8810" spans="1:24" x14ac:dyDescent="0.35">
      <c r="A8810" s="2">
        <v>43248</v>
      </c>
      <c r="B8810" s="36" t="s">
        <v>113</v>
      </c>
      <c r="C8810" s="10">
        <v>70</v>
      </c>
      <c r="D8810" s="10">
        <v>233</v>
      </c>
      <c r="E8810" s="10" t="s">
        <v>37</v>
      </c>
      <c r="F8810" t="s">
        <v>360</v>
      </c>
    </row>
    <row r="8811" spans="1:24" x14ac:dyDescent="0.35">
      <c r="A8811" s="2">
        <v>43248</v>
      </c>
      <c r="B8811" s="36" t="s">
        <v>113</v>
      </c>
      <c r="C8811" s="10">
        <v>77</v>
      </c>
      <c r="D8811" s="10">
        <v>296</v>
      </c>
      <c r="E8811" s="10" t="s">
        <v>159</v>
      </c>
      <c r="F8811" t="s">
        <v>783</v>
      </c>
      <c r="N8811" t="s">
        <v>42</v>
      </c>
      <c r="O8811" t="s">
        <v>39</v>
      </c>
      <c r="P8811" t="s">
        <v>40</v>
      </c>
      <c r="Q8811" t="s">
        <v>36</v>
      </c>
      <c r="R8811" t="s">
        <v>33</v>
      </c>
      <c r="S8811" t="s">
        <v>34</v>
      </c>
      <c r="T8811" t="s">
        <v>32</v>
      </c>
      <c r="U8811" t="s">
        <v>37</v>
      </c>
      <c r="V8811" t="s">
        <v>159</v>
      </c>
    </row>
    <row r="8812" spans="1:24" x14ac:dyDescent="0.35">
      <c r="A8812" s="2">
        <v>43248</v>
      </c>
      <c r="B8812" s="36" t="s">
        <v>113</v>
      </c>
      <c r="C8812" s="10">
        <v>73</v>
      </c>
      <c r="D8812" s="10">
        <v>453</v>
      </c>
      <c r="E8812" s="10" t="s">
        <v>159</v>
      </c>
      <c r="F8812" t="s">
        <v>360</v>
      </c>
      <c r="N8812" s="5">
        <f>COUNTIF(E8607:E8813,"VA")</f>
        <v>0</v>
      </c>
      <c r="O8812" s="5">
        <f>COUNTIF(E8607:E8813,"VB")</f>
        <v>0</v>
      </c>
      <c r="P8812" s="5">
        <f>COUNTIF(E8607:E8813,"VIA0")</f>
        <v>0</v>
      </c>
      <c r="Q8812" s="5">
        <f>COUNTIF(E8607:E8813,"VIA1")</f>
        <v>0</v>
      </c>
      <c r="R8812" s="5">
        <f>COUNTIF(E8607:E8813,"VIA2")</f>
        <v>0</v>
      </c>
      <c r="S8812" s="5">
        <f>COUNTIF(E8607:E8813,"VIA3")</f>
        <v>2</v>
      </c>
      <c r="T8812" s="5">
        <f>COUNTIF(E8607:E8813,"VIA4")</f>
        <v>19</v>
      </c>
      <c r="U8812" s="5">
        <v>43</v>
      </c>
      <c r="V8812" s="5">
        <f>COUNTIF(E8607:E8813,"VII")</f>
        <v>135</v>
      </c>
      <c r="W8812">
        <f>AVERAGE(C8785:C8813,C8762:C8783,C8712:C8755,C8607:C8710)</f>
        <v>70.743718592964825</v>
      </c>
      <c r="X8812">
        <f>AVERAGE(D8785:D8813,D8762:D8783,D8712:D8755,D8607:D8710)</f>
        <v>327.42713567839195</v>
      </c>
    </row>
    <row r="8813" spans="1:24" s="4" customFormat="1" x14ac:dyDescent="0.35">
      <c r="A8813" s="3">
        <v>43248</v>
      </c>
      <c r="B8813" s="26" t="s">
        <v>113</v>
      </c>
      <c r="C8813" s="11">
        <v>65</v>
      </c>
      <c r="D8813" s="11">
        <v>222</v>
      </c>
      <c r="E8813" s="11" t="s">
        <v>159</v>
      </c>
      <c r="F8813" s="4" t="s">
        <v>360</v>
      </c>
      <c r="N8813" s="6">
        <f>N8812/199*100</f>
        <v>0</v>
      </c>
      <c r="O8813" s="6">
        <f t="shared" ref="O8813:V8813" si="300">O8812/199*100</f>
        <v>0</v>
      </c>
      <c r="P8813" s="6">
        <f t="shared" si="300"/>
        <v>0</v>
      </c>
      <c r="Q8813" s="6">
        <f t="shared" si="300"/>
        <v>0</v>
      </c>
      <c r="R8813" s="6">
        <f t="shared" si="300"/>
        <v>0</v>
      </c>
      <c r="S8813" s="6">
        <f t="shared" si="300"/>
        <v>1.0050251256281406</v>
      </c>
      <c r="T8813" s="6">
        <f t="shared" si="300"/>
        <v>9.5477386934673358</v>
      </c>
      <c r="U8813" s="6">
        <f t="shared" si="300"/>
        <v>21.608040201005025</v>
      </c>
      <c r="V8813" s="6">
        <f t="shared" si="300"/>
        <v>67.8391959798995</v>
      </c>
    </row>
    <row r="8814" spans="1:24" x14ac:dyDescent="0.35">
      <c r="A8814" s="2">
        <v>43248</v>
      </c>
      <c r="B8814" s="36" t="s">
        <v>114</v>
      </c>
      <c r="C8814" s="10">
        <v>154</v>
      </c>
      <c r="D8814" s="10">
        <v>5346</v>
      </c>
      <c r="E8814" s="10" t="s">
        <v>59</v>
      </c>
    </row>
    <row r="8815" spans="1:24" x14ac:dyDescent="0.35">
      <c r="A8815" s="2">
        <v>43248</v>
      </c>
      <c r="B8815" s="36" t="s">
        <v>114</v>
      </c>
      <c r="C8815" s="10">
        <v>171</v>
      </c>
      <c r="D8815" s="10">
        <v>7356</v>
      </c>
      <c r="E8815" s="10" t="s">
        <v>59</v>
      </c>
    </row>
    <row r="8816" spans="1:24" x14ac:dyDescent="0.35">
      <c r="A8816" s="2">
        <v>43248</v>
      </c>
      <c r="B8816" s="36" t="s">
        <v>114</v>
      </c>
      <c r="C8816" s="10">
        <v>160</v>
      </c>
      <c r="D8816" s="10">
        <v>5099</v>
      </c>
      <c r="E8816" s="10" t="s">
        <v>59</v>
      </c>
    </row>
    <row r="8817" spans="1:7" x14ac:dyDescent="0.35">
      <c r="A8817" s="2">
        <v>43248</v>
      </c>
      <c r="B8817" s="36" t="s">
        <v>114</v>
      </c>
      <c r="C8817" s="10">
        <v>115</v>
      </c>
      <c r="D8817" s="10">
        <v>2293</v>
      </c>
      <c r="E8817" s="10" t="s">
        <v>59</v>
      </c>
    </row>
    <row r="8818" spans="1:7" x14ac:dyDescent="0.35">
      <c r="A8818" s="2">
        <v>43248</v>
      </c>
      <c r="B8818" s="36" t="s">
        <v>114</v>
      </c>
      <c r="C8818" s="10">
        <v>129</v>
      </c>
      <c r="D8818" s="10">
        <v>2703</v>
      </c>
      <c r="E8818" s="10" t="s">
        <v>59</v>
      </c>
    </row>
    <row r="8819" spans="1:7" x14ac:dyDescent="0.35">
      <c r="A8819" s="2">
        <v>43248</v>
      </c>
      <c r="B8819" s="36" t="s">
        <v>114</v>
      </c>
      <c r="C8819" s="10">
        <v>115</v>
      </c>
      <c r="D8819" s="10">
        <v>2254</v>
      </c>
      <c r="E8819" s="10" t="s">
        <v>59</v>
      </c>
    </row>
    <row r="8820" spans="1:7" x14ac:dyDescent="0.35">
      <c r="A8820" s="2">
        <v>43248</v>
      </c>
      <c r="B8820" s="36" t="s">
        <v>114</v>
      </c>
      <c r="C8820" s="10">
        <v>114</v>
      </c>
      <c r="D8820" s="10">
        <v>1741</v>
      </c>
      <c r="E8820" s="10" t="s">
        <v>59</v>
      </c>
    </row>
    <row r="8821" spans="1:7" x14ac:dyDescent="0.35">
      <c r="A8821" s="2">
        <v>43248</v>
      </c>
      <c r="B8821" s="36" t="s">
        <v>114</v>
      </c>
      <c r="C8821" s="10">
        <v>70</v>
      </c>
      <c r="D8821" s="10">
        <v>308</v>
      </c>
      <c r="E8821" s="10" t="s">
        <v>159</v>
      </c>
      <c r="F8821" t="s">
        <v>360</v>
      </c>
    </row>
    <row r="8822" spans="1:7" x14ac:dyDescent="0.35">
      <c r="A8822" s="2">
        <v>43248</v>
      </c>
      <c r="B8822" s="36" t="s">
        <v>114</v>
      </c>
      <c r="C8822" s="10">
        <v>71</v>
      </c>
      <c r="D8822" s="10">
        <v>368</v>
      </c>
      <c r="E8822" s="10" t="s">
        <v>159</v>
      </c>
      <c r="F8822" t="s">
        <v>360</v>
      </c>
    </row>
    <row r="8823" spans="1:7" x14ac:dyDescent="0.35">
      <c r="A8823" s="2">
        <v>43248</v>
      </c>
      <c r="B8823" s="36" t="s">
        <v>114</v>
      </c>
      <c r="C8823" s="10">
        <v>74</v>
      </c>
      <c r="D8823" s="10">
        <v>437</v>
      </c>
      <c r="E8823" s="10" t="s">
        <v>159</v>
      </c>
      <c r="F8823" t="s">
        <v>360</v>
      </c>
    </row>
    <row r="8824" spans="1:7" x14ac:dyDescent="0.35">
      <c r="A8824" s="2">
        <v>43248</v>
      </c>
      <c r="B8824" s="36" t="s">
        <v>114</v>
      </c>
      <c r="C8824" s="10">
        <v>78</v>
      </c>
      <c r="D8824" s="10">
        <v>484</v>
      </c>
      <c r="E8824" s="10" t="s">
        <v>159</v>
      </c>
      <c r="F8824" t="s">
        <v>360</v>
      </c>
    </row>
    <row r="8825" spans="1:7" x14ac:dyDescent="0.35">
      <c r="A8825" s="2">
        <v>43248</v>
      </c>
      <c r="B8825" s="36" t="s">
        <v>114</v>
      </c>
      <c r="C8825" s="10">
        <v>74</v>
      </c>
      <c r="D8825" s="10">
        <v>493</v>
      </c>
      <c r="E8825" s="10" t="s">
        <v>159</v>
      </c>
      <c r="F8825" t="s">
        <v>360</v>
      </c>
    </row>
    <row r="8826" spans="1:7" x14ac:dyDescent="0.35">
      <c r="A8826" s="2">
        <v>43248</v>
      </c>
      <c r="B8826" s="36" t="s">
        <v>114</v>
      </c>
      <c r="C8826" s="10">
        <v>70</v>
      </c>
      <c r="D8826" s="10">
        <v>321</v>
      </c>
      <c r="E8826" s="10" t="s">
        <v>159</v>
      </c>
      <c r="F8826" t="s">
        <v>360</v>
      </c>
    </row>
    <row r="8827" spans="1:7" x14ac:dyDescent="0.35">
      <c r="A8827" s="2">
        <v>43248</v>
      </c>
      <c r="B8827" s="36" t="s">
        <v>114</v>
      </c>
      <c r="C8827" s="10">
        <v>73</v>
      </c>
      <c r="D8827" s="10">
        <v>390</v>
      </c>
      <c r="E8827" s="10" t="s">
        <v>159</v>
      </c>
      <c r="F8827" t="s">
        <v>360</v>
      </c>
    </row>
    <row r="8828" spans="1:7" x14ac:dyDescent="0.35">
      <c r="A8828" s="2">
        <v>43248</v>
      </c>
      <c r="B8828" s="36" t="s">
        <v>114</v>
      </c>
      <c r="C8828" s="10">
        <v>76</v>
      </c>
      <c r="D8828" s="10">
        <v>528</v>
      </c>
      <c r="E8828" s="10" t="s">
        <v>159</v>
      </c>
      <c r="F8828" t="s">
        <v>360</v>
      </c>
    </row>
    <row r="8829" spans="1:7" s="4" customFormat="1" x14ac:dyDescent="0.35">
      <c r="A8829" s="3">
        <v>43248</v>
      </c>
      <c r="B8829" s="26" t="s">
        <v>114</v>
      </c>
      <c r="C8829" s="11">
        <v>74</v>
      </c>
      <c r="D8829" s="11">
        <v>480</v>
      </c>
      <c r="E8829" s="11" t="s">
        <v>159</v>
      </c>
      <c r="F8829" s="4" t="s">
        <v>360</v>
      </c>
      <c r="G8829" s="4" t="s">
        <v>498</v>
      </c>
    </row>
    <row r="8830" spans="1:7" x14ac:dyDescent="0.35">
      <c r="A8830" s="2"/>
      <c r="B8830" s="36"/>
    </row>
    <row r="8831" spans="1:7" x14ac:dyDescent="0.35">
      <c r="A8831" s="2"/>
      <c r="B8831" s="36"/>
    </row>
    <row r="8832" spans="1:7" x14ac:dyDescent="0.35">
      <c r="A8832" s="2"/>
      <c r="B8832" s="36"/>
    </row>
    <row r="8833" spans="1:2" x14ac:dyDescent="0.35">
      <c r="A8833" s="2"/>
      <c r="B8833" s="36"/>
    </row>
    <row r="8834" spans="1:2" x14ac:dyDescent="0.35">
      <c r="A8834" s="2"/>
      <c r="B8834" s="36"/>
    </row>
    <row r="8835" spans="1:2" x14ac:dyDescent="0.35">
      <c r="A8835" s="2"/>
      <c r="B8835" s="36"/>
    </row>
    <row r="8836" spans="1:2" x14ac:dyDescent="0.35">
      <c r="A8836" s="2"/>
      <c r="B8836" s="36"/>
    </row>
    <row r="8837" spans="1:2" x14ac:dyDescent="0.35">
      <c r="A8837" s="2"/>
      <c r="B8837" s="36"/>
    </row>
    <row r="8838" spans="1:2" x14ac:dyDescent="0.35">
      <c r="A8838" s="2"/>
      <c r="B8838" s="36"/>
    </row>
    <row r="8839" spans="1:2" x14ac:dyDescent="0.35">
      <c r="A8839" s="2"/>
      <c r="B8839" s="36"/>
    </row>
    <row r="8840" spans="1:2" x14ac:dyDescent="0.35">
      <c r="A8840" s="2"/>
      <c r="B8840" s="36"/>
    </row>
    <row r="8841" spans="1:2" x14ac:dyDescent="0.35">
      <c r="A8841" s="2"/>
      <c r="B8841" s="36"/>
    </row>
    <row r="8842" spans="1:2" x14ac:dyDescent="0.35">
      <c r="A8842" s="2"/>
      <c r="B8842" s="36"/>
    </row>
    <row r="8843" spans="1:2" x14ac:dyDescent="0.35">
      <c r="A8843" s="2"/>
      <c r="B8843" s="36"/>
    </row>
    <row r="8844" spans="1:2" x14ac:dyDescent="0.35">
      <c r="A8844" s="2"/>
      <c r="B8844" s="36"/>
    </row>
    <row r="8845" spans="1:2" x14ac:dyDescent="0.35">
      <c r="A8845" s="2"/>
      <c r="B8845" s="36"/>
    </row>
    <row r="8846" spans="1:2" x14ac:dyDescent="0.35">
      <c r="A8846" s="2"/>
      <c r="B8846" s="36"/>
    </row>
    <row r="8847" spans="1:2" x14ac:dyDescent="0.35">
      <c r="A8847" s="2"/>
      <c r="B8847" s="36"/>
    </row>
    <row r="8848" spans="1:2" x14ac:dyDescent="0.35">
      <c r="A8848" s="2"/>
      <c r="B8848" s="36"/>
    </row>
    <row r="8849" spans="1:2" x14ac:dyDescent="0.35">
      <c r="A8849" s="2"/>
      <c r="B8849" s="36"/>
    </row>
    <row r="8850" spans="1:2" x14ac:dyDescent="0.35">
      <c r="A8850" s="2"/>
      <c r="B8850" s="36"/>
    </row>
    <row r="8851" spans="1:2" x14ac:dyDescent="0.35">
      <c r="A8851" s="2"/>
      <c r="B8851" s="36"/>
    </row>
    <row r="8852" spans="1:2" x14ac:dyDescent="0.35">
      <c r="A8852" s="2"/>
      <c r="B8852" s="36"/>
    </row>
    <row r="8853" spans="1:2" x14ac:dyDescent="0.35">
      <c r="A8853" s="2"/>
      <c r="B8853" s="36"/>
    </row>
    <row r="8854" spans="1:2" x14ac:dyDescent="0.35">
      <c r="A8854" s="2"/>
      <c r="B8854" s="36"/>
    </row>
    <row r="8855" spans="1:2" x14ac:dyDescent="0.35">
      <c r="A8855" s="2"/>
      <c r="B8855" s="36"/>
    </row>
    <row r="8856" spans="1:2" x14ac:dyDescent="0.35">
      <c r="A8856" s="2"/>
      <c r="B8856" s="36"/>
    </row>
    <row r="8857" spans="1:2" x14ac:dyDescent="0.35">
      <c r="A8857" s="2"/>
      <c r="B8857" s="36"/>
    </row>
    <row r="8858" spans="1:2" x14ac:dyDescent="0.35">
      <c r="A8858" s="2"/>
      <c r="B8858" s="36"/>
    </row>
    <row r="8859" spans="1:2" x14ac:dyDescent="0.35">
      <c r="A8859" s="2"/>
      <c r="B8859" s="36"/>
    </row>
    <row r="8860" spans="1:2" x14ac:dyDescent="0.35">
      <c r="A8860" s="2"/>
      <c r="B8860" s="36"/>
    </row>
    <row r="8861" spans="1:2" x14ac:dyDescent="0.35">
      <c r="A8861" s="2"/>
      <c r="B8861" s="36"/>
    </row>
    <row r="8862" spans="1:2" x14ac:dyDescent="0.35">
      <c r="A8862" s="2"/>
      <c r="B8862" s="36"/>
    </row>
    <row r="8863" spans="1:2" x14ac:dyDescent="0.35">
      <c r="A8863" s="2"/>
      <c r="B8863" s="36"/>
    </row>
    <row r="8864" spans="1:2" x14ac:dyDescent="0.35">
      <c r="A8864" s="2"/>
      <c r="B8864" s="36"/>
    </row>
    <row r="8865" spans="1:2" x14ac:dyDescent="0.35">
      <c r="A8865" s="2"/>
      <c r="B8865" s="36"/>
    </row>
    <row r="8866" spans="1:2" x14ac:dyDescent="0.35">
      <c r="A8866" s="2"/>
      <c r="B8866" s="36"/>
    </row>
    <row r="8867" spans="1:2" x14ac:dyDescent="0.35">
      <c r="A8867" s="2"/>
      <c r="B8867" s="36"/>
    </row>
    <row r="8868" spans="1:2" x14ac:dyDescent="0.35">
      <c r="A8868" s="2"/>
      <c r="B8868" s="36"/>
    </row>
    <row r="8869" spans="1:2" x14ac:dyDescent="0.35">
      <c r="A8869" s="2"/>
      <c r="B8869" s="36"/>
    </row>
    <row r="8870" spans="1:2" x14ac:dyDescent="0.35">
      <c r="A8870" s="2"/>
      <c r="B8870" s="36"/>
    </row>
    <row r="8871" spans="1:2" x14ac:dyDescent="0.35">
      <c r="A8871" s="2"/>
      <c r="B8871" s="36"/>
    </row>
    <row r="8872" spans="1:2" x14ac:dyDescent="0.35">
      <c r="A8872" s="2"/>
      <c r="B8872" s="36"/>
    </row>
    <row r="8873" spans="1:2" x14ac:dyDescent="0.35">
      <c r="A8873" s="2"/>
      <c r="B8873" s="36"/>
    </row>
    <row r="8874" spans="1:2" x14ac:dyDescent="0.35">
      <c r="A8874" s="2"/>
      <c r="B8874" s="36"/>
    </row>
    <row r="8875" spans="1:2" x14ac:dyDescent="0.35">
      <c r="A8875" s="2"/>
      <c r="B8875" s="36"/>
    </row>
    <row r="8876" spans="1:2" x14ac:dyDescent="0.35">
      <c r="A8876" s="2"/>
      <c r="B8876" s="36"/>
    </row>
    <row r="8877" spans="1:2" x14ac:dyDescent="0.35">
      <c r="A8877" s="2"/>
      <c r="B8877" s="36"/>
    </row>
    <row r="8878" spans="1:2" x14ac:dyDescent="0.35">
      <c r="A8878" s="2"/>
      <c r="B8878" s="36"/>
    </row>
    <row r="8879" spans="1:2" x14ac:dyDescent="0.35">
      <c r="A8879" s="2"/>
      <c r="B8879" s="36"/>
    </row>
    <row r="8880" spans="1:2" x14ac:dyDescent="0.35">
      <c r="A8880" s="2"/>
      <c r="B8880" s="36"/>
    </row>
    <row r="8881" spans="1:2" x14ac:dyDescent="0.35">
      <c r="A8881" s="2"/>
      <c r="B8881" s="36"/>
    </row>
    <row r="8882" spans="1:2" x14ac:dyDescent="0.35">
      <c r="A8882" s="2"/>
      <c r="B8882" s="36"/>
    </row>
    <row r="8883" spans="1:2" x14ac:dyDescent="0.35">
      <c r="A8883" s="2"/>
      <c r="B8883" s="36"/>
    </row>
    <row r="8884" spans="1:2" x14ac:dyDescent="0.35">
      <c r="A8884" s="2"/>
      <c r="B8884" s="36"/>
    </row>
    <row r="8885" spans="1:2" x14ac:dyDescent="0.35">
      <c r="A8885" s="2"/>
      <c r="B8885" s="36"/>
    </row>
    <row r="8886" spans="1:2" x14ac:dyDescent="0.35">
      <c r="A8886" s="2"/>
      <c r="B8886" s="36"/>
    </row>
    <row r="8887" spans="1:2" x14ac:dyDescent="0.35">
      <c r="A8887" s="2"/>
      <c r="B8887" s="36"/>
    </row>
    <row r="8888" spans="1:2" x14ac:dyDescent="0.35">
      <c r="A8888" s="2"/>
      <c r="B8888" s="36"/>
    </row>
    <row r="8889" spans="1:2" x14ac:dyDescent="0.35">
      <c r="A8889" s="2"/>
      <c r="B8889" s="36"/>
    </row>
    <row r="8890" spans="1:2" x14ac:dyDescent="0.35">
      <c r="A8890" s="2"/>
      <c r="B8890" s="36"/>
    </row>
    <row r="8891" spans="1:2" x14ac:dyDescent="0.35">
      <c r="A8891" s="2"/>
      <c r="B8891" s="36"/>
    </row>
    <row r="8892" spans="1:2" x14ac:dyDescent="0.35">
      <c r="A8892" s="2"/>
      <c r="B8892" s="36"/>
    </row>
    <row r="8893" spans="1:2" x14ac:dyDescent="0.35">
      <c r="A8893" s="2"/>
      <c r="B8893" s="36"/>
    </row>
    <row r="8894" spans="1:2" x14ac:dyDescent="0.35">
      <c r="A8894" s="2"/>
      <c r="B8894" s="36"/>
    </row>
    <row r="8895" spans="1:2" x14ac:dyDescent="0.35">
      <c r="A8895" s="2"/>
      <c r="B8895" s="36"/>
    </row>
    <row r="8896" spans="1:2" x14ac:dyDescent="0.35">
      <c r="A8896" s="2"/>
      <c r="B8896" s="36"/>
    </row>
    <row r="8897" spans="1:2" x14ac:dyDescent="0.35">
      <c r="A8897" s="2"/>
      <c r="B8897" s="36"/>
    </row>
    <row r="8898" spans="1:2" x14ac:dyDescent="0.35">
      <c r="A8898" s="2"/>
      <c r="B8898" s="36"/>
    </row>
    <row r="8899" spans="1:2" x14ac:dyDescent="0.35">
      <c r="A8899" s="2"/>
      <c r="B8899" s="36"/>
    </row>
    <row r="8900" spans="1:2" x14ac:dyDescent="0.35">
      <c r="A8900" s="2"/>
      <c r="B8900" s="36"/>
    </row>
    <row r="8901" spans="1:2" x14ac:dyDescent="0.35">
      <c r="A8901" s="2"/>
      <c r="B8901" s="36"/>
    </row>
    <row r="8902" spans="1:2" x14ac:dyDescent="0.35">
      <c r="A8902" s="2"/>
      <c r="B8902" s="36"/>
    </row>
    <row r="8903" spans="1:2" x14ac:dyDescent="0.35">
      <c r="A8903" s="2"/>
      <c r="B8903" s="36"/>
    </row>
    <row r="8904" spans="1:2" x14ac:dyDescent="0.35">
      <c r="A8904" s="2"/>
      <c r="B8904" s="36"/>
    </row>
    <row r="8905" spans="1:2" x14ac:dyDescent="0.35">
      <c r="A8905" s="2"/>
      <c r="B8905" s="36"/>
    </row>
    <row r="8906" spans="1:2" x14ac:dyDescent="0.35">
      <c r="A8906" s="2"/>
      <c r="B8906" s="36"/>
    </row>
    <row r="8907" spans="1:2" x14ac:dyDescent="0.35">
      <c r="A8907" s="2"/>
      <c r="B8907" s="36"/>
    </row>
    <row r="8908" spans="1:2" x14ac:dyDescent="0.35">
      <c r="A8908" s="2"/>
      <c r="B8908" s="36"/>
    </row>
    <row r="8909" spans="1:2" x14ac:dyDescent="0.35">
      <c r="A8909" s="2"/>
      <c r="B8909" s="36"/>
    </row>
    <row r="8910" spans="1:2" x14ac:dyDescent="0.35">
      <c r="A8910" s="2"/>
      <c r="B8910" s="36"/>
    </row>
    <row r="8911" spans="1:2" x14ac:dyDescent="0.35">
      <c r="A8911" s="2"/>
      <c r="B8911" s="36"/>
    </row>
    <row r="8912" spans="1:2" x14ac:dyDescent="0.35">
      <c r="A8912" s="2"/>
      <c r="B8912" s="36"/>
    </row>
    <row r="8913" spans="1:2" x14ac:dyDescent="0.35">
      <c r="A8913" s="2"/>
      <c r="B8913" s="36"/>
    </row>
    <row r="8914" spans="1:2" x14ac:dyDescent="0.35">
      <c r="A8914" s="2"/>
      <c r="B8914" s="36"/>
    </row>
    <row r="8915" spans="1:2" x14ac:dyDescent="0.35">
      <c r="A8915" s="2"/>
      <c r="B8915" s="36"/>
    </row>
    <row r="8916" spans="1:2" x14ac:dyDescent="0.35">
      <c r="A8916" s="2"/>
      <c r="B8916" s="36"/>
    </row>
    <row r="8917" spans="1:2" x14ac:dyDescent="0.35">
      <c r="A8917" s="2"/>
      <c r="B8917" s="36"/>
    </row>
    <row r="8918" spans="1:2" x14ac:dyDescent="0.35">
      <c r="A8918" s="2"/>
      <c r="B8918" s="36"/>
    </row>
    <row r="8919" spans="1:2" x14ac:dyDescent="0.35">
      <c r="A8919" s="2"/>
      <c r="B8919" s="36"/>
    </row>
    <row r="8920" spans="1:2" x14ac:dyDescent="0.35">
      <c r="A8920" s="2"/>
      <c r="B8920" s="36"/>
    </row>
    <row r="8921" spans="1:2" x14ac:dyDescent="0.35">
      <c r="A8921" s="2"/>
      <c r="B8921" s="36"/>
    </row>
    <row r="8922" spans="1:2" x14ac:dyDescent="0.35">
      <c r="A8922" s="2"/>
      <c r="B8922" s="36"/>
    </row>
    <row r="8923" spans="1:2" x14ac:dyDescent="0.35">
      <c r="A8923" s="2"/>
      <c r="B8923" s="36"/>
    </row>
    <row r="8924" spans="1:2" x14ac:dyDescent="0.35">
      <c r="A8924" s="2"/>
      <c r="B8924" s="36"/>
    </row>
    <row r="8925" spans="1:2" x14ac:dyDescent="0.35">
      <c r="A8925" s="2"/>
      <c r="B8925" s="36"/>
    </row>
    <row r="8926" spans="1:2" x14ac:dyDescent="0.35">
      <c r="A8926" s="2"/>
      <c r="B8926" s="36"/>
    </row>
    <row r="8927" spans="1:2" x14ac:dyDescent="0.35">
      <c r="A8927" s="2"/>
      <c r="B8927" s="36"/>
    </row>
    <row r="8928" spans="1:2" x14ac:dyDescent="0.35">
      <c r="A8928" s="2"/>
      <c r="B8928" s="36"/>
    </row>
    <row r="8929" spans="1:2" x14ac:dyDescent="0.35">
      <c r="A8929" s="2"/>
      <c r="B8929" s="36"/>
    </row>
    <row r="8930" spans="1:2" x14ac:dyDescent="0.35">
      <c r="A8930" s="2"/>
      <c r="B8930" s="36"/>
    </row>
    <row r="8931" spans="1:2" x14ac:dyDescent="0.35">
      <c r="A8931" s="2"/>
      <c r="B8931" s="36"/>
    </row>
    <row r="8932" spans="1:2" x14ac:dyDescent="0.35">
      <c r="A8932" s="2"/>
      <c r="B8932" s="36"/>
    </row>
    <row r="8933" spans="1:2" x14ac:dyDescent="0.35">
      <c r="A8933" s="2"/>
      <c r="B8933" s="36"/>
    </row>
    <row r="8934" spans="1:2" x14ac:dyDescent="0.35">
      <c r="A8934" s="2"/>
      <c r="B8934" s="36"/>
    </row>
    <row r="8935" spans="1:2" x14ac:dyDescent="0.35">
      <c r="A8935" s="2"/>
      <c r="B8935" s="36"/>
    </row>
    <row r="8936" spans="1:2" x14ac:dyDescent="0.35">
      <c r="A8936" s="2"/>
      <c r="B8936" s="36"/>
    </row>
    <row r="8937" spans="1:2" x14ac:dyDescent="0.35">
      <c r="A8937" s="2"/>
      <c r="B8937" s="36"/>
    </row>
    <row r="8938" spans="1:2" x14ac:dyDescent="0.35">
      <c r="A8938" s="2"/>
      <c r="B8938" s="36"/>
    </row>
    <row r="8939" spans="1:2" x14ac:dyDescent="0.35">
      <c r="A8939" s="2"/>
      <c r="B8939" s="36"/>
    </row>
    <row r="8940" spans="1:2" x14ac:dyDescent="0.35">
      <c r="A8940" s="2"/>
      <c r="B8940" s="36"/>
    </row>
    <row r="8941" spans="1:2" x14ac:dyDescent="0.35">
      <c r="A8941" s="2"/>
      <c r="B8941" s="36"/>
    </row>
    <row r="8942" spans="1:2" x14ac:dyDescent="0.35">
      <c r="A8942" s="2"/>
      <c r="B8942" s="36"/>
    </row>
    <row r="8943" spans="1:2" x14ac:dyDescent="0.35">
      <c r="A8943" s="2"/>
      <c r="B8943" s="36"/>
    </row>
    <row r="8944" spans="1:2" x14ac:dyDescent="0.35">
      <c r="A8944" s="2"/>
      <c r="B8944" s="36"/>
    </row>
    <row r="8945" spans="1:2" x14ac:dyDescent="0.35">
      <c r="A8945" s="2"/>
      <c r="B8945" s="36"/>
    </row>
    <row r="8946" spans="1:2" x14ac:dyDescent="0.35">
      <c r="A8946" s="2"/>
      <c r="B8946" s="36"/>
    </row>
    <row r="8947" spans="1:2" x14ac:dyDescent="0.35">
      <c r="A8947" s="2"/>
      <c r="B8947" s="36"/>
    </row>
    <row r="8948" spans="1:2" x14ac:dyDescent="0.35">
      <c r="A8948" s="2"/>
      <c r="B8948" s="36"/>
    </row>
    <row r="8949" spans="1:2" x14ac:dyDescent="0.35">
      <c r="A8949" s="2"/>
      <c r="B8949" s="36"/>
    </row>
    <row r="8950" spans="1:2" x14ac:dyDescent="0.35">
      <c r="A8950" s="2"/>
      <c r="B8950" s="36"/>
    </row>
    <row r="8951" spans="1:2" x14ac:dyDescent="0.35">
      <c r="A8951" s="2"/>
      <c r="B8951" s="36"/>
    </row>
    <row r="8952" spans="1:2" x14ac:dyDescent="0.35">
      <c r="A8952" s="2"/>
      <c r="B8952" s="36"/>
    </row>
    <row r="8953" spans="1:2" x14ac:dyDescent="0.35">
      <c r="A8953" s="2"/>
      <c r="B8953" s="36"/>
    </row>
    <row r="8954" spans="1:2" x14ac:dyDescent="0.35">
      <c r="A8954" s="2"/>
      <c r="B8954" s="36"/>
    </row>
    <row r="8955" spans="1:2" x14ac:dyDescent="0.35">
      <c r="A8955" s="2"/>
      <c r="B8955" s="36"/>
    </row>
    <row r="8956" spans="1:2" x14ac:dyDescent="0.35">
      <c r="A8956" s="2"/>
      <c r="B8956" s="36"/>
    </row>
    <row r="8957" spans="1:2" x14ac:dyDescent="0.35">
      <c r="A8957" s="2"/>
      <c r="B8957" s="36"/>
    </row>
    <row r="8958" spans="1:2" x14ac:dyDescent="0.35">
      <c r="A8958" s="2"/>
      <c r="B8958" s="36"/>
    </row>
    <row r="8959" spans="1:2" x14ac:dyDescent="0.35">
      <c r="A8959" s="2"/>
      <c r="B8959" s="36"/>
    </row>
    <row r="8960" spans="1:2" x14ac:dyDescent="0.35">
      <c r="A8960" s="2"/>
      <c r="B8960" s="36"/>
    </row>
    <row r="8961" spans="1:2" x14ac:dyDescent="0.35">
      <c r="A8961" s="2"/>
      <c r="B8961" s="36"/>
    </row>
    <row r="8962" spans="1:2" x14ac:dyDescent="0.35">
      <c r="A8962" s="2"/>
      <c r="B8962" s="36"/>
    </row>
    <row r="8963" spans="1:2" x14ac:dyDescent="0.35">
      <c r="A8963" s="2"/>
      <c r="B8963" s="36"/>
    </row>
    <row r="8964" spans="1:2" x14ac:dyDescent="0.35">
      <c r="A8964" s="2"/>
      <c r="B8964" s="36"/>
    </row>
    <row r="8965" spans="1:2" x14ac:dyDescent="0.35">
      <c r="A8965" s="2"/>
      <c r="B8965" s="36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425"/>
  <sheetViews>
    <sheetView zoomScaleNormal="100" workbookViewId="0">
      <pane xSplit="1" ySplit="1" topLeftCell="B303" activePane="bottomRight" state="frozen"/>
      <selection pane="topRight" activeCell="B1" sqref="B1"/>
      <selection pane="bottomLeft" activeCell="A2" sqref="A2"/>
      <selection pane="bottomRight" activeCell="A338" sqref="A338:D355"/>
    </sheetView>
  </sheetViews>
  <sheetFormatPr defaultRowHeight="14.5" x14ac:dyDescent="0.35"/>
  <cols>
    <col min="1" max="1" width="14.453125" customWidth="1"/>
    <col min="2" max="3" width="9.54296875" bestFit="1" customWidth="1"/>
    <col min="4" max="4" width="10.54296875" customWidth="1"/>
    <col min="5" max="6" width="9.54296875" bestFit="1" customWidth="1"/>
    <col min="7" max="7" width="10.7265625" bestFit="1" customWidth="1"/>
    <col min="8" max="8" width="9.26953125" bestFit="1" customWidth="1"/>
    <col min="9" max="9" width="10.453125" bestFit="1" customWidth="1"/>
    <col min="13" max="13" width="10.54296875" customWidth="1"/>
    <col min="14" max="14" width="11.7265625" customWidth="1"/>
    <col min="15" max="15" width="13.7265625" customWidth="1"/>
    <col min="16" max="16" width="11.54296875" customWidth="1"/>
    <col min="18" max="18" width="11.26953125" customWidth="1"/>
    <col min="19" max="19" width="11.453125" customWidth="1"/>
    <col min="20" max="20" width="13.7265625" customWidth="1"/>
    <col min="21" max="21" width="11.453125" customWidth="1"/>
    <col min="24" max="24" width="12.1796875" customWidth="1"/>
    <col min="33" max="33" width="11.81640625" customWidth="1"/>
    <col min="34" max="34" width="11.54296875" customWidth="1"/>
    <col min="43" max="43" width="12.1796875" customWidth="1"/>
  </cols>
  <sheetData>
    <row r="1" spans="1:56" x14ac:dyDescent="0.35">
      <c r="B1" t="s">
        <v>42</v>
      </c>
      <c r="C1" t="s">
        <v>39</v>
      </c>
      <c r="D1" t="s">
        <v>40</v>
      </c>
      <c r="E1" t="s">
        <v>36</v>
      </c>
      <c r="F1" t="s">
        <v>33</v>
      </c>
      <c r="G1" t="s">
        <v>34</v>
      </c>
      <c r="H1" t="s">
        <v>32</v>
      </c>
      <c r="I1" t="s">
        <v>37</v>
      </c>
      <c r="J1" t="s">
        <v>159</v>
      </c>
      <c r="M1" t="s">
        <v>107</v>
      </c>
      <c r="N1" t="s">
        <v>43</v>
      </c>
      <c r="O1" t="s">
        <v>44</v>
      </c>
      <c r="P1" t="s">
        <v>571</v>
      </c>
      <c r="R1" t="s">
        <v>120</v>
      </c>
      <c r="S1" t="s">
        <v>43</v>
      </c>
      <c r="T1" t="s">
        <v>44</v>
      </c>
      <c r="U1" t="s">
        <v>571</v>
      </c>
      <c r="Y1" t="s">
        <v>407</v>
      </c>
      <c r="AB1" t="s">
        <v>408</v>
      </c>
      <c r="AE1" t="s">
        <v>572</v>
      </c>
    </row>
    <row r="2" spans="1:56" x14ac:dyDescent="0.35">
      <c r="A2" s="45" t="s">
        <v>283</v>
      </c>
      <c r="Y2" t="s">
        <v>372</v>
      </c>
      <c r="Z2" t="s">
        <v>373</v>
      </c>
      <c r="AB2" t="s">
        <v>372</v>
      </c>
      <c r="AC2" t="s">
        <v>373</v>
      </c>
      <c r="AE2" t="s">
        <v>372</v>
      </c>
      <c r="AF2" t="s">
        <v>373</v>
      </c>
    </row>
    <row r="3" spans="1:56" x14ac:dyDescent="0.35">
      <c r="A3" s="2">
        <v>42440</v>
      </c>
      <c r="M3">
        <v>4</v>
      </c>
      <c r="R3">
        <v>0</v>
      </c>
      <c r="X3" s="2">
        <v>42440</v>
      </c>
      <c r="AC3" s="8">
        <v>323.80769230769232</v>
      </c>
      <c r="AF3" s="42">
        <v>0.99750879777273715</v>
      </c>
      <c r="AG3" s="42"/>
      <c r="AH3" s="42"/>
      <c r="AS3" t="s">
        <v>532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8</v>
      </c>
      <c r="BA3" s="8">
        <v>28.000000000000004</v>
      </c>
      <c r="BB3" s="8">
        <v>64</v>
      </c>
      <c r="BD3">
        <v>72</v>
      </c>
    </row>
    <row r="4" spans="1:56" x14ac:dyDescent="0.35">
      <c r="A4" s="2">
        <v>42447</v>
      </c>
      <c r="B4">
        <v>0</v>
      </c>
      <c r="C4">
        <v>20</v>
      </c>
      <c r="D4">
        <v>20</v>
      </c>
      <c r="E4">
        <v>10</v>
      </c>
      <c r="F4">
        <v>24</v>
      </c>
      <c r="G4">
        <v>24</v>
      </c>
      <c r="H4">
        <v>2</v>
      </c>
      <c r="I4">
        <v>0</v>
      </c>
      <c r="J4">
        <v>0</v>
      </c>
      <c r="K4">
        <f>SUM(B4:J4)</f>
        <v>100</v>
      </c>
      <c r="M4">
        <v>63</v>
      </c>
      <c r="N4" s="7">
        <v>74.64</v>
      </c>
      <c r="O4" s="8">
        <v>364.02</v>
      </c>
      <c r="P4" s="42">
        <v>1.0239791161910246</v>
      </c>
      <c r="R4">
        <v>0</v>
      </c>
      <c r="X4" s="2">
        <v>42447</v>
      </c>
      <c r="Y4" s="7">
        <v>74.64</v>
      </c>
      <c r="Z4" s="7">
        <v>72.384615384615387</v>
      </c>
      <c r="AB4" s="8">
        <v>364.02</v>
      </c>
      <c r="AC4" s="8">
        <v>311.95999999999998</v>
      </c>
      <c r="AE4" s="42">
        <v>1.0239791161910246</v>
      </c>
      <c r="AF4" s="42">
        <v>0.98368197631989507</v>
      </c>
      <c r="AG4" s="42"/>
      <c r="AH4" s="42"/>
      <c r="AS4" t="s">
        <v>531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42</v>
      </c>
      <c r="BA4" s="8">
        <v>8</v>
      </c>
      <c r="BB4" s="8">
        <v>50</v>
      </c>
      <c r="BD4">
        <v>86</v>
      </c>
    </row>
    <row r="5" spans="1:56" x14ac:dyDescent="0.35">
      <c r="A5" s="13">
        <v>42454</v>
      </c>
      <c r="K5">
        <f t="shared" ref="K5:K121" si="0">SUM(B5:J5)</f>
        <v>0</v>
      </c>
      <c r="M5">
        <v>565</v>
      </c>
      <c r="N5" s="7"/>
      <c r="O5" s="8"/>
      <c r="R5">
        <v>8</v>
      </c>
      <c r="S5" s="8">
        <v>114</v>
      </c>
      <c r="T5" s="8">
        <v>1710.25</v>
      </c>
      <c r="U5" s="42">
        <v>0.9419683784707148</v>
      </c>
      <c r="X5" s="13">
        <v>42454</v>
      </c>
      <c r="Y5" s="7"/>
      <c r="Z5" s="7">
        <v>71.680000000000007</v>
      </c>
      <c r="AB5" s="8"/>
      <c r="AC5" s="8">
        <v>289.29411764705884</v>
      </c>
      <c r="AE5" s="42"/>
      <c r="AF5" s="42">
        <v>0.9587077016582588</v>
      </c>
      <c r="AG5" s="42"/>
      <c r="AH5" s="42"/>
      <c r="AT5">
        <f>AT3*$BD3/100</f>
        <v>0</v>
      </c>
      <c r="AU5">
        <f t="shared" ref="AU5:BB5" si="1">AU3*$BD3/100</f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5.76</v>
      </c>
      <c r="BA5">
        <f t="shared" si="1"/>
        <v>20.160000000000004</v>
      </c>
      <c r="BB5">
        <f t="shared" si="1"/>
        <v>46.08</v>
      </c>
    </row>
    <row r="6" spans="1:56" x14ac:dyDescent="0.35">
      <c r="A6" s="2">
        <v>42461</v>
      </c>
      <c r="B6">
        <v>0</v>
      </c>
      <c r="C6">
        <v>2</v>
      </c>
      <c r="D6">
        <v>2</v>
      </c>
      <c r="E6">
        <v>4</v>
      </c>
      <c r="F6">
        <v>26</v>
      </c>
      <c r="G6">
        <v>54</v>
      </c>
      <c r="H6">
        <v>12</v>
      </c>
      <c r="I6">
        <v>0</v>
      </c>
      <c r="J6">
        <v>0</v>
      </c>
      <c r="K6">
        <f t="shared" si="0"/>
        <v>100</v>
      </c>
      <c r="M6">
        <v>5697</v>
      </c>
      <c r="N6" s="7">
        <v>72.28</v>
      </c>
      <c r="O6" s="8">
        <v>326.52</v>
      </c>
      <c r="P6" s="42">
        <v>1.0120221983022077</v>
      </c>
      <c r="R6">
        <v>40</v>
      </c>
      <c r="S6" s="8">
        <v>117.15</v>
      </c>
      <c r="T6" s="8">
        <v>3675.2750000000001</v>
      </c>
      <c r="U6" s="42">
        <v>1.0378904221251539</v>
      </c>
      <c r="X6" s="2">
        <v>42461</v>
      </c>
      <c r="Y6" s="7">
        <v>72.28</v>
      </c>
      <c r="Z6" s="7">
        <v>70.549019607843135</v>
      </c>
      <c r="AB6" s="8">
        <v>326.52</v>
      </c>
      <c r="AC6" s="8">
        <v>304.54000000000002</v>
      </c>
      <c r="AE6" s="42">
        <v>1.0120221983022077</v>
      </c>
      <c r="AF6" s="42">
        <v>1.0218857168948132</v>
      </c>
      <c r="AG6" s="42"/>
      <c r="AH6" s="42"/>
      <c r="AT6">
        <f>AT4*$BD4/100</f>
        <v>0</v>
      </c>
      <c r="AU6">
        <f t="shared" ref="AU6:BB6" si="2">AU4*$BD4/100</f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2"/>
        <v>0</v>
      </c>
      <c r="AZ6">
        <f t="shared" si="2"/>
        <v>36.119999999999997</v>
      </c>
      <c r="BA6">
        <f t="shared" si="2"/>
        <v>6.88</v>
      </c>
      <c r="BB6">
        <f t="shared" si="2"/>
        <v>43</v>
      </c>
    </row>
    <row r="7" spans="1:56" x14ac:dyDescent="0.35">
      <c r="A7" s="2">
        <v>42468</v>
      </c>
      <c r="B7">
        <v>0</v>
      </c>
      <c r="C7">
        <v>0</v>
      </c>
      <c r="D7">
        <v>0</v>
      </c>
      <c r="E7">
        <v>0</v>
      </c>
      <c r="F7">
        <v>36</v>
      </c>
      <c r="G7">
        <v>42</v>
      </c>
      <c r="H7">
        <v>22</v>
      </c>
      <c r="I7">
        <v>0</v>
      </c>
      <c r="J7">
        <v>0</v>
      </c>
      <c r="K7">
        <f t="shared" si="0"/>
        <v>100</v>
      </c>
      <c r="M7">
        <v>2119</v>
      </c>
      <c r="N7" s="7">
        <v>70.260000000000005</v>
      </c>
      <c r="O7" s="8">
        <v>286.68</v>
      </c>
      <c r="P7" s="42">
        <v>0.95801161848260985</v>
      </c>
      <c r="R7">
        <v>38</v>
      </c>
      <c r="S7" s="8">
        <v>107.57894736842105</v>
      </c>
      <c r="T7" s="8">
        <v>1657.7368421052631</v>
      </c>
      <c r="U7" s="42">
        <v>0.98104554965888258</v>
      </c>
      <c r="X7" s="2">
        <v>42468</v>
      </c>
      <c r="Y7" s="7">
        <v>70.260000000000005</v>
      </c>
      <c r="Z7" s="7">
        <v>70.260000000000005</v>
      </c>
      <c r="AB7" s="8">
        <v>286.68</v>
      </c>
      <c r="AC7" s="8">
        <v>286.22000000000003</v>
      </c>
      <c r="AE7" s="42">
        <v>0.95801161848260985</v>
      </c>
      <c r="AF7" s="42">
        <v>0.9664243589464897</v>
      </c>
      <c r="AG7" s="42"/>
      <c r="AH7" s="42"/>
    </row>
    <row r="8" spans="1:56" x14ac:dyDescent="0.35">
      <c r="A8" s="2">
        <v>42475</v>
      </c>
      <c r="B8">
        <v>0</v>
      </c>
      <c r="C8">
        <v>0</v>
      </c>
      <c r="D8">
        <v>0</v>
      </c>
      <c r="E8">
        <v>0</v>
      </c>
      <c r="F8">
        <v>2</v>
      </c>
      <c r="G8">
        <v>66</v>
      </c>
      <c r="H8">
        <v>32</v>
      </c>
      <c r="I8">
        <v>0</v>
      </c>
      <c r="J8">
        <v>0</v>
      </c>
      <c r="K8">
        <f t="shared" si="0"/>
        <v>100</v>
      </c>
      <c r="M8">
        <v>1752</v>
      </c>
      <c r="N8" s="7">
        <v>70.02</v>
      </c>
      <c r="O8" s="8">
        <v>286.27999999999997</v>
      </c>
      <c r="P8" s="42">
        <v>0.98218006818369219</v>
      </c>
      <c r="R8">
        <v>42</v>
      </c>
      <c r="S8" s="8">
        <v>100.64285714285714</v>
      </c>
      <c r="T8" s="8">
        <v>1361.9047619047619</v>
      </c>
      <c r="U8" s="42">
        <v>1.0514558218401848</v>
      </c>
      <c r="X8" s="2">
        <v>42475</v>
      </c>
      <c r="Y8" s="7">
        <v>70.02</v>
      </c>
      <c r="Z8" s="7">
        <v>69.84</v>
      </c>
      <c r="AB8" s="8">
        <v>286.27999999999997</v>
      </c>
      <c r="AC8" s="8">
        <v>283.10000000000002</v>
      </c>
      <c r="AE8" s="42">
        <v>0.98218006818369219</v>
      </c>
      <c r="AF8" s="42">
        <v>0.95399622020217678</v>
      </c>
      <c r="AG8" s="42"/>
      <c r="AH8" s="42"/>
      <c r="AT8" s="8">
        <f t="shared" ref="AT8:BB8" si="3">((AT5+AT6)/($BD3+$BD4))*100</f>
        <v>0</v>
      </c>
      <c r="AU8" s="8">
        <f t="shared" si="3"/>
        <v>0</v>
      </c>
      <c r="AV8" s="8">
        <f t="shared" si="3"/>
        <v>0</v>
      </c>
      <c r="AW8" s="8">
        <f t="shared" si="3"/>
        <v>0</v>
      </c>
      <c r="AX8" s="8">
        <f t="shared" si="3"/>
        <v>0</v>
      </c>
      <c r="AY8" s="8">
        <f t="shared" si="3"/>
        <v>0</v>
      </c>
      <c r="AZ8" s="8">
        <f t="shared" si="3"/>
        <v>26.50632911392405</v>
      </c>
      <c r="BA8" s="8">
        <f t="shared" si="3"/>
        <v>17.113924050632914</v>
      </c>
      <c r="BB8" s="8">
        <f t="shared" si="3"/>
        <v>56.379746835443036</v>
      </c>
    </row>
    <row r="9" spans="1:56" x14ac:dyDescent="0.35">
      <c r="A9" s="2">
        <v>42482</v>
      </c>
      <c r="B9">
        <v>0</v>
      </c>
      <c r="C9">
        <v>0</v>
      </c>
      <c r="D9">
        <v>0</v>
      </c>
      <c r="E9">
        <v>0</v>
      </c>
      <c r="F9">
        <v>2</v>
      </c>
      <c r="G9">
        <v>44</v>
      </c>
      <c r="H9">
        <v>54</v>
      </c>
      <c r="I9">
        <v>0</v>
      </c>
      <c r="J9">
        <v>0</v>
      </c>
      <c r="K9">
        <f t="shared" si="0"/>
        <v>100</v>
      </c>
      <c r="M9" s="10">
        <v>813</v>
      </c>
      <c r="N9" s="7">
        <v>70.22</v>
      </c>
      <c r="O9" s="8">
        <v>286.44</v>
      </c>
      <c r="P9" s="42">
        <v>0.96008557281049489</v>
      </c>
      <c r="R9">
        <v>51</v>
      </c>
      <c r="S9" s="8">
        <v>103.84313725490196</v>
      </c>
      <c r="T9" s="8">
        <v>1394.4313725490197</v>
      </c>
      <c r="U9" s="42">
        <v>0.94643632270749078</v>
      </c>
      <c r="X9" s="2">
        <v>42482</v>
      </c>
      <c r="Y9" s="7">
        <v>70.22</v>
      </c>
      <c r="Z9" s="7">
        <v>70.22</v>
      </c>
      <c r="AB9" s="8">
        <v>286.44</v>
      </c>
      <c r="AC9" s="8">
        <v>298.92156862745099</v>
      </c>
      <c r="AE9" s="42">
        <v>0.96008557281049489</v>
      </c>
      <c r="AF9" s="42">
        <v>0.99726014745972724</v>
      </c>
      <c r="AG9" s="42"/>
      <c r="AH9" s="42"/>
    </row>
    <row r="10" spans="1:56" x14ac:dyDescent="0.35">
      <c r="A10" s="2">
        <v>42489</v>
      </c>
      <c r="B10">
        <v>0</v>
      </c>
      <c r="C10">
        <v>0</v>
      </c>
      <c r="D10">
        <v>0</v>
      </c>
      <c r="E10">
        <v>0</v>
      </c>
      <c r="F10">
        <v>4</v>
      </c>
      <c r="G10">
        <v>42</v>
      </c>
      <c r="H10">
        <v>54</v>
      </c>
      <c r="I10">
        <v>0</v>
      </c>
      <c r="J10">
        <v>0</v>
      </c>
      <c r="K10">
        <f t="shared" si="0"/>
        <v>100</v>
      </c>
      <c r="M10" s="10">
        <v>221</v>
      </c>
      <c r="N10" s="7">
        <v>70.48</v>
      </c>
      <c r="O10" s="8">
        <v>302.3</v>
      </c>
      <c r="P10" s="42">
        <v>1.006972303847071</v>
      </c>
      <c r="R10">
        <v>12</v>
      </c>
      <c r="S10" s="8">
        <v>101.33333333333333</v>
      </c>
      <c r="T10" s="8">
        <v>1421.25</v>
      </c>
      <c r="U10" s="42">
        <v>1.0336980008646517</v>
      </c>
      <c r="X10" s="2">
        <v>42489</v>
      </c>
      <c r="Y10" s="7">
        <v>70.48</v>
      </c>
      <c r="Z10" s="7">
        <v>70.372549019607845</v>
      </c>
      <c r="AB10" s="8">
        <v>302.3</v>
      </c>
      <c r="AC10" s="8">
        <v>308.24</v>
      </c>
      <c r="AE10" s="42">
        <v>1.006972303847071</v>
      </c>
      <c r="AF10" s="42">
        <v>1.0141147130575103</v>
      </c>
      <c r="AG10" s="42"/>
      <c r="AH10" s="42"/>
    </row>
    <row r="11" spans="1:56" x14ac:dyDescent="0.35">
      <c r="A11" s="2">
        <v>42494</v>
      </c>
      <c r="B11">
        <v>0</v>
      </c>
      <c r="C11">
        <v>0</v>
      </c>
      <c r="D11">
        <v>0</v>
      </c>
      <c r="E11">
        <v>0</v>
      </c>
      <c r="F11">
        <v>4</v>
      </c>
      <c r="G11">
        <v>36</v>
      </c>
      <c r="H11">
        <v>60</v>
      </c>
      <c r="I11">
        <v>0</v>
      </c>
      <c r="J11">
        <v>0</v>
      </c>
      <c r="K11">
        <f t="shared" si="0"/>
        <v>100</v>
      </c>
      <c r="M11" s="10">
        <v>81</v>
      </c>
      <c r="N11" s="7">
        <v>70.36</v>
      </c>
      <c r="O11" s="8">
        <v>311.94</v>
      </c>
      <c r="P11" s="42">
        <v>1.0552959790510479</v>
      </c>
      <c r="R11">
        <v>35</v>
      </c>
      <c r="S11" s="8">
        <v>101.34285714285714</v>
      </c>
      <c r="T11" s="8">
        <v>1391.8857142857144</v>
      </c>
      <c r="U11" s="42">
        <v>0.98424633895003411</v>
      </c>
      <c r="X11" s="2">
        <v>42494</v>
      </c>
      <c r="Y11" s="7">
        <v>70.36</v>
      </c>
      <c r="Z11" s="7">
        <v>70.8</v>
      </c>
      <c r="AB11" s="8">
        <v>311.94</v>
      </c>
      <c r="AC11" s="8">
        <v>318.39999999999998</v>
      </c>
      <c r="AE11" s="42">
        <v>1.0552959790510479</v>
      </c>
      <c r="AF11" s="42">
        <v>1.0652987393399653</v>
      </c>
      <c r="AG11" s="42"/>
      <c r="AH11" s="42"/>
    </row>
    <row r="12" spans="1:56" x14ac:dyDescent="0.35">
      <c r="A12" s="2">
        <v>42503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</v>
      </c>
      <c r="I12">
        <v>38</v>
      </c>
      <c r="J12">
        <v>12</v>
      </c>
      <c r="K12">
        <f t="shared" si="0"/>
        <v>100</v>
      </c>
      <c r="M12" s="10">
        <v>332</v>
      </c>
      <c r="N12" s="7">
        <v>69.760000000000005</v>
      </c>
      <c r="O12" s="8">
        <v>266.74</v>
      </c>
      <c r="P12" s="42">
        <v>0.93159410321869862</v>
      </c>
      <c r="R12">
        <v>43</v>
      </c>
      <c r="S12" s="8">
        <v>99.837209302325576</v>
      </c>
      <c r="T12" s="8">
        <v>1179.4418604651162</v>
      </c>
      <c r="U12" s="42">
        <v>0.93202185817613825</v>
      </c>
      <c r="X12" s="2">
        <v>42503</v>
      </c>
      <c r="Y12" s="7">
        <v>69.760000000000005</v>
      </c>
      <c r="Z12" s="7">
        <v>70.56</v>
      </c>
      <c r="AB12" s="8">
        <v>266.74</v>
      </c>
      <c r="AC12" s="8">
        <v>290.9387755102041</v>
      </c>
      <c r="AE12" s="42">
        <v>0.93159410321869862</v>
      </c>
      <c r="AF12" s="42">
        <v>0.97985859249556218</v>
      </c>
      <c r="AG12" s="42"/>
      <c r="AH12" s="42"/>
    </row>
    <row r="13" spans="1:56" x14ac:dyDescent="0.35">
      <c r="A13" s="2">
        <v>42510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8">
        <v>11.111111111111111</v>
      </c>
      <c r="I13" s="8">
        <v>28.888888888888886</v>
      </c>
      <c r="J13">
        <v>60</v>
      </c>
      <c r="K13">
        <f t="shared" si="0"/>
        <v>100</v>
      </c>
      <c r="M13">
        <v>78</v>
      </c>
      <c r="N13" s="7">
        <v>69.177777777777777</v>
      </c>
      <c r="O13" s="8">
        <v>293.0888888888889</v>
      </c>
      <c r="P13" s="42">
        <v>1.0284630996795958</v>
      </c>
      <c r="R13">
        <v>12</v>
      </c>
      <c r="S13" s="8">
        <v>99.583333333333329</v>
      </c>
      <c r="T13" s="8">
        <v>1345.4166666666667</v>
      </c>
      <c r="U13" s="42">
        <v>1.016976674115939</v>
      </c>
      <c r="X13" s="2">
        <v>42510</v>
      </c>
      <c r="Y13" s="7">
        <v>69.177777777777777</v>
      </c>
      <c r="Z13" s="7">
        <v>70.183673469387756</v>
      </c>
      <c r="AB13" s="8">
        <v>293.0888888888889</v>
      </c>
      <c r="AC13" s="8">
        <v>306.27999999999997</v>
      </c>
      <c r="AE13" s="42">
        <v>1.0284630996795958</v>
      </c>
      <c r="AF13" s="42">
        <v>1.0577343198716862</v>
      </c>
      <c r="AG13" s="42"/>
      <c r="AH13" s="42"/>
    </row>
    <row r="14" spans="1:56" x14ac:dyDescent="0.35">
      <c r="A14" s="2">
        <v>42517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8">
        <v>4.8543689320388346</v>
      </c>
      <c r="I14" s="8">
        <v>20.388349514563107</v>
      </c>
      <c r="J14" s="8">
        <v>74.757281553398059</v>
      </c>
      <c r="K14">
        <f t="shared" si="0"/>
        <v>100</v>
      </c>
      <c r="M14">
        <v>192</v>
      </c>
      <c r="N14" s="7">
        <v>69.067961165048544</v>
      </c>
      <c r="O14" s="8">
        <v>295.92233009708735</v>
      </c>
      <c r="P14" s="42">
        <v>1.0488517304218474</v>
      </c>
      <c r="R14">
        <v>14</v>
      </c>
      <c r="S14" s="8">
        <v>115</v>
      </c>
      <c r="T14" s="8">
        <v>2329.2142857142858</v>
      </c>
      <c r="U14" s="42">
        <v>1.012346654426896</v>
      </c>
      <c r="X14" s="2">
        <v>42517</v>
      </c>
      <c r="Y14" s="7">
        <v>69.067961165048544</v>
      </c>
      <c r="Z14" s="7"/>
      <c r="AB14" s="8">
        <v>295.92233009708735</v>
      </c>
      <c r="AC14" s="8"/>
      <c r="AE14" s="42">
        <v>1.0488517304218474</v>
      </c>
      <c r="AF14" s="42"/>
      <c r="AG14" s="42"/>
      <c r="AH14" s="42"/>
    </row>
    <row r="15" spans="1:56" x14ac:dyDescent="0.35">
      <c r="A15" s="2"/>
      <c r="H15" s="8"/>
      <c r="I15" s="8"/>
      <c r="K15">
        <f t="shared" si="0"/>
        <v>0</v>
      </c>
      <c r="N15" s="7"/>
      <c r="O15" s="8"/>
      <c r="P15" s="42"/>
      <c r="U15" s="42"/>
      <c r="X15" s="2"/>
      <c r="Y15" s="7"/>
      <c r="Z15" s="7"/>
      <c r="AB15" s="8"/>
      <c r="AC15" s="8"/>
      <c r="AE15" s="42"/>
      <c r="AF15" s="42"/>
      <c r="AG15" s="42"/>
      <c r="AH15" s="42"/>
    </row>
    <row r="16" spans="1:56" x14ac:dyDescent="0.35">
      <c r="A16" s="2">
        <v>42804</v>
      </c>
      <c r="B16" s="8">
        <v>0</v>
      </c>
      <c r="C16" s="8">
        <v>54</v>
      </c>
      <c r="D16" s="8">
        <v>33.333333333333329</v>
      </c>
      <c r="E16" s="8">
        <v>0</v>
      </c>
      <c r="F16" s="8">
        <v>4.1666666666666661</v>
      </c>
      <c r="G16" s="8">
        <v>8.3333333333333321</v>
      </c>
      <c r="H16" s="8">
        <v>0</v>
      </c>
      <c r="I16" s="8">
        <v>0</v>
      </c>
      <c r="J16" s="8">
        <v>0</v>
      </c>
      <c r="K16" s="8">
        <f t="shared" si="0"/>
        <v>99.833333333333329</v>
      </c>
      <c r="M16">
        <v>24</v>
      </c>
      <c r="N16" s="7">
        <v>73.083333333333329</v>
      </c>
      <c r="O16" s="8">
        <v>334.125</v>
      </c>
      <c r="P16" s="42">
        <v>1.0042524641765505</v>
      </c>
      <c r="R16">
        <v>0</v>
      </c>
      <c r="U16" s="42"/>
      <c r="X16" s="2">
        <v>42804</v>
      </c>
      <c r="Y16" s="7">
        <v>73.083333333333329</v>
      </c>
      <c r="Z16" s="7">
        <v>72.7</v>
      </c>
      <c r="AB16" s="8">
        <v>334.125</v>
      </c>
      <c r="AC16" s="8">
        <v>309.3</v>
      </c>
      <c r="AE16" s="42">
        <v>1.0042524641765505</v>
      </c>
      <c r="AF16" s="42">
        <v>0.94082406028225463</v>
      </c>
      <c r="AG16" s="42"/>
      <c r="AH16" s="42"/>
    </row>
    <row r="17" spans="1:34" x14ac:dyDescent="0.35">
      <c r="A17" s="2">
        <v>42807</v>
      </c>
      <c r="B17">
        <v>0</v>
      </c>
      <c r="C17">
        <v>48</v>
      </c>
      <c r="D17">
        <v>16</v>
      </c>
      <c r="E17">
        <v>4</v>
      </c>
      <c r="F17">
        <v>16</v>
      </c>
      <c r="G17">
        <v>16</v>
      </c>
      <c r="H17" s="8">
        <v>0</v>
      </c>
      <c r="I17" s="8">
        <v>0</v>
      </c>
      <c r="J17">
        <v>0</v>
      </c>
      <c r="K17" s="8">
        <f t="shared" si="0"/>
        <v>100</v>
      </c>
      <c r="M17">
        <v>460</v>
      </c>
      <c r="N17" s="7">
        <v>70.64</v>
      </c>
      <c r="O17" s="8">
        <v>300.66000000000003</v>
      </c>
      <c r="P17" s="42">
        <v>0.98957428494567312</v>
      </c>
      <c r="R17">
        <v>5</v>
      </c>
      <c r="U17" s="42">
        <v>0.92102363699624412</v>
      </c>
      <c r="X17" s="2">
        <v>42807</v>
      </c>
      <c r="Y17" s="7">
        <v>70.64</v>
      </c>
      <c r="Z17" s="7">
        <v>70.265306122448976</v>
      </c>
      <c r="AB17" s="8">
        <v>300.66000000000003</v>
      </c>
      <c r="AC17" s="8">
        <v>287.16326530612247</v>
      </c>
      <c r="AE17" s="42">
        <v>0.98957428494567312</v>
      </c>
      <c r="AF17" s="42">
        <v>0.96800802367231342</v>
      </c>
      <c r="AG17" s="42"/>
      <c r="AH17" s="42"/>
    </row>
    <row r="18" spans="1:34" x14ac:dyDescent="0.35">
      <c r="A18" s="2">
        <v>42811</v>
      </c>
      <c r="B18">
        <v>0</v>
      </c>
      <c r="C18">
        <v>32</v>
      </c>
      <c r="D18">
        <v>22</v>
      </c>
      <c r="E18">
        <v>0</v>
      </c>
      <c r="F18">
        <v>34</v>
      </c>
      <c r="G18">
        <v>10</v>
      </c>
      <c r="H18" s="8">
        <v>2</v>
      </c>
      <c r="I18" s="8">
        <v>0</v>
      </c>
      <c r="J18">
        <v>0</v>
      </c>
      <c r="K18">
        <f t="shared" si="0"/>
        <v>100</v>
      </c>
      <c r="M18">
        <v>1734</v>
      </c>
      <c r="N18" s="7">
        <v>70.3</v>
      </c>
      <c r="O18" s="8">
        <v>297.54000000000002</v>
      </c>
      <c r="P18" s="42">
        <v>1.0012806658856641</v>
      </c>
      <c r="R18">
        <v>19</v>
      </c>
      <c r="S18" s="8">
        <v>119.42105263157895</v>
      </c>
      <c r="T18" s="8">
        <v>2285.5789473684213</v>
      </c>
      <c r="U18" s="42">
        <v>0.98056558465662358</v>
      </c>
      <c r="X18" s="2">
        <v>42811</v>
      </c>
      <c r="Y18" s="7">
        <v>70.3</v>
      </c>
      <c r="Z18" s="7">
        <v>70.293103448275858</v>
      </c>
      <c r="AB18" s="8">
        <v>297.54000000000002</v>
      </c>
      <c r="AC18" s="8">
        <v>291.72413793103448</v>
      </c>
      <c r="AE18" s="42">
        <v>1.0012806658856641</v>
      </c>
      <c r="AF18" s="42">
        <v>0.98309222842031518</v>
      </c>
      <c r="AG18" s="42"/>
      <c r="AH18" s="42"/>
    </row>
    <row r="19" spans="1:34" x14ac:dyDescent="0.35">
      <c r="A19" s="2">
        <v>42814</v>
      </c>
      <c r="B19" s="8">
        <v>0</v>
      </c>
      <c r="C19" s="8">
        <v>24.074074074074073</v>
      </c>
      <c r="D19" s="8">
        <v>20.37037037037037</v>
      </c>
      <c r="E19" s="8">
        <v>3.7037037037037033</v>
      </c>
      <c r="F19" s="8">
        <v>25.925925925925924</v>
      </c>
      <c r="G19" s="8">
        <v>25.925925925925924</v>
      </c>
      <c r="H19" s="8">
        <v>0</v>
      </c>
      <c r="I19" s="8">
        <v>0</v>
      </c>
      <c r="J19" s="8">
        <v>0</v>
      </c>
      <c r="K19">
        <f t="shared" si="0"/>
        <v>100</v>
      </c>
      <c r="M19">
        <v>3906</v>
      </c>
      <c r="N19" s="7">
        <v>70.263157894736835</v>
      </c>
      <c r="O19" s="8">
        <v>298.21052631578948</v>
      </c>
      <c r="P19" s="42">
        <v>0.99947106157963983</v>
      </c>
      <c r="R19">
        <v>22</v>
      </c>
      <c r="S19" s="8">
        <v>113.04545454545455</v>
      </c>
      <c r="T19" s="8">
        <v>1804.090909090909</v>
      </c>
      <c r="U19" s="42">
        <v>0.87815759546657912</v>
      </c>
      <c r="X19" s="2">
        <v>42814</v>
      </c>
      <c r="Y19" s="7">
        <v>70.263157894736835</v>
      </c>
      <c r="Z19" s="7">
        <v>70.75</v>
      </c>
      <c r="AB19" s="8">
        <v>298.21052631578948</v>
      </c>
      <c r="AC19" s="8">
        <v>317.63461538461536</v>
      </c>
      <c r="AE19" s="42">
        <v>0.99947106157963983</v>
      </c>
      <c r="AF19" s="42">
        <v>1.0550808359651354</v>
      </c>
      <c r="AG19" s="42"/>
      <c r="AH19" s="42"/>
    </row>
    <row r="20" spans="1:34" x14ac:dyDescent="0.35">
      <c r="A20" s="2">
        <v>42818</v>
      </c>
      <c r="B20">
        <v>0</v>
      </c>
      <c r="C20">
        <v>16</v>
      </c>
      <c r="D20">
        <v>6</v>
      </c>
      <c r="E20">
        <v>14.000000000000002</v>
      </c>
      <c r="F20">
        <v>46</v>
      </c>
      <c r="G20">
        <v>18</v>
      </c>
      <c r="H20" s="8">
        <v>0</v>
      </c>
      <c r="I20" s="8">
        <v>0</v>
      </c>
      <c r="J20" s="8">
        <v>0</v>
      </c>
      <c r="K20">
        <f t="shared" si="0"/>
        <v>100</v>
      </c>
      <c r="M20">
        <v>4841</v>
      </c>
      <c r="N20" s="7">
        <v>69.58</v>
      </c>
      <c r="O20" s="8">
        <v>276.12</v>
      </c>
      <c r="P20" s="42">
        <v>0.95583796842681723</v>
      </c>
      <c r="R20">
        <v>7</v>
      </c>
      <c r="U20" s="42">
        <v>0.92417625355448096</v>
      </c>
      <c r="X20" s="2">
        <v>42818</v>
      </c>
      <c r="Y20" s="7">
        <v>69.58</v>
      </c>
      <c r="Z20" s="7">
        <v>69.3</v>
      </c>
      <c r="AB20" s="8">
        <v>276.12</v>
      </c>
      <c r="AC20" s="8">
        <v>264.26</v>
      </c>
      <c r="AE20" s="42">
        <v>0.95583796842681723</v>
      </c>
      <c r="AF20" s="42">
        <v>0.92618894495561177</v>
      </c>
      <c r="AG20" s="42"/>
      <c r="AH20" s="42"/>
    </row>
    <row r="21" spans="1:34" x14ac:dyDescent="0.35">
      <c r="A21" s="13">
        <v>42821</v>
      </c>
      <c r="B21">
        <v>0</v>
      </c>
      <c r="C21">
        <v>2</v>
      </c>
      <c r="D21">
        <v>6</v>
      </c>
      <c r="E21">
        <v>4</v>
      </c>
      <c r="F21">
        <v>56.000000000000007</v>
      </c>
      <c r="G21">
        <v>32</v>
      </c>
      <c r="H21" s="8">
        <v>0</v>
      </c>
      <c r="I21" s="8">
        <v>0</v>
      </c>
      <c r="J21" s="8">
        <v>0</v>
      </c>
      <c r="K21">
        <f t="shared" si="0"/>
        <v>100</v>
      </c>
      <c r="M21">
        <v>4786</v>
      </c>
      <c r="N21" s="7">
        <v>68.72</v>
      </c>
      <c r="O21" s="8">
        <v>272.58</v>
      </c>
      <c r="P21" s="42">
        <v>0.97846480838085004</v>
      </c>
      <c r="R21">
        <v>1</v>
      </c>
      <c r="U21" s="42"/>
      <c r="X21" s="13">
        <v>42821</v>
      </c>
      <c r="Y21" s="7">
        <v>68.72</v>
      </c>
      <c r="Z21" s="7">
        <v>69.72</v>
      </c>
      <c r="AB21" s="8">
        <v>272.58</v>
      </c>
      <c r="AC21" s="8">
        <v>286.60000000000002</v>
      </c>
      <c r="AE21" s="42">
        <v>0.97846480838085004</v>
      </c>
      <c r="AF21" s="42">
        <v>0.98829006922878071</v>
      </c>
      <c r="AG21" s="42"/>
      <c r="AH21" s="42"/>
    </row>
    <row r="22" spans="1:34" x14ac:dyDescent="0.35">
      <c r="A22" s="2">
        <v>42825</v>
      </c>
      <c r="B22">
        <v>0</v>
      </c>
      <c r="C22">
        <v>6</v>
      </c>
      <c r="D22">
        <v>2</v>
      </c>
      <c r="E22">
        <v>0</v>
      </c>
      <c r="F22">
        <v>24</v>
      </c>
      <c r="G22">
        <v>57.999999999999993</v>
      </c>
      <c r="H22" s="8">
        <v>10</v>
      </c>
      <c r="I22" s="8">
        <v>0</v>
      </c>
      <c r="J22" s="8">
        <v>0</v>
      </c>
      <c r="K22">
        <f t="shared" si="0"/>
        <v>100</v>
      </c>
      <c r="M22" s="8">
        <v>16021</v>
      </c>
      <c r="N22" s="7">
        <v>69.680000000000007</v>
      </c>
      <c r="O22" s="8">
        <v>302.94</v>
      </c>
      <c r="P22" s="42">
        <v>1.0494685210720998</v>
      </c>
      <c r="R22">
        <v>9</v>
      </c>
      <c r="S22" s="8">
        <v>140.88888888888889</v>
      </c>
      <c r="T22" s="8">
        <v>4296.1111111111113</v>
      </c>
      <c r="U22" s="42">
        <v>0.91813304908905535</v>
      </c>
      <c r="X22" s="2">
        <v>42825</v>
      </c>
      <c r="Y22" s="7">
        <v>69.680000000000007</v>
      </c>
      <c r="Z22" s="7">
        <v>68.42</v>
      </c>
      <c r="AB22" s="8">
        <v>302.94</v>
      </c>
      <c r="AC22" s="8">
        <v>279.38</v>
      </c>
      <c r="AE22" s="42">
        <v>1.0494685210720998</v>
      </c>
      <c r="AF22" s="42">
        <v>1.0159748895764338</v>
      </c>
      <c r="AG22" s="42"/>
      <c r="AH22" s="42"/>
    </row>
    <row r="23" spans="1:34" x14ac:dyDescent="0.35">
      <c r="A23" s="2">
        <v>42828</v>
      </c>
      <c r="B23">
        <v>0</v>
      </c>
      <c r="C23">
        <v>0</v>
      </c>
      <c r="D23">
        <v>2</v>
      </c>
      <c r="E23">
        <v>2</v>
      </c>
      <c r="F23">
        <v>8</v>
      </c>
      <c r="G23">
        <v>57.999999999999993</v>
      </c>
      <c r="H23" s="8">
        <v>30</v>
      </c>
      <c r="I23" s="8">
        <v>0</v>
      </c>
      <c r="J23" s="8">
        <v>0</v>
      </c>
      <c r="K23">
        <f t="shared" si="0"/>
        <v>100</v>
      </c>
      <c r="M23" s="8">
        <v>2141</v>
      </c>
      <c r="N23" s="7">
        <v>68.58</v>
      </c>
      <c r="O23" s="8">
        <v>258.02</v>
      </c>
      <c r="P23" s="42">
        <v>0.9282752790421297</v>
      </c>
      <c r="R23">
        <v>3</v>
      </c>
      <c r="U23" s="42">
        <v>0.87614919942480396</v>
      </c>
      <c r="X23" s="2">
        <v>42828</v>
      </c>
      <c r="Y23" s="7">
        <v>68.58</v>
      </c>
      <c r="Z23" s="7">
        <v>70.588235294117652</v>
      </c>
      <c r="AB23" s="8">
        <v>258.02</v>
      </c>
      <c r="AC23" s="8">
        <v>307.35294117647061</v>
      </c>
      <c r="AE23" s="42">
        <v>0.9282752790421297</v>
      </c>
      <c r="AF23" s="42">
        <v>1.0234507391914247</v>
      </c>
      <c r="AG23" s="42"/>
      <c r="AH23" s="42"/>
    </row>
    <row r="24" spans="1:34" x14ac:dyDescent="0.35">
      <c r="A24" s="2">
        <v>42832</v>
      </c>
      <c r="B24">
        <v>0</v>
      </c>
      <c r="C24">
        <v>0</v>
      </c>
      <c r="D24">
        <v>2</v>
      </c>
      <c r="E24">
        <v>0</v>
      </c>
      <c r="F24">
        <v>12</v>
      </c>
      <c r="G24">
        <v>62</v>
      </c>
      <c r="H24" s="8">
        <v>24</v>
      </c>
      <c r="I24" s="8">
        <v>0</v>
      </c>
      <c r="J24" s="8">
        <v>0</v>
      </c>
      <c r="K24">
        <f t="shared" si="0"/>
        <v>100</v>
      </c>
      <c r="M24" s="8">
        <v>2143</v>
      </c>
      <c r="N24" s="7">
        <v>69.66</v>
      </c>
      <c r="O24" s="8">
        <v>291.36</v>
      </c>
      <c r="P24" s="42">
        <v>1.0028242980957749</v>
      </c>
      <c r="R24">
        <v>12</v>
      </c>
      <c r="S24" s="8">
        <v>121.91666666666667</v>
      </c>
      <c r="T24" s="8">
        <v>2445.5</v>
      </c>
      <c r="U24" s="42">
        <v>0.91589354309156856</v>
      </c>
      <c r="X24" s="2">
        <v>42832</v>
      </c>
      <c r="Y24" s="7">
        <v>69.66</v>
      </c>
      <c r="Z24" s="7">
        <v>68.764705882352942</v>
      </c>
      <c r="AB24" s="8">
        <v>291.36</v>
      </c>
      <c r="AC24" s="8">
        <v>281.8235294117647</v>
      </c>
      <c r="AE24" s="42">
        <v>1.0028242980957749</v>
      </c>
      <c r="AF24" s="42">
        <v>1.012952532891424</v>
      </c>
      <c r="AG24" s="42"/>
      <c r="AH24" s="42"/>
    </row>
    <row r="25" spans="1:34" x14ac:dyDescent="0.35">
      <c r="A25" s="2">
        <v>42839</v>
      </c>
      <c r="B25">
        <v>0</v>
      </c>
      <c r="C25">
        <v>0</v>
      </c>
      <c r="D25">
        <v>0</v>
      </c>
      <c r="E25">
        <v>0</v>
      </c>
      <c r="F25">
        <v>0</v>
      </c>
      <c r="G25">
        <v>26</v>
      </c>
      <c r="H25" s="8">
        <v>70</v>
      </c>
      <c r="I25" s="8">
        <v>4</v>
      </c>
      <c r="J25" s="8">
        <v>0</v>
      </c>
      <c r="K25">
        <f t="shared" si="0"/>
        <v>100</v>
      </c>
      <c r="M25" s="8">
        <v>1501</v>
      </c>
      <c r="N25" s="7">
        <v>69.06</v>
      </c>
      <c r="O25" s="8">
        <v>285.16000000000003</v>
      </c>
      <c r="P25" s="42">
        <v>1.008606558837067</v>
      </c>
      <c r="R25">
        <v>7</v>
      </c>
      <c r="S25" s="8">
        <v>113.14285714285714</v>
      </c>
      <c r="T25" s="8">
        <v>1692.7142857142858</v>
      </c>
      <c r="U25" s="42">
        <v>0.90070412454355986</v>
      </c>
      <c r="X25" s="2">
        <v>42839</v>
      </c>
      <c r="Y25" s="7">
        <v>69.06</v>
      </c>
      <c r="Z25" s="7">
        <v>69.36</v>
      </c>
      <c r="AB25" s="8">
        <v>285.16000000000003</v>
      </c>
      <c r="AC25" s="8">
        <v>289.89999999999998</v>
      </c>
      <c r="AE25" s="42">
        <v>1.008606558837067</v>
      </c>
      <c r="AF25" s="42">
        <v>1.0152613708967622</v>
      </c>
      <c r="AG25" s="42"/>
      <c r="AH25" s="42"/>
    </row>
    <row r="26" spans="1:34" x14ac:dyDescent="0.35">
      <c r="A26" s="2">
        <v>42846</v>
      </c>
      <c r="B26" s="8">
        <v>0</v>
      </c>
      <c r="C26" s="8">
        <v>0</v>
      </c>
      <c r="D26" s="8">
        <v>0</v>
      </c>
      <c r="E26" s="8">
        <v>0</v>
      </c>
      <c r="F26" s="8">
        <v>1.8867924528301887</v>
      </c>
      <c r="G26" s="8">
        <v>7.5471698113207548</v>
      </c>
      <c r="H26" s="8">
        <v>81.132075471698116</v>
      </c>
      <c r="I26" s="8">
        <v>9.433962264150944</v>
      </c>
      <c r="J26" s="8">
        <v>0</v>
      </c>
      <c r="K26">
        <f t="shared" si="0"/>
        <v>100.00000000000001</v>
      </c>
      <c r="M26" s="8">
        <v>808</v>
      </c>
      <c r="N26" s="7">
        <v>68.415094339622641</v>
      </c>
      <c r="O26" s="8">
        <v>258.16981132075472</v>
      </c>
      <c r="P26" s="42">
        <v>0.93979366320943314</v>
      </c>
      <c r="R26">
        <v>6</v>
      </c>
      <c r="S26" s="8">
        <v>115.33333333333333</v>
      </c>
      <c r="T26" s="8">
        <v>2116.5</v>
      </c>
      <c r="U26" s="42">
        <v>1.0164220752498925</v>
      </c>
      <c r="X26" s="2">
        <v>42846</v>
      </c>
      <c r="Y26" s="7">
        <v>68.400000000000006</v>
      </c>
      <c r="Z26" s="7">
        <v>68.3</v>
      </c>
      <c r="AB26" s="8">
        <v>258</v>
      </c>
      <c r="AC26" s="8">
        <v>246</v>
      </c>
      <c r="AE26" s="42">
        <v>0.93979366320943314</v>
      </c>
      <c r="AF26" s="42">
        <v>0.90301153876265272</v>
      </c>
      <c r="AG26" s="42"/>
      <c r="AH26" s="42"/>
    </row>
    <row r="27" spans="1:34" x14ac:dyDescent="0.35">
      <c r="A27" s="2">
        <v>42853</v>
      </c>
      <c r="B27">
        <v>0</v>
      </c>
      <c r="C27">
        <v>0</v>
      </c>
      <c r="D27">
        <v>0</v>
      </c>
      <c r="E27">
        <v>0</v>
      </c>
      <c r="F27">
        <v>0</v>
      </c>
      <c r="G27" s="8">
        <v>2.0408163265306123</v>
      </c>
      <c r="H27" s="8">
        <v>36.734693877551024</v>
      </c>
      <c r="I27" s="8">
        <v>57.142857142857139</v>
      </c>
      <c r="J27" s="8">
        <v>4.0816326530612246</v>
      </c>
      <c r="K27">
        <f t="shared" si="0"/>
        <v>99.999999999999986</v>
      </c>
      <c r="M27" s="8">
        <v>1472</v>
      </c>
      <c r="N27" s="7">
        <v>67.34693877551021</v>
      </c>
      <c r="O27" s="8">
        <v>280.44897959183675</v>
      </c>
      <c r="P27" s="42">
        <v>1.0724314250555242</v>
      </c>
      <c r="R27">
        <v>11</v>
      </c>
      <c r="S27" s="8">
        <v>138.09090909090909</v>
      </c>
      <c r="T27" s="8">
        <v>4036.7272727272725</v>
      </c>
      <c r="U27" s="42">
        <v>1.0520730055271381</v>
      </c>
      <c r="X27" s="2">
        <v>42853</v>
      </c>
      <c r="Y27" s="7">
        <v>67.34693877551021</v>
      </c>
      <c r="Z27" s="7">
        <v>68.260000000000005</v>
      </c>
      <c r="AB27" s="8">
        <v>280.44897959183675</v>
      </c>
      <c r="AC27" s="8">
        <v>300.06</v>
      </c>
      <c r="AE27" s="42">
        <v>1.0724314250555242</v>
      </c>
      <c r="AF27" s="42">
        <v>1.1039014490489489</v>
      </c>
      <c r="AG27" s="42"/>
      <c r="AH27" s="42"/>
    </row>
    <row r="28" spans="1:34" x14ac:dyDescent="0.35">
      <c r="A28" s="2">
        <v>42860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 s="8">
        <v>24</v>
      </c>
      <c r="I28" s="8">
        <v>40</v>
      </c>
      <c r="J28">
        <v>34</v>
      </c>
      <c r="K28">
        <f t="shared" si="0"/>
        <v>100</v>
      </c>
      <c r="M28" s="8">
        <v>64</v>
      </c>
      <c r="N28" s="7">
        <v>69.459999999999994</v>
      </c>
      <c r="O28" s="8">
        <v>291.56</v>
      </c>
      <c r="P28" s="42">
        <v>1.0117893683664745</v>
      </c>
      <c r="R28">
        <v>7</v>
      </c>
      <c r="S28" s="8">
        <v>128.71428571428572</v>
      </c>
      <c r="T28" s="8">
        <v>3024.1428571428573</v>
      </c>
      <c r="U28" s="42">
        <v>0.91544627643423748</v>
      </c>
      <c r="X28" s="2">
        <v>42860</v>
      </c>
      <c r="Y28" s="7">
        <v>69.459999999999994</v>
      </c>
      <c r="Z28" s="7">
        <v>68.862745098039213</v>
      </c>
      <c r="AB28" s="8">
        <v>291.56</v>
      </c>
      <c r="AC28" s="8">
        <v>290.41176470588238</v>
      </c>
      <c r="AE28" s="42">
        <v>1.0117893683664745</v>
      </c>
      <c r="AF28" s="42">
        <v>1.0382379464082179</v>
      </c>
      <c r="AG28" s="42"/>
      <c r="AH28" s="42"/>
    </row>
    <row r="29" spans="1:34" x14ac:dyDescent="0.35">
      <c r="A29" s="2">
        <v>42867</v>
      </c>
      <c r="B29">
        <v>0</v>
      </c>
      <c r="C29">
        <v>0</v>
      </c>
      <c r="D29">
        <v>0</v>
      </c>
      <c r="E29">
        <v>0</v>
      </c>
      <c r="F29">
        <v>0</v>
      </c>
      <c r="G29" s="8">
        <v>2.7777777777777777</v>
      </c>
      <c r="H29" s="8">
        <v>13.888888888888889</v>
      </c>
      <c r="I29" s="8">
        <v>41.666666666666671</v>
      </c>
      <c r="J29" s="8">
        <v>41.666666666666671</v>
      </c>
      <c r="K29">
        <f t="shared" si="0"/>
        <v>100.00000000000001</v>
      </c>
      <c r="M29" s="8">
        <v>36</v>
      </c>
      <c r="N29" s="7">
        <v>68.583333333333329</v>
      </c>
      <c r="O29" s="8">
        <v>288.72222222222223</v>
      </c>
      <c r="P29" s="42">
        <v>1.0450821299077533</v>
      </c>
      <c r="R29">
        <v>5</v>
      </c>
      <c r="S29" s="8"/>
      <c r="T29" s="8"/>
      <c r="U29" s="42">
        <v>1.1245961862400478</v>
      </c>
      <c r="X29" s="2">
        <v>42867</v>
      </c>
      <c r="Y29" s="7">
        <v>68.583333333333329</v>
      </c>
      <c r="Z29" s="7">
        <v>69.16</v>
      </c>
      <c r="AB29" s="8">
        <v>288.72222222222223</v>
      </c>
      <c r="AC29" s="8">
        <v>316.83999999999997</v>
      </c>
      <c r="AE29" s="42">
        <v>1.0450821299077533</v>
      </c>
      <c r="AF29" s="42">
        <v>1.1190624470327686</v>
      </c>
      <c r="AG29" s="42"/>
      <c r="AH29" s="42"/>
    </row>
    <row r="30" spans="1:34" x14ac:dyDescent="0.35">
      <c r="A30" s="2">
        <v>42874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11.76470588235294</v>
      </c>
      <c r="I30" s="8">
        <v>41.17647058823529</v>
      </c>
      <c r="J30" s="8">
        <v>47.058823529411761</v>
      </c>
      <c r="K30">
        <f t="shared" si="0"/>
        <v>100</v>
      </c>
      <c r="M30" s="8">
        <v>127</v>
      </c>
      <c r="N30" s="7">
        <v>68.019607843137251</v>
      </c>
      <c r="O30" s="8">
        <v>269.0980392156863</v>
      </c>
      <c r="P30" s="42">
        <v>1.0011101985793149</v>
      </c>
      <c r="R30">
        <v>10</v>
      </c>
      <c r="S30" s="8">
        <v>130.19999999999999</v>
      </c>
      <c r="T30" s="8">
        <v>3503</v>
      </c>
      <c r="U30" s="42">
        <v>1.0113163617502623</v>
      </c>
      <c r="X30" s="2">
        <v>42874</v>
      </c>
      <c r="Y30" s="7">
        <v>68.019607843137251</v>
      </c>
      <c r="Z30" s="7">
        <v>68.599999999999994</v>
      </c>
      <c r="AB30" s="8">
        <v>269.0980392156863</v>
      </c>
      <c r="AC30" s="8">
        <v>289.72000000000003</v>
      </c>
      <c r="AE30" s="42">
        <v>1.0011101985793149</v>
      </c>
      <c r="AF30" s="42">
        <v>1.0441523294974744</v>
      </c>
      <c r="AG30" s="42"/>
      <c r="AH30" s="42"/>
    </row>
    <row r="31" spans="1:34" x14ac:dyDescent="0.35">
      <c r="A31" s="2">
        <v>42879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2.2222222222222223</v>
      </c>
      <c r="I31" s="8">
        <v>31.111111111111111</v>
      </c>
      <c r="J31" s="8">
        <v>66.666666666666657</v>
      </c>
      <c r="K31">
        <f t="shared" si="0"/>
        <v>100</v>
      </c>
      <c r="M31" s="8">
        <v>45</v>
      </c>
      <c r="N31" s="7">
        <v>68.488888888888894</v>
      </c>
      <c r="O31" s="8">
        <v>253.82222222222222</v>
      </c>
      <c r="P31" s="42">
        <v>0.91947024458817006</v>
      </c>
      <c r="R31">
        <v>3</v>
      </c>
      <c r="U31" s="42">
        <v>0.84621095243251909</v>
      </c>
      <c r="X31" s="2">
        <v>42879</v>
      </c>
      <c r="Y31" s="7">
        <v>68.488888888888894</v>
      </c>
      <c r="Z31" s="7">
        <v>67.906976744186053</v>
      </c>
      <c r="AB31" s="8">
        <v>253.82222222222222</v>
      </c>
      <c r="AC31" s="8">
        <v>239.2093023255814</v>
      </c>
      <c r="AE31" s="42">
        <v>0.91947024458817006</v>
      </c>
      <c r="AF31" s="42">
        <v>0.89488436375050684</v>
      </c>
      <c r="AG31" s="42"/>
      <c r="AH31" s="42"/>
    </row>
    <row r="32" spans="1:34" x14ac:dyDescent="0.35">
      <c r="A32" s="2"/>
      <c r="B32" s="8"/>
      <c r="C32" s="8"/>
      <c r="D32" s="8"/>
      <c r="E32" s="8"/>
      <c r="F32" s="8"/>
      <c r="G32" s="8"/>
      <c r="H32" s="8"/>
      <c r="I32" s="8"/>
      <c r="J32" s="8"/>
      <c r="M32" s="8"/>
      <c r="N32" s="7"/>
      <c r="O32" s="8"/>
      <c r="P32" s="42"/>
      <c r="U32" s="42"/>
      <c r="X32" s="2"/>
      <c r="Y32" s="7"/>
      <c r="Z32" s="7"/>
      <c r="AB32" s="8"/>
      <c r="AC32" s="8"/>
      <c r="AE32" s="42"/>
      <c r="AF32" s="42"/>
      <c r="AG32" s="42"/>
      <c r="AH32" s="42"/>
    </row>
    <row r="33" spans="1:34" x14ac:dyDescent="0.35">
      <c r="A33" s="2">
        <v>43171</v>
      </c>
      <c r="B33" s="8"/>
      <c r="C33" s="8"/>
      <c r="D33" s="8"/>
      <c r="E33" s="8"/>
      <c r="F33" s="8"/>
      <c r="G33" s="8"/>
      <c r="H33" s="8"/>
      <c r="I33" s="8"/>
      <c r="J33" s="8"/>
      <c r="M33" s="8">
        <v>0</v>
      </c>
      <c r="N33" s="7"/>
      <c r="O33" s="8"/>
      <c r="P33" s="42"/>
      <c r="U33" s="42"/>
      <c r="X33" s="2"/>
      <c r="Y33" s="7"/>
      <c r="Z33" s="7"/>
      <c r="AB33" s="8"/>
      <c r="AC33" s="8"/>
      <c r="AE33" s="42"/>
      <c r="AF33" s="42"/>
      <c r="AG33" s="42"/>
      <c r="AH33" s="42"/>
    </row>
    <row r="34" spans="1:34" x14ac:dyDescent="0.35">
      <c r="A34" s="2">
        <v>43178</v>
      </c>
      <c r="B34" s="8"/>
      <c r="C34" s="8"/>
      <c r="D34" s="8"/>
      <c r="E34" s="8"/>
      <c r="F34" s="8"/>
      <c r="G34" s="8"/>
      <c r="H34" s="8"/>
      <c r="I34" s="8"/>
      <c r="J34" s="8"/>
      <c r="M34" s="8">
        <v>0</v>
      </c>
      <c r="N34" s="7"/>
      <c r="O34" s="8"/>
      <c r="P34" s="42"/>
      <c r="U34" s="42"/>
      <c r="X34" s="2">
        <v>43178</v>
      </c>
      <c r="Y34" s="7"/>
      <c r="Z34" s="7"/>
      <c r="AB34" s="8"/>
      <c r="AC34" s="8"/>
      <c r="AE34" s="42"/>
      <c r="AF34" s="42"/>
      <c r="AG34" s="42"/>
      <c r="AH34" s="42"/>
    </row>
    <row r="35" spans="1:34" x14ac:dyDescent="0.35">
      <c r="A35" s="2">
        <v>43188</v>
      </c>
      <c r="B35" s="8">
        <v>0</v>
      </c>
      <c r="C35" s="8">
        <v>18.461538461538463</v>
      </c>
      <c r="D35" s="8">
        <v>13.846153846153847</v>
      </c>
      <c r="E35" s="8">
        <v>7.6923076923076925</v>
      </c>
      <c r="F35" s="8">
        <v>47.692307692307693</v>
      </c>
      <c r="G35" s="8">
        <v>12.307692307692308</v>
      </c>
      <c r="H35" s="8">
        <v>0</v>
      </c>
      <c r="I35" s="8">
        <v>0</v>
      </c>
      <c r="J35" s="8">
        <v>0</v>
      </c>
      <c r="K35">
        <f t="shared" si="0"/>
        <v>100</v>
      </c>
      <c r="M35" s="8">
        <v>252</v>
      </c>
      <c r="N35" s="7">
        <v>72.184615384615384</v>
      </c>
      <c r="O35" s="8">
        <v>313.93846153846152</v>
      </c>
      <c r="P35" s="42">
        <v>0.93917398721993928</v>
      </c>
      <c r="R35">
        <v>4</v>
      </c>
      <c r="U35" s="42"/>
      <c r="X35" s="2">
        <v>43188</v>
      </c>
      <c r="Y35" s="7">
        <v>72.184615384615384</v>
      </c>
      <c r="Z35" s="7">
        <v>73.648148148148152</v>
      </c>
      <c r="AB35" s="8">
        <v>313.93846153846152</v>
      </c>
      <c r="AC35" s="8">
        <v>349.98148148148147</v>
      </c>
      <c r="AE35" s="42">
        <v>0.93917398721993928</v>
      </c>
      <c r="AF35" s="42">
        <v>1.0255807539072477</v>
      </c>
      <c r="AG35" s="42"/>
      <c r="AH35" s="42"/>
    </row>
    <row r="36" spans="1:34" x14ac:dyDescent="0.35">
      <c r="A36" s="2">
        <v>43193</v>
      </c>
      <c r="B36" s="8">
        <v>0</v>
      </c>
      <c r="C36" s="8">
        <v>1.834862385321101</v>
      </c>
      <c r="D36" s="8">
        <v>15.596330275229359</v>
      </c>
      <c r="E36" s="8">
        <v>3.669724770642202</v>
      </c>
      <c r="F36" s="8">
        <v>47.706422018348626</v>
      </c>
      <c r="G36" s="8">
        <v>25.688073394495415</v>
      </c>
      <c r="H36" s="8">
        <v>5.5045871559633035</v>
      </c>
      <c r="I36" s="8">
        <v>0</v>
      </c>
      <c r="J36" s="8">
        <v>0</v>
      </c>
      <c r="K36">
        <f t="shared" si="0"/>
        <v>100.00000000000001</v>
      </c>
      <c r="M36" s="8">
        <v>147</v>
      </c>
      <c r="N36" s="7">
        <v>70.697247706422019</v>
      </c>
      <c r="O36" s="8">
        <v>296.08333333333331</v>
      </c>
      <c r="P36" s="42">
        <v>0.9770809060891793</v>
      </c>
      <c r="U36" s="42"/>
      <c r="X36" s="2">
        <v>43193</v>
      </c>
      <c r="Y36" s="7">
        <v>70.697247706422019</v>
      </c>
      <c r="Z36" s="7">
        <v>71.353658536585371</v>
      </c>
      <c r="AB36" s="8">
        <v>296.08333333333331</v>
      </c>
      <c r="AC36" s="8">
        <v>294.97560975609758</v>
      </c>
      <c r="AE36" s="42">
        <v>0.9770809060891793</v>
      </c>
      <c r="AF36" s="42">
        <v>0.94603323020618901</v>
      </c>
      <c r="AG36" s="42"/>
      <c r="AH36" s="42"/>
    </row>
    <row r="37" spans="1:34" x14ac:dyDescent="0.35">
      <c r="A37" s="2">
        <v>43196</v>
      </c>
      <c r="B37" s="8">
        <v>0</v>
      </c>
      <c r="C37" s="8">
        <v>0</v>
      </c>
      <c r="D37" s="8">
        <v>12.244897959183673</v>
      </c>
      <c r="E37" s="8">
        <v>4.0816326530612246</v>
      </c>
      <c r="F37" s="8">
        <v>57.142857142857139</v>
      </c>
      <c r="G37" s="8">
        <v>24.489795918367346</v>
      </c>
      <c r="H37" s="8">
        <v>2.0408163265306123</v>
      </c>
      <c r="I37" s="8">
        <v>0</v>
      </c>
      <c r="J37" s="8">
        <v>0</v>
      </c>
      <c r="K37">
        <f t="shared" si="0"/>
        <v>100</v>
      </c>
      <c r="M37" s="8">
        <v>49</v>
      </c>
      <c r="N37" s="7">
        <v>72.367346938775512</v>
      </c>
      <c r="O37" s="8">
        <v>340.9591836734694</v>
      </c>
      <c r="P37" s="42">
        <v>1.050638541974225</v>
      </c>
      <c r="U37" s="42"/>
      <c r="X37" s="2">
        <v>43196</v>
      </c>
      <c r="Y37" s="7">
        <v>72.367346938775512</v>
      </c>
      <c r="Z37" s="7">
        <v>72</v>
      </c>
      <c r="AB37" s="8">
        <v>340.9591836734694</v>
      </c>
      <c r="AC37" s="8">
        <v>333</v>
      </c>
      <c r="AE37" s="42">
        <v>1.050638541974225</v>
      </c>
      <c r="AF37" s="42">
        <v>1.0434293943459478</v>
      </c>
      <c r="AG37" s="42"/>
      <c r="AH37" s="42"/>
    </row>
    <row r="38" spans="1:34" x14ac:dyDescent="0.35">
      <c r="A38" s="2">
        <v>43199</v>
      </c>
      <c r="B38" s="8">
        <v>0</v>
      </c>
      <c r="C38" s="8">
        <v>0</v>
      </c>
      <c r="D38" s="8">
        <v>6</v>
      </c>
      <c r="E38" s="8">
        <v>4</v>
      </c>
      <c r="F38" s="8">
        <v>36</v>
      </c>
      <c r="G38" s="8">
        <v>36</v>
      </c>
      <c r="H38" s="8">
        <v>18</v>
      </c>
      <c r="I38" s="8">
        <v>0</v>
      </c>
      <c r="J38" s="8">
        <v>0</v>
      </c>
      <c r="K38">
        <f t="shared" si="0"/>
        <v>100</v>
      </c>
      <c r="M38" s="8">
        <v>64</v>
      </c>
      <c r="N38" s="7">
        <v>70.94</v>
      </c>
      <c r="O38" s="8">
        <v>298.83999999999997</v>
      </c>
      <c r="P38" s="42">
        <v>0.98192210838656424</v>
      </c>
      <c r="U38" s="42"/>
      <c r="X38" s="2">
        <v>43199</v>
      </c>
      <c r="Y38" s="7">
        <v>70.94</v>
      </c>
      <c r="Z38" s="7">
        <v>69.352941176470594</v>
      </c>
      <c r="AB38" s="8">
        <v>298.83999999999997</v>
      </c>
      <c r="AC38" s="8">
        <v>282.72549019607845</v>
      </c>
      <c r="AE38" s="42">
        <v>0.98192210838656424</v>
      </c>
      <c r="AF38" s="42">
        <v>0.99187189789694108</v>
      </c>
      <c r="AG38" s="42"/>
      <c r="AH38" s="42"/>
    </row>
    <row r="39" spans="1:34" x14ac:dyDescent="0.35">
      <c r="A39" s="2">
        <v>43200</v>
      </c>
      <c r="B39" s="8">
        <v>0</v>
      </c>
      <c r="C39" s="8">
        <v>2</v>
      </c>
      <c r="D39" s="8">
        <v>4</v>
      </c>
      <c r="E39" s="8">
        <v>10</v>
      </c>
      <c r="F39" s="8">
        <v>44</v>
      </c>
      <c r="G39" s="8">
        <v>32</v>
      </c>
      <c r="H39" s="8">
        <v>8</v>
      </c>
      <c r="I39" s="8">
        <v>0</v>
      </c>
      <c r="J39" s="8">
        <v>0</v>
      </c>
      <c r="K39">
        <f t="shared" si="0"/>
        <v>100</v>
      </c>
      <c r="M39" s="8">
        <v>146</v>
      </c>
      <c r="N39" s="7">
        <v>70.540000000000006</v>
      </c>
      <c r="O39" s="8">
        <v>281.45999999999998</v>
      </c>
      <c r="P39" s="42">
        <v>0.93467734782487344</v>
      </c>
      <c r="U39" s="42"/>
      <c r="X39" s="2">
        <v>43200</v>
      </c>
      <c r="Y39" s="7">
        <v>70.540000000000006</v>
      </c>
      <c r="Z39" s="7">
        <v>70.98</v>
      </c>
      <c r="AB39" s="8">
        <v>281.45999999999998</v>
      </c>
      <c r="AC39" s="8">
        <v>292.3</v>
      </c>
      <c r="AE39" s="42">
        <v>0.93467734782487344</v>
      </c>
      <c r="AF39" s="42">
        <v>0.95403879815097781</v>
      </c>
      <c r="AG39" s="42"/>
      <c r="AH39" s="42"/>
    </row>
    <row r="40" spans="1:34" x14ac:dyDescent="0.35">
      <c r="A40" s="2">
        <v>43201</v>
      </c>
      <c r="B40" s="8"/>
      <c r="C40" s="8"/>
      <c r="D40" s="8"/>
      <c r="E40" s="8"/>
      <c r="F40" s="8"/>
      <c r="G40" s="8"/>
      <c r="H40" s="8"/>
      <c r="I40" s="8"/>
      <c r="J40" s="8"/>
      <c r="M40" s="8">
        <v>318</v>
      </c>
      <c r="N40" s="7"/>
      <c r="O40" s="8"/>
      <c r="U40" s="42"/>
      <c r="X40" s="2">
        <v>43206</v>
      </c>
      <c r="Y40" s="7">
        <v>69.599999999999994</v>
      </c>
      <c r="Z40" s="7">
        <v>69.52</v>
      </c>
      <c r="AB40" s="8">
        <v>269.92</v>
      </c>
      <c r="AC40" s="8">
        <v>286.3</v>
      </c>
      <c r="AE40" s="42">
        <v>0.93307968044175449</v>
      </c>
      <c r="AF40" s="42">
        <v>0.99870307001924574</v>
      </c>
      <c r="AG40" s="42"/>
      <c r="AH40" s="42"/>
    </row>
    <row r="41" spans="1:34" x14ac:dyDescent="0.35">
      <c r="A41" s="2">
        <v>43203</v>
      </c>
      <c r="B41" s="8"/>
      <c r="C41" s="8"/>
      <c r="D41" s="8"/>
      <c r="E41" s="8"/>
      <c r="F41" s="8"/>
      <c r="G41" s="8"/>
      <c r="H41" s="8"/>
      <c r="I41" s="8"/>
      <c r="J41" s="8"/>
      <c r="M41" s="8">
        <v>582</v>
      </c>
      <c r="N41" s="7"/>
      <c r="O41" s="8"/>
      <c r="R41">
        <v>1</v>
      </c>
      <c r="U41" s="42"/>
      <c r="X41" s="2">
        <v>43213</v>
      </c>
      <c r="Y41" s="7">
        <v>70.34</v>
      </c>
      <c r="Z41" s="7">
        <v>68.28</v>
      </c>
      <c r="AB41" s="8">
        <v>267.42</v>
      </c>
      <c r="AC41" s="8">
        <v>246.88</v>
      </c>
      <c r="AE41" s="42">
        <v>0.89079672320734504</v>
      </c>
      <c r="AF41" s="42">
        <v>0.90396195484707476</v>
      </c>
      <c r="AG41" s="42"/>
      <c r="AH41" s="42"/>
    </row>
    <row r="42" spans="1:34" x14ac:dyDescent="0.35">
      <c r="A42" s="2">
        <v>43206</v>
      </c>
      <c r="B42" s="8">
        <v>0</v>
      </c>
      <c r="C42" s="8">
        <v>0</v>
      </c>
      <c r="D42" s="8">
        <v>0</v>
      </c>
      <c r="E42" s="8">
        <v>0</v>
      </c>
      <c r="F42" s="8">
        <v>22</v>
      </c>
      <c r="G42" s="8">
        <v>54</v>
      </c>
      <c r="H42" s="8">
        <v>22</v>
      </c>
      <c r="I42" s="8">
        <v>2</v>
      </c>
      <c r="J42" s="8">
        <v>0</v>
      </c>
      <c r="K42">
        <f t="shared" si="0"/>
        <v>100</v>
      </c>
      <c r="M42" s="8">
        <v>1325</v>
      </c>
      <c r="N42" s="7">
        <v>69.599999999999994</v>
      </c>
      <c r="O42" s="8">
        <v>269.92</v>
      </c>
      <c r="P42" s="42">
        <v>0.93307968044175449</v>
      </c>
      <c r="U42" s="42"/>
      <c r="X42" s="2">
        <v>43222</v>
      </c>
      <c r="Y42" s="7">
        <v>69.64150943396227</v>
      </c>
      <c r="Z42" s="7">
        <v>70.16</v>
      </c>
      <c r="AB42" s="8">
        <v>269.58490566037733</v>
      </c>
      <c r="AC42" s="8">
        <v>303.26</v>
      </c>
      <c r="AE42" s="42">
        <v>0.9335486992910168</v>
      </c>
      <c r="AF42" s="42">
        <v>1.0218484593074795</v>
      </c>
      <c r="AG42" s="42"/>
      <c r="AH42" s="42"/>
    </row>
    <row r="43" spans="1:34" x14ac:dyDescent="0.35">
      <c r="A43" s="2">
        <v>43210</v>
      </c>
      <c r="B43" s="8"/>
      <c r="C43" s="8"/>
      <c r="D43" s="8"/>
      <c r="E43" s="8"/>
      <c r="F43" s="8"/>
      <c r="G43" s="8"/>
      <c r="H43" s="8"/>
      <c r="I43" s="8"/>
      <c r="J43" s="8"/>
      <c r="M43" s="8">
        <v>1559</v>
      </c>
      <c r="N43" s="7"/>
      <c r="O43" s="8"/>
      <c r="U43" s="42"/>
      <c r="X43" s="2">
        <v>43227</v>
      </c>
      <c r="Y43" s="7">
        <v>70.239999999999995</v>
      </c>
      <c r="Z43" s="7">
        <v>70.92</v>
      </c>
      <c r="AB43" s="8">
        <v>277.72000000000003</v>
      </c>
      <c r="AC43" s="8">
        <v>286.89999999999998</v>
      </c>
      <c r="AE43" s="42">
        <v>0.93715529879219406</v>
      </c>
      <c r="AF43" s="42">
        <v>0.93703930305862537</v>
      </c>
      <c r="AG43" s="42"/>
      <c r="AH43" s="42"/>
    </row>
    <row r="44" spans="1:34" x14ac:dyDescent="0.35">
      <c r="A44" s="2">
        <v>43213</v>
      </c>
      <c r="B44" s="8">
        <v>0</v>
      </c>
      <c r="C44" s="8">
        <v>2</v>
      </c>
      <c r="D44" s="8">
        <v>0</v>
      </c>
      <c r="E44" s="8">
        <v>0</v>
      </c>
      <c r="F44" s="8">
        <v>4</v>
      </c>
      <c r="G44" s="8">
        <v>36</v>
      </c>
      <c r="H44" s="8">
        <v>57.999999999999993</v>
      </c>
      <c r="I44" s="8">
        <v>0</v>
      </c>
      <c r="J44" s="8">
        <v>0</v>
      </c>
      <c r="K44">
        <f t="shared" si="0"/>
        <v>100</v>
      </c>
      <c r="M44" s="8">
        <v>6246</v>
      </c>
      <c r="N44" s="7">
        <v>70.34</v>
      </c>
      <c r="O44" s="8">
        <v>267.42</v>
      </c>
      <c r="P44" s="42">
        <v>0.89079672320734504</v>
      </c>
      <c r="R44">
        <v>4</v>
      </c>
      <c r="U44" s="42"/>
      <c r="X44" s="13">
        <v>43234</v>
      </c>
      <c r="Y44" s="7">
        <v>70.260000000000005</v>
      </c>
      <c r="Z44" s="7">
        <v>70.52</v>
      </c>
      <c r="AB44" s="8">
        <v>269.95999999999998</v>
      </c>
      <c r="AC44" s="8">
        <v>272.86</v>
      </c>
      <c r="AE44" s="42">
        <v>0.91803564562568696</v>
      </c>
      <c r="AF44" s="42">
        <v>0.91160783149994007</v>
      </c>
      <c r="AG44" s="42"/>
      <c r="AH44" s="42"/>
    </row>
    <row r="45" spans="1:34" x14ac:dyDescent="0.35">
      <c r="A45" s="2">
        <v>43214</v>
      </c>
      <c r="B45" s="8"/>
      <c r="C45" s="8"/>
      <c r="D45" s="8"/>
      <c r="E45" s="8"/>
      <c r="F45" s="8"/>
      <c r="G45" s="8"/>
      <c r="H45" s="8"/>
      <c r="I45" s="8"/>
      <c r="J45" s="8"/>
      <c r="M45" s="8">
        <v>1082</v>
      </c>
      <c r="N45" s="7"/>
      <c r="O45" s="8"/>
      <c r="R45">
        <v>2</v>
      </c>
      <c r="U45" s="42"/>
      <c r="X45" s="13">
        <v>43242</v>
      </c>
      <c r="Y45" s="7">
        <v>69.959999999999994</v>
      </c>
      <c r="Z45" s="7">
        <v>70.84</v>
      </c>
      <c r="AB45" s="8">
        <v>273.27999999999997</v>
      </c>
      <c r="AC45" s="8">
        <v>274.24</v>
      </c>
      <c r="AE45" s="42">
        <v>0.92951634361911017</v>
      </c>
      <c r="AF45" s="42">
        <v>0.90857997191465334</v>
      </c>
      <c r="AG45" s="42"/>
      <c r="AH45" s="42"/>
    </row>
    <row r="46" spans="1:34" x14ac:dyDescent="0.35">
      <c r="A46" s="2">
        <v>43215</v>
      </c>
      <c r="B46" s="8"/>
      <c r="C46" s="8"/>
      <c r="D46" s="8"/>
      <c r="E46" s="8"/>
      <c r="F46" s="8"/>
      <c r="G46" s="8"/>
      <c r="H46" s="8"/>
      <c r="I46" s="8"/>
      <c r="J46" s="8"/>
      <c r="M46" s="8">
        <v>607</v>
      </c>
      <c r="N46" s="7"/>
      <c r="O46" s="8"/>
      <c r="R46">
        <v>1</v>
      </c>
      <c r="U46" s="42"/>
      <c r="X46" s="13">
        <v>43248</v>
      </c>
      <c r="Y46" s="37">
        <v>69.92</v>
      </c>
      <c r="Z46" s="7">
        <v>70.14</v>
      </c>
      <c r="AA46" s="5"/>
      <c r="AB46" s="34">
        <v>253.56</v>
      </c>
      <c r="AC46" s="34">
        <v>237.42</v>
      </c>
      <c r="AE46" s="42">
        <v>0.85968775451369395</v>
      </c>
      <c r="AF46" s="54">
        <v>0.80547598862685443</v>
      </c>
      <c r="AG46" s="54"/>
      <c r="AH46" s="54"/>
    </row>
    <row r="47" spans="1:34" x14ac:dyDescent="0.35">
      <c r="A47" s="2">
        <v>43216</v>
      </c>
      <c r="B47" s="8"/>
      <c r="C47" s="8"/>
      <c r="D47" s="8"/>
      <c r="E47" s="8"/>
      <c r="F47" s="8"/>
      <c r="G47" s="8"/>
      <c r="H47" s="8"/>
      <c r="I47" s="8"/>
      <c r="J47" s="8"/>
      <c r="M47" s="8">
        <v>373</v>
      </c>
      <c r="N47" s="7"/>
      <c r="O47" s="8"/>
      <c r="R47">
        <v>1</v>
      </c>
      <c r="U47" s="42"/>
      <c r="X47" s="2"/>
      <c r="Y47" s="7"/>
      <c r="Z47" s="7"/>
      <c r="AB47" s="8"/>
      <c r="AC47" s="8"/>
      <c r="AE47" s="42"/>
      <c r="AF47" s="42"/>
      <c r="AG47" s="42"/>
      <c r="AH47" s="42"/>
    </row>
    <row r="48" spans="1:34" x14ac:dyDescent="0.35">
      <c r="A48" s="2">
        <v>43217</v>
      </c>
      <c r="B48" s="8"/>
      <c r="C48" s="8"/>
      <c r="D48" s="8"/>
      <c r="E48" s="8"/>
      <c r="F48" s="8"/>
      <c r="G48" s="8"/>
      <c r="H48" s="8"/>
      <c r="I48" s="8"/>
      <c r="J48" s="8"/>
      <c r="M48" s="8">
        <v>216</v>
      </c>
      <c r="N48" s="7"/>
      <c r="O48" s="8"/>
      <c r="U48" s="42"/>
      <c r="X48" s="2"/>
      <c r="Y48" s="7"/>
      <c r="Z48" s="7"/>
      <c r="AB48" s="8"/>
      <c r="AC48" s="8"/>
      <c r="AE48" s="42"/>
      <c r="AF48" s="42"/>
      <c r="AG48" s="42"/>
      <c r="AH48" s="42"/>
    </row>
    <row r="49" spans="1:34" x14ac:dyDescent="0.35">
      <c r="A49" s="2">
        <v>43222</v>
      </c>
      <c r="B49" s="8">
        <v>0</v>
      </c>
      <c r="C49" s="8">
        <v>0</v>
      </c>
      <c r="D49" s="8">
        <v>0</v>
      </c>
      <c r="E49" s="8">
        <v>0</v>
      </c>
      <c r="F49" s="8">
        <v>1.8867924528301887</v>
      </c>
      <c r="G49" s="8">
        <v>20.754716981132077</v>
      </c>
      <c r="H49" s="8">
        <v>69.811320754716974</v>
      </c>
      <c r="I49" s="8">
        <v>7.5471698113207548</v>
      </c>
      <c r="J49" s="8">
        <v>0</v>
      </c>
      <c r="K49">
        <f t="shared" si="0"/>
        <v>100</v>
      </c>
      <c r="M49" s="8">
        <v>556</v>
      </c>
      <c r="N49" s="7">
        <v>69.64150943396227</v>
      </c>
      <c r="O49" s="8">
        <v>269.58490566037733</v>
      </c>
      <c r="P49" s="42">
        <v>0.9335486992910168</v>
      </c>
      <c r="R49">
        <v>2</v>
      </c>
      <c r="U49" s="42"/>
      <c r="AE49" s="42"/>
    </row>
    <row r="50" spans="1:34" x14ac:dyDescent="0.35">
      <c r="A50" s="2">
        <v>43227</v>
      </c>
      <c r="B50" s="8">
        <v>0</v>
      </c>
      <c r="C50" s="8">
        <v>0</v>
      </c>
      <c r="D50" s="8">
        <v>0</v>
      </c>
      <c r="E50" s="8">
        <v>0</v>
      </c>
      <c r="F50" s="8">
        <v>17.307692307692307</v>
      </c>
      <c r="G50" s="8">
        <v>25</v>
      </c>
      <c r="H50" s="8">
        <v>48.07692307692308</v>
      </c>
      <c r="I50" s="8">
        <v>9.6153846153846168</v>
      </c>
      <c r="J50" s="8">
        <v>0</v>
      </c>
      <c r="K50">
        <f t="shared" si="0"/>
        <v>100</v>
      </c>
      <c r="M50" s="8">
        <v>110</v>
      </c>
      <c r="N50" s="7">
        <v>70.239999999999995</v>
      </c>
      <c r="O50" s="8">
        <v>277.72000000000003</v>
      </c>
      <c r="P50" s="42">
        <v>0.93715529879219406</v>
      </c>
      <c r="U50" s="42"/>
      <c r="AE50" s="42"/>
    </row>
    <row r="51" spans="1:34" x14ac:dyDescent="0.35">
      <c r="A51" s="13">
        <v>43234</v>
      </c>
      <c r="B51" s="8">
        <v>0</v>
      </c>
      <c r="C51" s="8">
        <v>0</v>
      </c>
      <c r="D51" s="8">
        <v>0</v>
      </c>
      <c r="E51" s="8">
        <v>2</v>
      </c>
      <c r="F51" s="8">
        <v>0</v>
      </c>
      <c r="G51" s="8">
        <v>6</v>
      </c>
      <c r="H51" s="8">
        <v>48</v>
      </c>
      <c r="I51" s="8">
        <v>30</v>
      </c>
      <c r="J51" s="8">
        <v>14.000000000000002</v>
      </c>
      <c r="K51">
        <f t="shared" si="0"/>
        <v>100</v>
      </c>
      <c r="M51" s="8">
        <v>2250</v>
      </c>
      <c r="N51" s="7">
        <v>70.260000000000005</v>
      </c>
      <c r="O51" s="8">
        <v>269.95999999999998</v>
      </c>
      <c r="P51" s="42">
        <v>0.91803564562568696</v>
      </c>
      <c r="R51">
        <v>8</v>
      </c>
      <c r="U51" s="42">
        <v>0.96709679171810725</v>
      </c>
      <c r="AE51" s="42"/>
    </row>
    <row r="52" spans="1:34" x14ac:dyDescent="0.35">
      <c r="A52" s="13">
        <v>43242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2</v>
      </c>
      <c r="H52" s="8">
        <v>30</v>
      </c>
      <c r="I52" s="8">
        <v>46</v>
      </c>
      <c r="J52" s="8">
        <v>22</v>
      </c>
      <c r="K52">
        <f>SUM(B52:J52)</f>
        <v>100</v>
      </c>
      <c r="M52" s="8">
        <v>532</v>
      </c>
      <c r="N52" s="7">
        <v>69.959999999999994</v>
      </c>
      <c r="O52" s="8">
        <v>273.27999999999997</v>
      </c>
      <c r="P52" s="42">
        <v>0.92951634361911017</v>
      </c>
      <c r="R52">
        <v>2</v>
      </c>
      <c r="U52" s="42"/>
      <c r="AE52" s="42"/>
    </row>
    <row r="53" spans="1:34" s="5" customFormat="1" x14ac:dyDescent="0.35">
      <c r="A53" s="13">
        <v>43248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8</v>
      </c>
      <c r="I53" s="5">
        <v>28.000000000000004</v>
      </c>
      <c r="J53" s="5">
        <v>64</v>
      </c>
      <c r="K53">
        <f>SUM(B110:J110)</f>
        <v>100</v>
      </c>
      <c r="M53" s="34">
        <v>72</v>
      </c>
      <c r="N53" s="37">
        <v>69.92</v>
      </c>
      <c r="O53" s="34">
        <v>253.56</v>
      </c>
      <c r="P53" s="42">
        <v>0.85968775451369395</v>
      </c>
      <c r="R53" s="5">
        <v>1</v>
      </c>
      <c r="U53" s="54"/>
      <c r="AE53" s="54"/>
    </row>
    <row r="54" spans="1:34" x14ac:dyDescent="0.35">
      <c r="A54" s="2"/>
      <c r="B54" s="8"/>
      <c r="C54" s="8"/>
      <c r="D54" s="8"/>
      <c r="E54" s="8"/>
      <c r="F54" s="8"/>
      <c r="G54" s="8"/>
      <c r="H54" s="8"/>
      <c r="I54" s="8"/>
      <c r="J54" s="8"/>
      <c r="M54" s="8"/>
      <c r="N54" s="7"/>
      <c r="O54" s="8"/>
      <c r="P54" s="42"/>
      <c r="U54" s="42"/>
      <c r="X54" s="2"/>
      <c r="Y54" s="7"/>
      <c r="Z54" s="7"/>
      <c r="AB54" s="8"/>
      <c r="AC54" s="8"/>
      <c r="AE54" s="42"/>
      <c r="AF54" s="42"/>
      <c r="AG54" s="42"/>
      <c r="AH54" s="42"/>
    </row>
    <row r="55" spans="1:34" x14ac:dyDescent="0.35">
      <c r="A55" s="2"/>
      <c r="B55" s="8"/>
      <c r="C55" s="8"/>
      <c r="D55" s="8"/>
      <c r="E55" s="8"/>
      <c r="F55" s="8"/>
      <c r="G55" s="8"/>
      <c r="H55" s="8"/>
      <c r="I55" s="8"/>
      <c r="J55" s="8"/>
      <c r="M55" s="8"/>
      <c r="N55" s="7"/>
      <c r="O55" s="8"/>
      <c r="P55" s="42"/>
      <c r="U55" s="42"/>
      <c r="X55" s="2"/>
      <c r="Y55" s="7"/>
      <c r="Z55" s="7"/>
      <c r="AB55" s="8"/>
      <c r="AC55" s="8"/>
      <c r="AE55" s="42"/>
      <c r="AF55" s="42"/>
      <c r="AG55" s="42"/>
      <c r="AH55" s="42"/>
    </row>
    <row r="56" spans="1:34" x14ac:dyDescent="0.35">
      <c r="A56" s="2"/>
      <c r="B56" s="8"/>
      <c r="C56" s="8"/>
      <c r="D56" s="8"/>
      <c r="E56" s="8"/>
      <c r="F56" s="8"/>
      <c r="G56" s="8"/>
      <c r="H56" s="8"/>
      <c r="I56" s="8"/>
      <c r="J56" s="8"/>
      <c r="M56" s="8"/>
      <c r="N56" s="7"/>
      <c r="O56" s="8"/>
      <c r="P56" s="42"/>
      <c r="U56" s="42"/>
      <c r="X56" s="2"/>
      <c r="Y56" s="7"/>
      <c r="Z56" s="7"/>
      <c r="AB56" s="8"/>
      <c r="AC56" s="8"/>
      <c r="AE56" s="42"/>
      <c r="AF56" s="42"/>
      <c r="AG56" s="42"/>
      <c r="AH56" s="42"/>
    </row>
    <row r="57" spans="1:34" x14ac:dyDescent="0.35">
      <c r="A57" s="2"/>
      <c r="B57" s="8"/>
      <c r="C57" s="8"/>
      <c r="D57" s="8"/>
      <c r="E57" s="8"/>
      <c r="F57" s="8"/>
      <c r="G57" s="8"/>
      <c r="H57" s="8"/>
      <c r="I57" s="8"/>
      <c r="J57" s="8"/>
      <c r="M57" s="8"/>
      <c r="N57" s="7"/>
      <c r="O57" s="8"/>
      <c r="P57" s="42"/>
      <c r="U57" s="42"/>
      <c r="X57" s="2"/>
      <c r="Y57" s="7"/>
      <c r="Z57" s="7"/>
      <c r="AB57" s="8"/>
      <c r="AC57" s="8"/>
      <c r="AE57" s="42"/>
      <c r="AF57" s="42"/>
      <c r="AG57" s="42"/>
      <c r="AH57" s="42"/>
    </row>
    <row r="58" spans="1:34" x14ac:dyDescent="0.35">
      <c r="K58">
        <f t="shared" si="0"/>
        <v>0</v>
      </c>
      <c r="P58" s="42"/>
      <c r="U58" s="42"/>
    </row>
    <row r="59" spans="1:34" x14ac:dyDescent="0.35">
      <c r="A59" s="45" t="s">
        <v>285</v>
      </c>
      <c r="K59">
        <f t="shared" si="0"/>
        <v>0</v>
      </c>
      <c r="P59" s="42"/>
      <c r="U59" s="42"/>
    </row>
    <row r="60" spans="1:34" x14ac:dyDescent="0.35">
      <c r="A60" s="2">
        <v>42440</v>
      </c>
      <c r="B60" s="8">
        <v>0</v>
      </c>
      <c r="C60" s="8">
        <v>25</v>
      </c>
      <c r="D60" s="8">
        <v>9.6153846153846168</v>
      </c>
      <c r="E60" s="8">
        <v>19.230769230769234</v>
      </c>
      <c r="F60" s="8">
        <v>9.6153846153846168</v>
      </c>
      <c r="G60" s="8">
        <v>34.615384615384613</v>
      </c>
      <c r="H60" s="8">
        <v>1.9230769230769231</v>
      </c>
      <c r="I60" s="8">
        <v>0</v>
      </c>
      <c r="J60" s="8">
        <v>0</v>
      </c>
      <c r="K60">
        <f t="shared" si="0"/>
        <v>100</v>
      </c>
      <c r="L60" s="8"/>
      <c r="M60">
        <v>52</v>
      </c>
      <c r="N60" s="7">
        <v>72.384615384615387</v>
      </c>
      <c r="O60" s="8">
        <v>323.80769230769232</v>
      </c>
      <c r="P60" s="42">
        <v>0.99750879777273715</v>
      </c>
      <c r="R60">
        <v>0</v>
      </c>
      <c r="U60" s="42"/>
    </row>
    <row r="61" spans="1:34" x14ac:dyDescent="0.35">
      <c r="A61" s="2">
        <v>42447</v>
      </c>
      <c r="B61" s="8">
        <v>0</v>
      </c>
      <c r="C61" s="8">
        <v>18</v>
      </c>
      <c r="D61" s="8">
        <v>32</v>
      </c>
      <c r="E61" s="8">
        <v>16</v>
      </c>
      <c r="F61" s="8">
        <v>22</v>
      </c>
      <c r="G61" s="8">
        <v>10</v>
      </c>
      <c r="H61" s="8">
        <v>2</v>
      </c>
      <c r="I61" s="8">
        <v>0</v>
      </c>
      <c r="J61" s="8">
        <v>0</v>
      </c>
      <c r="K61">
        <f t="shared" si="0"/>
        <v>100</v>
      </c>
      <c r="L61" s="8"/>
      <c r="M61">
        <v>1261</v>
      </c>
      <c r="N61" s="7">
        <v>71.680000000000007</v>
      </c>
      <c r="O61" s="8">
        <v>311.95999999999998</v>
      </c>
      <c r="P61" s="42">
        <v>0.98368197631989507</v>
      </c>
      <c r="R61">
        <v>1</v>
      </c>
      <c r="U61" s="42"/>
    </row>
    <row r="62" spans="1:34" x14ac:dyDescent="0.35">
      <c r="A62" s="13">
        <v>42454</v>
      </c>
      <c r="B62" s="8">
        <v>0</v>
      </c>
      <c r="C62" s="8">
        <v>1.9607843137254901</v>
      </c>
      <c r="D62" s="8">
        <v>11.76470588235294</v>
      </c>
      <c r="E62" s="8">
        <v>5.8823529411764701</v>
      </c>
      <c r="F62" s="8">
        <v>37.254901960784316</v>
      </c>
      <c r="G62" s="8">
        <v>39.215686274509807</v>
      </c>
      <c r="H62" s="8">
        <v>3.9215686274509802</v>
      </c>
      <c r="I62" s="8">
        <v>0</v>
      </c>
      <c r="J62" s="8">
        <v>0</v>
      </c>
      <c r="K62">
        <f t="shared" si="0"/>
        <v>100</v>
      </c>
      <c r="L62" s="8"/>
      <c r="M62">
        <v>2549</v>
      </c>
      <c r="N62" s="7">
        <v>70.549019607843135</v>
      </c>
      <c r="O62" s="8">
        <v>289.29411764705884</v>
      </c>
      <c r="P62" s="42">
        <v>0.9587077016582588</v>
      </c>
      <c r="R62">
        <v>0</v>
      </c>
      <c r="U62" s="42"/>
    </row>
    <row r="63" spans="1:34" x14ac:dyDescent="0.35">
      <c r="A63" s="2">
        <v>42461</v>
      </c>
      <c r="B63" s="8">
        <v>0</v>
      </c>
      <c r="C63" s="8">
        <v>2</v>
      </c>
      <c r="D63" s="8">
        <v>0</v>
      </c>
      <c r="E63" s="8">
        <v>4</v>
      </c>
      <c r="F63" s="8">
        <v>26</v>
      </c>
      <c r="G63" s="8">
        <v>62</v>
      </c>
      <c r="H63" s="8">
        <v>6</v>
      </c>
      <c r="I63" s="8">
        <v>0</v>
      </c>
      <c r="J63" s="8">
        <v>0</v>
      </c>
      <c r="K63">
        <f t="shared" si="0"/>
        <v>100</v>
      </c>
      <c r="L63" s="8"/>
      <c r="M63">
        <v>5632</v>
      </c>
      <c r="N63" s="7">
        <v>70.260000000000005</v>
      </c>
      <c r="O63" s="8">
        <v>304.54000000000002</v>
      </c>
      <c r="P63" s="42">
        <v>1.0218857168948132</v>
      </c>
      <c r="R63">
        <v>37</v>
      </c>
      <c r="S63" s="8">
        <v>108.97297297297297</v>
      </c>
      <c r="T63" s="8">
        <v>1761.6486486486488</v>
      </c>
      <c r="U63" s="42">
        <v>1.0111819553845833</v>
      </c>
    </row>
    <row r="64" spans="1:34" x14ac:dyDescent="0.35">
      <c r="A64" s="2">
        <v>42468</v>
      </c>
      <c r="B64" s="8">
        <v>0</v>
      </c>
      <c r="C64" s="8">
        <v>0</v>
      </c>
      <c r="D64" s="8">
        <v>0</v>
      </c>
      <c r="E64" s="8">
        <v>0</v>
      </c>
      <c r="F64" s="8">
        <v>14.000000000000002</v>
      </c>
      <c r="G64" s="8">
        <v>70</v>
      </c>
      <c r="H64" s="8">
        <v>16</v>
      </c>
      <c r="I64" s="8">
        <v>0</v>
      </c>
      <c r="J64" s="8">
        <v>0</v>
      </c>
      <c r="K64">
        <f t="shared" si="0"/>
        <v>100</v>
      </c>
      <c r="L64" s="8"/>
      <c r="M64">
        <v>997</v>
      </c>
      <c r="N64" s="7">
        <v>69.84</v>
      </c>
      <c r="O64" s="8">
        <v>286.22000000000003</v>
      </c>
      <c r="P64" s="42">
        <v>0.9664243589464897</v>
      </c>
      <c r="R64">
        <v>46</v>
      </c>
      <c r="S64" s="8">
        <v>110.06521739130434</v>
      </c>
      <c r="T64" s="8">
        <v>2115.586956521739</v>
      </c>
      <c r="U64" s="42">
        <v>1.0008947824708152</v>
      </c>
    </row>
    <row r="65" spans="1:21" x14ac:dyDescent="0.35">
      <c r="A65" s="2">
        <v>42475</v>
      </c>
      <c r="B65" s="8">
        <v>0</v>
      </c>
      <c r="C65" s="8">
        <v>0</v>
      </c>
      <c r="D65" s="8">
        <v>0</v>
      </c>
      <c r="E65" s="8">
        <v>0</v>
      </c>
      <c r="F65" s="8">
        <v>2</v>
      </c>
      <c r="G65" s="8">
        <v>54</v>
      </c>
      <c r="H65" s="8">
        <v>44</v>
      </c>
      <c r="I65" s="8">
        <v>0</v>
      </c>
      <c r="J65" s="8">
        <v>0</v>
      </c>
      <c r="K65">
        <f t="shared" si="0"/>
        <v>100</v>
      </c>
      <c r="L65" s="8"/>
      <c r="M65">
        <v>470</v>
      </c>
      <c r="N65" s="7">
        <v>70.22</v>
      </c>
      <c r="O65" s="8">
        <v>283.10000000000002</v>
      </c>
      <c r="P65" s="42">
        <v>0.95399622020217678</v>
      </c>
      <c r="R65">
        <v>27</v>
      </c>
      <c r="S65" s="8">
        <v>98.888888888888886</v>
      </c>
      <c r="T65" s="8">
        <v>1184.851851851852</v>
      </c>
      <c r="U65" s="42">
        <v>0.98336693637186512</v>
      </c>
    </row>
    <row r="66" spans="1:21" x14ac:dyDescent="0.35">
      <c r="A66" s="2">
        <v>42482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27.450980392156865</v>
      </c>
      <c r="H66" s="8">
        <v>72.549019607843135</v>
      </c>
      <c r="I66" s="8">
        <v>0</v>
      </c>
      <c r="J66" s="8">
        <v>0</v>
      </c>
      <c r="K66">
        <f t="shared" si="0"/>
        <v>100</v>
      </c>
      <c r="L66" s="8"/>
      <c r="M66">
        <v>321</v>
      </c>
      <c r="N66" s="7">
        <v>70.372549019607845</v>
      </c>
      <c r="O66" s="8">
        <v>298.92156862745099</v>
      </c>
      <c r="P66" s="42">
        <v>0.99726014745972724</v>
      </c>
      <c r="R66">
        <v>29</v>
      </c>
      <c r="S66" s="8">
        <v>104.75862068965517</v>
      </c>
      <c r="T66" s="8">
        <v>1394.5517241379309</v>
      </c>
      <c r="U66" s="42">
        <v>0.96055761166949427</v>
      </c>
    </row>
    <row r="67" spans="1:21" x14ac:dyDescent="0.35">
      <c r="A67" s="2">
        <v>42489</v>
      </c>
      <c r="B67" s="8">
        <v>0</v>
      </c>
      <c r="C67" s="8">
        <v>0</v>
      </c>
      <c r="D67" s="8">
        <v>0</v>
      </c>
      <c r="E67" s="8">
        <v>0</v>
      </c>
      <c r="F67" s="8">
        <v>4</v>
      </c>
      <c r="G67" s="8">
        <v>44</v>
      </c>
      <c r="H67" s="8">
        <v>52</v>
      </c>
      <c r="I67" s="8">
        <v>0</v>
      </c>
      <c r="J67" s="8">
        <v>0</v>
      </c>
      <c r="K67">
        <f t="shared" si="0"/>
        <v>100</v>
      </c>
      <c r="L67" s="8"/>
      <c r="M67">
        <v>75</v>
      </c>
      <c r="N67" s="7">
        <v>70.8</v>
      </c>
      <c r="O67" s="8">
        <v>308.24</v>
      </c>
      <c r="P67" s="42">
        <v>1.0141147130575103</v>
      </c>
      <c r="R67">
        <v>7</v>
      </c>
      <c r="S67" s="8">
        <v>98.142857142857139</v>
      </c>
      <c r="T67" s="8">
        <v>1111.1428571428571</v>
      </c>
      <c r="U67" s="42">
        <v>0.95765466561264323</v>
      </c>
    </row>
    <row r="68" spans="1:21" x14ac:dyDescent="0.35">
      <c r="A68" s="2">
        <v>42494</v>
      </c>
      <c r="B68" s="8">
        <v>0</v>
      </c>
      <c r="C68" s="8">
        <v>0</v>
      </c>
      <c r="D68" s="8">
        <v>0</v>
      </c>
      <c r="E68" s="8">
        <v>0</v>
      </c>
      <c r="F68" s="8">
        <v>2</v>
      </c>
      <c r="G68" s="8">
        <v>36</v>
      </c>
      <c r="H68" s="8">
        <v>62</v>
      </c>
      <c r="I68" s="8">
        <v>0</v>
      </c>
      <c r="J68" s="8">
        <v>0</v>
      </c>
      <c r="K68">
        <f t="shared" si="0"/>
        <v>100</v>
      </c>
      <c r="L68" s="8"/>
      <c r="M68">
        <v>64</v>
      </c>
      <c r="N68" s="7">
        <v>70.56</v>
      </c>
      <c r="O68" s="8">
        <v>318.39999999999998</v>
      </c>
      <c r="P68" s="42">
        <v>1.0652987393399653</v>
      </c>
      <c r="R68">
        <v>22</v>
      </c>
      <c r="S68" s="8">
        <v>102.04545454545455</v>
      </c>
      <c r="T68" s="8">
        <v>1391.6363636363637</v>
      </c>
      <c r="U68" s="42">
        <v>1.0173993325941699</v>
      </c>
    </row>
    <row r="69" spans="1:21" x14ac:dyDescent="0.35">
      <c r="A69" s="2">
        <v>42503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59.183673469387756</v>
      </c>
      <c r="I69" s="8">
        <v>20.408163265306122</v>
      </c>
      <c r="J69" s="8">
        <v>20.408163265306122</v>
      </c>
      <c r="K69">
        <f t="shared" si="0"/>
        <v>100</v>
      </c>
      <c r="L69" s="8"/>
      <c r="M69">
        <v>224</v>
      </c>
      <c r="N69" s="7">
        <v>70.183673469387756</v>
      </c>
      <c r="O69" s="8">
        <v>290.9387755102041</v>
      </c>
      <c r="P69" s="42">
        <v>0.97985859249556218</v>
      </c>
      <c r="R69">
        <v>46</v>
      </c>
      <c r="S69" s="8">
        <v>104.43478260869566</v>
      </c>
      <c r="T69" s="8">
        <v>1377.9782608695652</v>
      </c>
      <c r="U69" s="42">
        <v>0.91880733365462797</v>
      </c>
    </row>
    <row r="70" spans="1:21" x14ac:dyDescent="0.35">
      <c r="A70" s="2">
        <v>42510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6</v>
      </c>
      <c r="I70" s="8">
        <v>26</v>
      </c>
      <c r="J70" s="8">
        <v>68</v>
      </c>
      <c r="K70">
        <f t="shared" si="0"/>
        <v>100</v>
      </c>
      <c r="L70" s="8"/>
      <c r="M70">
        <v>109</v>
      </c>
      <c r="N70" s="7">
        <v>69.8</v>
      </c>
      <c r="O70" s="8">
        <v>306.27999999999997</v>
      </c>
      <c r="P70" s="42">
        <v>1.0577343198716862</v>
      </c>
      <c r="R70">
        <v>6</v>
      </c>
      <c r="S70" s="8">
        <v>108</v>
      </c>
      <c r="T70" s="8">
        <v>1717.8333333333333</v>
      </c>
      <c r="U70" s="42">
        <v>1.0090522090377207</v>
      </c>
    </row>
    <row r="71" spans="1:21" x14ac:dyDescent="0.35">
      <c r="A71" s="2">
        <v>42517</v>
      </c>
      <c r="B71" s="8"/>
      <c r="C71" s="8"/>
      <c r="D71" s="8"/>
      <c r="E71" s="8"/>
      <c r="F71" s="8"/>
      <c r="G71" s="8"/>
      <c r="H71" s="8"/>
      <c r="I71" s="8"/>
      <c r="J71" s="8"/>
      <c r="K71">
        <f t="shared" si="0"/>
        <v>0</v>
      </c>
      <c r="L71" s="8"/>
      <c r="N71" s="7"/>
      <c r="O71" s="8"/>
      <c r="P71" s="42"/>
      <c r="S71" s="8"/>
      <c r="T71" s="8"/>
      <c r="U71" s="42"/>
    </row>
    <row r="72" spans="1:21" x14ac:dyDescent="0.35">
      <c r="A72" s="2"/>
      <c r="B72" s="8"/>
      <c r="C72" s="8"/>
      <c r="D72" s="8"/>
      <c r="E72" s="8"/>
      <c r="F72" s="8"/>
      <c r="G72" s="8"/>
      <c r="H72" s="8"/>
      <c r="I72" s="8"/>
      <c r="J72" s="8"/>
      <c r="L72" s="8"/>
      <c r="N72" s="7"/>
      <c r="O72" s="8"/>
      <c r="P72" s="42"/>
      <c r="S72" s="8"/>
      <c r="T72" s="8"/>
      <c r="U72" s="42"/>
    </row>
    <row r="73" spans="1:21" x14ac:dyDescent="0.35">
      <c r="A73" s="2">
        <v>42804</v>
      </c>
      <c r="B73" s="8">
        <v>0</v>
      </c>
      <c r="C73" s="8">
        <v>80</v>
      </c>
      <c r="D73" s="8">
        <v>10</v>
      </c>
      <c r="E73" s="8">
        <v>0</v>
      </c>
      <c r="F73" s="8">
        <v>10</v>
      </c>
      <c r="G73" s="8">
        <v>0</v>
      </c>
      <c r="H73" s="8">
        <v>0</v>
      </c>
      <c r="I73" s="8">
        <v>0</v>
      </c>
      <c r="J73" s="8">
        <v>0</v>
      </c>
      <c r="K73">
        <f t="shared" si="0"/>
        <v>100</v>
      </c>
      <c r="L73" s="8"/>
      <c r="M73" s="8">
        <v>10</v>
      </c>
      <c r="N73" s="7">
        <v>72.7</v>
      </c>
      <c r="O73" s="8">
        <v>309.3</v>
      </c>
      <c r="P73" s="42">
        <v>0.94082406028225463</v>
      </c>
      <c r="R73">
        <v>1</v>
      </c>
      <c r="U73" s="42"/>
    </row>
    <row r="74" spans="1:21" x14ac:dyDescent="0.35">
      <c r="A74" s="2">
        <v>42807</v>
      </c>
      <c r="B74" s="8">
        <v>0</v>
      </c>
      <c r="C74" s="8">
        <v>36.729999999999997</v>
      </c>
      <c r="D74" s="8">
        <v>22.448979591836736</v>
      </c>
      <c r="E74" s="8">
        <v>6.1224489795918364</v>
      </c>
      <c r="F74" s="8">
        <v>22.448979591836736</v>
      </c>
      <c r="G74" s="8">
        <v>12.244897959183673</v>
      </c>
      <c r="H74" s="8">
        <v>0</v>
      </c>
      <c r="I74" s="8">
        <v>0</v>
      </c>
      <c r="J74" s="8">
        <v>0</v>
      </c>
      <c r="K74" s="8">
        <f t="shared" si="0"/>
        <v>99.99530612244898</v>
      </c>
      <c r="L74" s="8"/>
      <c r="M74" s="8">
        <v>147</v>
      </c>
      <c r="N74" s="7">
        <v>70.265306122448976</v>
      </c>
      <c r="O74" s="8">
        <v>287.16326530612247</v>
      </c>
      <c r="P74" s="42">
        <v>0.96800802367231342</v>
      </c>
      <c r="R74">
        <v>2</v>
      </c>
      <c r="U74" s="42"/>
    </row>
    <row r="75" spans="1:21" x14ac:dyDescent="0.35">
      <c r="A75" s="2">
        <v>42811</v>
      </c>
      <c r="B75" s="8">
        <v>0</v>
      </c>
      <c r="C75" s="8">
        <v>34.482758620689658</v>
      </c>
      <c r="D75" s="8">
        <v>20.689655172413794</v>
      </c>
      <c r="E75" s="8">
        <v>5.1724137931034484</v>
      </c>
      <c r="F75" s="8">
        <v>29.310344827586203</v>
      </c>
      <c r="G75" s="8">
        <v>10.344827586206897</v>
      </c>
      <c r="H75" s="8">
        <v>0</v>
      </c>
      <c r="I75" s="8">
        <v>0</v>
      </c>
      <c r="J75" s="8">
        <v>0</v>
      </c>
      <c r="K75">
        <f t="shared" si="0"/>
        <v>100</v>
      </c>
      <c r="L75" s="8"/>
      <c r="M75">
        <v>1645</v>
      </c>
      <c r="N75" s="7">
        <v>70.293103448275858</v>
      </c>
      <c r="O75" s="8">
        <v>291.72413793103448</v>
      </c>
      <c r="P75" s="42">
        <v>0.98309222842031518</v>
      </c>
      <c r="R75">
        <v>12</v>
      </c>
      <c r="S75" s="8">
        <v>105.16666666666667</v>
      </c>
      <c r="T75" s="8">
        <v>1462.6666666666667</v>
      </c>
      <c r="U75" s="42">
        <v>0.91679607049760581</v>
      </c>
    </row>
    <row r="76" spans="1:21" x14ac:dyDescent="0.35">
      <c r="A76" s="2">
        <v>42814</v>
      </c>
      <c r="B76" s="8">
        <v>0</v>
      </c>
      <c r="C76" s="8">
        <v>26.923076923076923</v>
      </c>
      <c r="D76" s="8">
        <v>19.230769230769234</v>
      </c>
      <c r="E76" s="8">
        <v>7.6923076923076925</v>
      </c>
      <c r="F76" s="8">
        <v>32.692307692307693</v>
      </c>
      <c r="G76" s="8">
        <v>13.461538461538462</v>
      </c>
      <c r="H76" s="8">
        <v>0</v>
      </c>
      <c r="I76" s="8">
        <v>0</v>
      </c>
      <c r="J76" s="8">
        <v>0</v>
      </c>
      <c r="K76">
        <f t="shared" si="0"/>
        <v>100.00000000000001</v>
      </c>
      <c r="L76" s="8"/>
      <c r="M76">
        <v>2204</v>
      </c>
      <c r="N76" s="7">
        <v>70.75</v>
      </c>
      <c r="O76" s="8">
        <v>317.63461538461536</v>
      </c>
      <c r="P76" s="42">
        <v>1.0550808359651354</v>
      </c>
      <c r="R76">
        <v>13</v>
      </c>
      <c r="S76" s="8">
        <v>105.76923076923077</v>
      </c>
      <c r="T76" s="8">
        <v>1368.0769230769231</v>
      </c>
      <c r="U76" s="42">
        <v>0.87153431868486175</v>
      </c>
    </row>
    <row r="77" spans="1:21" x14ac:dyDescent="0.35">
      <c r="A77" s="2">
        <v>42818</v>
      </c>
      <c r="B77" s="8">
        <v>0</v>
      </c>
      <c r="C77" s="8">
        <v>14.000000000000002</v>
      </c>
      <c r="D77" s="8">
        <v>14.000000000000002</v>
      </c>
      <c r="E77" s="8">
        <v>6</v>
      </c>
      <c r="F77" s="8">
        <v>48</v>
      </c>
      <c r="G77" s="8">
        <v>16</v>
      </c>
      <c r="H77" s="8">
        <v>2</v>
      </c>
      <c r="I77" s="8">
        <v>0</v>
      </c>
      <c r="J77" s="8">
        <v>0</v>
      </c>
      <c r="K77">
        <f t="shared" si="0"/>
        <v>100</v>
      </c>
      <c r="L77" s="8"/>
      <c r="M77" s="8">
        <v>3632</v>
      </c>
      <c r="N77" s="7">
        <v>69.3</v>
      </c>
      <c r="O77" s="8">
        <v>264.26</v>
      </c>
      <c r="P77" s="42">
        <v>0.92618894495561177</v>
      </c>
      <c r="R77">
        <v>4</v>
      </c>
      <c r="U77" s="42">
        <v>0.87565860332172296</v>
      </c>
    </row>
    <row r="78" spans="1:21" x14ac:dyDescent="0.35">
      <c r="A78" s="13">
        <v>42821</v>
      </c>
      <c r="B78" s="8">
        <v>0</v>
      </c>
      <c r="C78" s="8">
        <v>4</v>
      </c>
      <c r="D78" s="8">
        <v>6</v>
      </c>
      <c r="E78" s="8">
        <v>10</v>
      </c>
      <c r="F78" s="8">
        <v>50</v>
      </c>
      <c r="G78" s="8">
        <v>30</v>
      </c>
      <c r="H78" s="8">
        <v>0</v>
      </c>
      <c r="I78" s="8">
        <v>0</v>
      </c>
      <c r="J78" s="8">
        <v>0</v>
      </c>
      <c r="K78">
        <f t="shared" si="0"/>
        <v>100</v>
      </c>
      <c r="L78" s="8"/>
      <c r="M78" s="8">
        <v>3231</v>
      </c>
      <c r="N78" s="7">
        <v>69.72</v>
      </c>
      <c r="O78" s="8">
        <v>286.60000000000002</v>
      </c>
      <c r="P78" s="42">
        <v>0.98829006922878071</v>
      </c>
      <c r="R78">
        <v>4</v>
      </c>
      <c r="U78" s="42">
        <v>0.84706240228397933</v>
      </c>
    </row>
    <row r="79" spans="1:21" x14ac:dyDescent="0.35">
      <c r="A79" s="2">
        <v>42825</v>
      </c>
      <c r="B79" s="8">
        <v>0</v>
      </c>
      <c r="C79" s="8">
        <v>6</v>
      </c>
      <c r="D79" s="8">
        <v>2</v>
      </c>
      <c r="E79" s="8">
        <v>2</v>
      </c>
      <c r="F79" s="8">
        <v>22</v>
      </c>
      <c r="G79" s="8">
        <v>52</v>
      </c>
      <c r="H79" s="8">
        <v>16</v>
      </c>
      <c r="I79" s="8">
        <v>0</v>
      </c>
      <c r="J79" s="8">
        <v>0</v>
      </c>
      <c r="K79">
        <f t="shared" si="0"/>
        <v>100</v>
      </c>
      <c r="L79" s="8"/>
      <c r="M79" s="8">
        <v>6803</v>
      </c>
      <c r="N79" s="7">
        <v>68.42</v>
      </c>
      <c r="O79" s="8">
        <v>279.38</v>
      </c>
      <c r="P79" s="42">
        <v>1.0159748895764338</v>
      </c>
      <c r="R79">
        <v>7</v>
      </c>
      <c r="S79" s="8">
        <v>118</v>
      </c>
      <c r="T79" s="8">
        <v>2024.4285714285713</v>
      </c>
      <c r="U79" s="42">
        <v>0.93832657395350616</v>
      </c>
    </row>
    <row r="80" spans="1:21" x14ac:dyDescent="0.35">
      <c r="A80" s="2">
        <v>42828</v>
      </c>
      <c r="B80" s="8">
        <v>0</v>
      </c>
      <c r="C80" s="8">
        <v>0</v>
      </c>
      <c r="D80" s="8">
        <v>0</v>
      </c>
      <c r="E80" s="8">
        <v>1.9607843137254901</v>
      </c>
      <c r="F80" s="8">
        <v>19.607843137254903</v>
      </c>
      <c r="G80" s="8">
        <v>54.901960784313729</v>
      </c>
      <c r="H80" s="8">
        <v>23.52941176470588</v>
      </c>
      <c r="I80" s="8">
        <v>0</v>
      </c>
      <c r="J80" s="8">
        <v>0</v>
      </c>
      <c r="K80">
        <f t="shared" si="0"/>
        <v>100</v>
      </c>
      <c r="L80" s="8"/>
      <c r="M80" s="8">
        <v>1743</v>
      </c>
      <c r="N80" s="7">
        <v>70.588235294117652</v>
      </c>
      <c r="O80" s="8">
        <v>307.35294117647061</v>
      </c>
      <c r="P80" s="42">
        <v>1.0234507391914247</v>
      </c>
      <c r="R80">
        <v>5</v>
      </c>
      <c r="U80" s="42">
        <v>0.93383040718476984</v>
      </c>
    </row>
    <row r="81" spans="1:21" x14ac:dyDescent="0.35">
      <c r="A81" s="2">
        <v>42832</v>
      </c>
      <c r="B81" s="8">
        <v>0</v>
      </c>
      <c r="C81" s="8">
        <v>0</v>
      </c>
      <c r="D81" s="8">
        <v>0</v>
      </c>
      <c r="E81" s="8">
        <v>0</v>
      </c>
      <c r="F81" s="8">
        <v>9.8039215686274517</v>
      </c>
      <c r="G81" s="8">
        <v>41.17647058823529</v>
      </c>
      <c r="H81" s="8">
        <v>49.019607843137251</v>
      </c>
      <c r="I81" s="8">
        <v>0</v>
      </c>
      <c r="J81" s="8">
        <v>0</v>
      </c>
      <c r="K81">
        <f t="shared" si="0"/>
        <v>100</v>
      </c>
      <c r="L81" s="8"/>
      <c r="M81" s="8">
        <v>1561</v>
      </c>
      <c r="N81" s="7">
        <v>68.764705882352942</v>
      </c>
      <c r="O81" s="8">
        <v>281.8235294117647</v>
      </c>
      <c r="P81" s="42">
        <v>1.012952532891424</v>
      </c>
      <c r="R81">
        <v>3</v>
      </c>
      <c r="U81" s="42">
        <v>0.94051531172457425</v>
      </c>
    </row>
    <row r="82" spans="1:21" x14ac:dyDescent="0.35">
      <c r="A82" s="2">
        <v>42839</v>
      </c>
      <c r="B82" s="8">
        <v>0</v>
      </c>
      <c r="C82" s="8">
        <v>0</v>
      </c>
      <c r="D82" s="8">
        <v>0</v>
      </c>
      <c r="E82" s="8">
        <v>0</v>
      </c>
      <c r="F82" s="8">
        <v>2</v>
      </c>
      <c r="G82" s="8">
        <v>18</v>
      </c>
      <c r="H82" s="8">
        <v>78</v>
      </c>
      <c r="I82" s="8">
        <v>2</v>
      </c>
      <c r="J82" s="8">
        <v>0</v>
      </c>
      <c r="K82">
        <f t="shared" si="0"/>
        <v>100</v>
      </c>
      <c r="L82" s="8"/>
      <c r="M82" s="8">
        <v>3221</v>
      </c>
      <c r="N82" s="7">
        <v>69.36</v>
      </c>
      <c r="O82" s="8">
        <v>289.89999999999998</v>
      </c>
      <c r="P82" s="42">
        <v>1.0152613708967622</v>
      </c>
      <c r="R82">
        <v>4</v>
      </c>
      <c r="U82" s="42">
        <v>1.0768017247686374</v>
      </c>
    </row>
    <row r="83" spans="1:21" x14ac:dyDescent="0.35">
      <c r="A83" s="2">
        <v>42846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6</v>
      </c>
      <c r="H83" s="8">
        <v>82</v>
      </c>
      <c r="I83" s="8">
        <v>12</v>
      </c>
      <c r="J83" s="8">
        <v>0</v>
      </c>
      <c r="K83">
        <f t="shared" si="0"/>
        <v>100</v>
      </c>
      <c r="L83" s="8"/>
      <c r="M83" s="8">
        <v>1343</v>
      </c>
      <c r="N83" s="7">
        <v>68.28</v>
      </c>
      <c r="O83" s="8">
        <v>246.44</v>
      </c>
      <c r="P83" s="42">
        <v>0.90301153876265272</v>
      </c>
      <c r="R83">
        <v>5</v>
      </c>
      <c r="U83" s="42">
        <v>0.97901121686322168</v>
      </c>
    </row>
    <row r="84" spans="1:21" x14ac:dyDescent="0.35">
      <c r="A84" s="2">
        <v>42853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2</v>
      </c>
      <c r="H84" s="8">
        <v>44</v>
      </c>
      <c r="I84" s="8">
        <v>44</v>
      </c>
      <c r="J84" s="8">
        <v>10</v>
      </c>
      <c r="K84">
        <f t="shared" si="0"/>
        <v>100</v>
      </c>
      <c r="L84" s="8"/>
      <c r="M84" s="8">
        <v>618</v>
      </c>
      <c r="N84" s="7">
        <v>68.260000000000005</v>
      </c>
      <c r="O84" s="8">
        <v>300.06</v>
      </c>
      <c r="P84" s="42">
        <v>1.1039014490489489</v>
      </c>
      <c r="R84">
        <v>9</v>
      </c>
      <c r="S84" s="8">
        <v>111.55555555555556</v>
      </c>
      <c r="T84" s="8">
        <v>2427.6666666666665</v>
      </c>
      <c r="U84" s="42">
        <v>1.0276202657538436</v>
      </c>
    </row>
    <row r="85" spans="1:21" x14ac:dyDescent="0.35">
      <c r="A85" s="2">
        <v>42860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1.9607843137254901</v>
      </c>
      <c r="H85" s="8">
        <v>27.450980392156865</v>
      </c>
      <c r="I85" s="8">
        <v>33.333333333333329</v>
      </c>
      <c r="J85" s="8">
        <v>37.254901960784316</v>
      </c>
      <c r="K85">
        <f t="shared" si="0"/>
        <v>100</v>
      </c>
      <c r="L85" s="8"/>
      <c r="M85" s="8">
        <v>406</v>
      </c>
      <c r="N85" s="7">
        <v>68.862745098039213</v>
      </c>
      <c r="O85" s="8">
        <v>290.41176470588238</v>
      </c>
      <c r="P85" s="42">
        <v>1.0382379464082179</v>
      </c>
      <c r="R85">
        <v>8</v>
      </c>
      <c r="S85" s="8">
        <v>119.25</v>
      </c>
      <c r="T85" s="8">
        <v>2126.125</v>
      </c>
      <c r="U85" s="42">
        <v>0.93895216340099275</v>
      </c>
    </row>
    <row r="86" spans="1:21" x14ac:dyDescent="0.35">
      <c r="A86" s="2">
        <v>42867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24</v>
      </c>
      <c r="I86" s="8">
        <v>34</v>
      </c>
      <c r="J86" s="8">
        <v>42</v>
      </c>
      <c r="K86">
        <f t="shared" si="0"/>
        <v>100</v>
      </c>
      <c r="L86" s="8"/>
      <c r="M86" s="8">
        <v>186</v>
      </c>
      <c r="N86" s="7">
        <v>69.16</v>
      </c>
      <c r="O86" s="8">
        <v>316.83999999999997</v>
      </c>
      <c r="P86" s="42">
        <v>1.1190624470327686</v>
      </c>
      <c r="R86">
        <v>3</v>
      </c>
      <c r="S86" s="8"/>
      <c r="T86" s="8"/>
      <c r="U86" s="42">
        <v>1.1449384388461534</v>
      </c>
    </row>
    <row r="87" spans="1:21" x14ac:dyDescent="0.35">
      <c r="A87" s="2">
        <v>42874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6</v>
      </c>
      <c r="I87" s="8">
        <v>28.000000000000004</v>
      </c>
      <c r="J87" s="8">
        <v>66</v>
      </c>
      <c r="K87">
        <f t="shared" si="0"/>
        <v>100</v>
      </c>
      <c r="L87" s="8"/>
      <c r="M87" s="8">
        <v>56</v>
      </c>
      <c r="N87" s="7">
        <v>68.599999999999994</v>
      </c>
      <c r="O87" s="8">
        <v>289.72000000000003</v>
      </c>
      <c r="P87" s="42">
        <v>1.0441523294974744</v>
      </c>
      <c r="R87">
        <v>5</v>
      </c>
      <c r="S87" s="8"/>
      <c r="T87" s="8"/>
      <c r="U87" s="42">
        <v>1.1037078342420199</v>
      </c>
    </row>
    <row r="88" spans="1:21" x14ac:dyDescent="0.35">
      <c r="A88" s="2">
        <v>42879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4.6511627906976747</v>
      </c>
      <c r="I88" s="8">
        <v>13.953488372093023</v>
      </c>
      <c r="J88" s="8">
        <v>81.395348837209298</v>
      </c>
      <c r="K88">
        <f t="shared" si="0"/>
        <v>100</v>
      </c>
      <c r="L88" s="8"/>
      <c r="M88" s="8">
        <v>43</v>
      </c>
      <c r="N88" s="7">
        <v>67.906976744186053</v>
      </c>
      <c r="O88" s="8">
        <v>239.2093023255814</v>
      </c>
      <c r="P88" s="42">
        <v>0.89488436375050684</v>
      </c>
      <c r="R88">
        <v>5</v>
      </c>
      <c r="U88" s="42">
        <v>1.0672069970538776</v>
      </c>
    </row>
    <row r="89" spans="1:21" x14ac:dyDescent="0.35">
      <c r="A89" s="2"/>
      <c r="B89" s="8"/>
      <c r="C89" s="8"/>
      <c r="D89" s="8"/>
      <c r="E89" s="8"/>
      <c r="F89" s="8"/>
      <c r="G89" s="8"/>
      <c r="H89" s="8"/>
      <c r="I89" s="8"/>
      <c r="J89" s="8"/>
      <c r="L89" s="8"/>
      <c r="M89" s="8"/>
      <c r="N89" s="7"/>
      <c r="O89" s="8"/>
      <c r="P89" s="42"/>
      <c r="U89" s="42"/>
    </row>
    <row r="90" spans="1:21" x14ac:dyDescent="0.35">
      <c r="A90" s="2">
        <v>43171</v>
      </c>
      <c r="B90" s="8"/>
      <c r="C90" s="8"/>
      <c r="D90" s="8"/>
      <c r="E90" s="8"/>
      <c r="F90" s="8"/>
      <c r="G90" s="8"/>
      <c r="H90" s="8"/>
      <c r="I90" s="8"/>
      <c r="J90" s="8"/>
      <c r="L90" s="8"/>
      <c r="M90" s="8">
        <v>0</v>
      </c>
      <c r="N90" s="7"/>
      <c r="O90" s="8"/>
      <c r="P90" s="42"/>
      <c r="U90" s="42"/>
    </row>
    <row r="91" spans="1:21" x14ac:dyDescent="0.35">
      <c r="A91" s="2">
        <v>43178</v>
      </c>
      <c r="B91" s="8"/>
      <c r="C91" s="8"/>
      <c r="D91" s="8"/>
      <c r="E91" s="8"/>
      <c r="F91" s="8"/>
      <c r="G91" s="8"/>
      <c r="H91" s="8"/>
      <c r="I91" s="8"/>
      <c r="J91" s="8"/>
      <c r="L91" s="8"/>
      <c r="M91" s="8">
        <v>1</v>
      </c>
      <c r="N91" s="7"/>
      <c r="O91" s="8"/>
      <c r="P91" s="42"/>
      <c r="R91">
        <v>1</v>
      </c>
      <c r="U91" s="42"/>
    </row>
    <row r="92" spans="1:21" x14ac:dyDescent="0.35">
      <c r="A92" s="2">
        <v>43188</v>
      </c>
      <c r="B92" s="8">
        <v>0</v>
      </c>
      <c r="C92" s="8">
        <v>25.925925925925924</v>
      </c>
      <c r="D92" s="8">
        <v>20.37037037037037</v>
      </c>
      <c r="E92" s="8">
        <v>9.2592592592592595</v>
      </c>
      <c r="F92" s="8">
        <v>27.777777777777779</v>
      </c>
      <c r="G92" s="8">
        <v>16.666666666666664</v>
      </c>
      <c r="H92" s="8">
        <v>0</v>
      </c>
      <c r="I92" s="8">
        <v>0</v>
      </c>
      <c r="J92" s="8">
        <v>0</v>
      </c>
      <c r="K92">
        <f t="shared" si="0"/>
        <v>100</v>
      </c>
      <c r="L92" s="8"/>
      <c r="M92" s="8">
        <v>183</v>
      </c>
      <c r="N92" s="7">
        <v>73.648148148148152</v>
      </c>
      <c r="O92" s="8">
        <v>349.98148148148147</v>
      </c>
      <c r="P92" s="42">
        <v>1.0255807539072477</v>
      </c>
      <c r="R92">
        <v>11</v>
      </c>
      <c r="S92" s="8">
        <v>116.18181818181819</v>
      </c>
      <c r="T92" s="8">
        <v>1977.1818181818182</v>
      </c>
      <c r="U92" s="42">
        <v>0.96387886707938109</v>
      </c>
    </row>
    <row r="93" spans="1:21" x14ac:dyDescent="0.35">
      <c r="A93" s="2">
        <v>43193</v>
      </c>
      <c r="B93" s="8">
        <v>0</v>
      </c>
      <c r="C93" s="8">
        <v>2.4390243902439024</v>
      </c>
      <c r="D93" s="8">
        <v>18.292682926829269</v>
      </c>
      <c r="E93" s="8">
        <v>4.8780487804878048</v>
      </c>
      <c r="F93" s="8">
        <v>31.707317073170731</v>
      </c>
      <c r="G93" s="8">
        <v>36.585365853658537</v>
      </c>
      <c r="H93" s="8">
        <v>6.0975609756097562</v>
      </c>
      <c r="I93" s="8">
        <v>0</v>
      </c>
      <c r="J93" s="8">
        <v>0</v>
      </c>
      <c r="K93">
        <f t="shared" si="0"/>
        <v>100</v>
      </c>
      <c r="L93" s="8"/>
      <c r="M93" s="8">
        <v>148</v>
      </c>
      <c r="N93" s="7">
        <v>71.353658536585371</v>
      </c>
      <c r="O93" s="8">
        <v>294.97560975609758</v>
      </c>
      <c r="P93" s="42">
        <v>0.94603323020618901</v>
      </c>
      <c r="R93">
        <v>4</v>
      </c>
      <c r="U93" s="42">
        <v>0.819019922051334</v>
      </c>
    </row>
    <row r="94" spans="1:21" x14ac:dyDescent="0.35">
      <c r="A94" s="2">
        <v>43196</v>
      </c>
      <c r="B94" s="8">
        <v>0</v>
      </c>
      <c r="C94" s="8">
        <v>0</v>
      </c>
      <c r="D94" s="8">
        <v>5.8823529411764701</v>
      </c>
      <c r="E94" s="8">
        <v>9.8039215686274517</v>
      </c>
      <c r="F94" s="8">
        <v>54.901960784313729</v>
      </c>
      <c r="G94" s="8">
        <v>25.490196078431371</v>
      </c>
      <c r="H94" s="8">
        <v>3.9215686274509802</v>
      </c>
      <c r="I94" s="8">
        <v>0</v>
      </c>
      <c r="J94" s="8">
        <v>0</v>
      </c>
      <c r="K94">
        <f t="shared" si="0"/>
        <v>100</v>
      </c>
      <c r="L94" s="8"/>
      <c r="M94" s="8">
        <v>72</v>
      </c>
      <c r="N94" s="7">
        <v>72</v>
      </c>
      <c r="O94" s="8">
        <v>333</v>
      </c>
      <c r="P94" s="42">
        <v>1.0434293943459478</v>
      </c>
      <c r="R94">
        <v>4</v>
      </c>
      <c r="U94" s="42">
        <v>0.9711472118729082</v>
      </c>
    </row>
    <row r="95" spans="1:21" x14ac:dyDescent="0.35">
      <c r="A95" s="2">
        <v>43199</v>
      </c>
      <c r="B95" s="8">
        <v>0</v>
      </c>
      <c r="C95" s="8">
        <v>0</v>
      </c>
      <c r="D95" s="8">
        <v>1.9607843137254901</v>
      </c>
      <c r="E95" s="8">
        <v>7.8431372549019605</v>
      </c>
      <c r="F95" s="8">
        <v>35.294117647058826</v>
      </c>
      <c r="G95" s="8">
        <v>45.098039215686278</v>
      </c>
      <c r="H95" s="8">
        <v>9.8039215686274517</v>
      </c>
      <c r="I95" s="8">
        <v>0</v>
      </c>
      <c r="J95" s="8">
        <v>0</v>
      </c>
      <c r="K95">
        <f t="shared" si="0"/>
        <v>100</v>
      </c>
      <c r="L95" s="8"/>
      <c r="M95" s="8">
        <v>169</v>
      </c>
      <c r="N95" s="7">
        <v>69.352941176470594</v>
      </c>
      <c r="O95" s="8">
        <v>282.72549019607845</v>
      </c>
      <c r="P95" s="42">
        <v>0.99187189789694108</v>
      </c>
      <c r="R95">
        <v>1</v>
      </c>
      <c r="U95" s="42"/>
    </row>
    <row r="96" spans="1:21" x14ac:dyDescent="0.35">
      <c r="A96" s="2">
        <v>43200</v>
      </c>
      <c r="B96" s="8">
        <v>0</v>
      </c>
      <c r="C96" s="8">
        <v>2</v>
      </c>
      <c r="D96" s="8">
        <v>6</v>
      </c>
      <c r="E96" s="8">
        <v>6</v>
      </c>
      <c r="F96" s="8">
        <v>48</v>
      </c>
      <c r="G96" s="8">
        <v>36</v>
      </c>
      <c r="H96" s="8">
        <v>0</v>
      </c>
      <c r="I96" s="8">
        <v>0</v>
      </c>
      <c r="J96" s="8">
        <v>2</v>
      </c>
      <c r="K96">
        <f t="shared" si="0"/>
        <v>100</v>
      </c>
      <c r="L96" s="8"/>
      <c r="M96" s="8">
        <v>1429</v>
      </c>
      <c r="N96" s="7">
        <v>70.98</v>
      </c>
      <c r="O96" s="8">
        <v>292.3</v>
      </c>
      <c r="P96" s="42">
        <v>0.95403879815097781</v>
      </c>
      <c r="R96">
        <v>1</v>
      </c>
      <c r="U96" s="42"/>
    </row>
    <row r="97" spans="1:21" x14ac:dyDescent="0.35">
      <c r="A97" s="2">
        <v>43201</v>
      </c>
      <c r="B97" s="8"/>
      <c r="C97" s="8"/>
      <c r="D97" s="8"/>
      <c r="E97" s="8"/>
      <c r="F97" s="8"/>
      <c r="G97" s="8"/>
      <c r="H97" s="8"/>
      <c r="I97" s="8"/>
      <c r="J97" s="8"/>
      <c r="L97" s="8"/>
      <c r="M97" s="8">
        <v>470</v>
      </c>
      <c r="N97" s="7"/>
      <c r="O97" s="8"/>
      <c r="R97">
        <v>2</v>
      </c>
      <c r="U97" s="42"/>
    </row>
    <row r="98" spans="1:21" x14ac:dyDescent="0.35">
      <c r="A98" s="2">
        <v>43203</v>
      </c>
      <c r="B98" s="8"/>
      <c r="C98" s="8"/>
      <c r="D98" s="8"/>
      <c r="E98" s="8"/>
      <c r="F98" s="8"/>
      <c r="G98" s="8"/>
      <c r="H98" s="8"/>
      <c r="I98" s="8"/>
      <c r="J98" s="8"/>
      <c r="L98" s="8"/>
      <c r="M98" s="8">
        <v>512</v>
      </c>
      <c r="N98" s="7"/>
      <c r="O98" s="8"/>
      <c r="U98" s="42"/>
    </row>
    <row r="99" spans="1:21" x14ac:dyDescent="0.35">
      <c r="A99" s="2">
        <v>43206</v>
      </c>
      <c r="B99" s="8">
        <v>0</v>
      </c>
      <c r="C99" s="8">
        <v>0</v>
      </c>
      <c r="D99" s="8">
        <v>2</v>
      </c>
      <c r="E99" s="8">
        <v>4</v>
      </c>
      <c r="F99" s="8">
        <v>18</v>
      </c>
      <c r="G99" s="8">
        <v>56.000000000000007</v>
      </c>
      <c r="H99" s="8">
        <v>20</v>
      </c>
      <c r="I99" s="8">
        <v>0</v>
      </c>
      <c r="J99" s="8">
        <v>0</v>
      </c>
      <c r="K99">
        <f t="shared" si="0"/>
        <v>100</v>
      </c>
      <c r="L99" s="8"/>
      <c r="M99" s="8">
        <v>980</v>
      </c>
      <c r="N99" s="7">
        <v>69.52</v>
      </c>
      <c r="O99" s="8">
        <v>286.3</v>
      </c>
      <c r="P99" s="42">
        <v>0.99870307001924574</v>
      </c>
      <c r="U99" s="42"/>
    </row>
    <row r="100" spans="1:21" x14ac:dyDescent="0.35">
      <c r="A100" s="2">
        <v>43210</v>
      </c>
      <c r="B100" s="8"/>
      <c r="C100" s="8"/>
      <c r="D100" s="8"/>
      <c r="E100" s="8"/>
      <c r="F100" s="8"/>
      <c r="G100" s="8"/>
      <c r="H100" s="8"/>
      <c r="I100" s="8"/>
      <c r="J100" s="8"/>
      <c r="L100" s="8"/>
      <c r="M100" s="8">
        <v>959</v>
      </c>
      <c r="N100" s="7"/>
      <c r="O100" s="8"/>
      <c r="R100">
        <v>1</v>
      </c>
      <c r="U100" s="42"/>
    </row>
    <row r="101" spans="1:21" x14ac:dyDescent="0.35">
      <c r="A101" s="2">
        <v>43213</v>
      </c>
      <c r="B101" s="8">
        <v>0</v>
      </c>
      <c r="C101" s="8">
        <v>0</v>
      </c>
      <c r="D101" s="8">
        <v>0</v>
      </c>
      <c r="E101" s="8">
        <v>0</v>
      </c>
      <c r="F101" s="8">
        <v>8</v>
      </c>
      <c r="G101" s="8">
        <v>24</v>
      </c>
      <c r="H101" s="8">
        <v>68</v>
      </c>
      <c r="I101" s="8">
        <v>0</v>
      </c>
      <c r="J101" s="8">
        <v>0</v>
      </c>
      <c r="K101">
        <f t="shared" si="0"/>
        <v>100</v>
      </c>
      <c r="L101" s="8"/>
      <c r="M101" s="8">
        <v>5273</v>
      </c>
      <c r="N101" s="7">
        <v>68.28</v>
      </c>
      <c r="O101" s="8">
        <v>246.88</v>
      </c>
      <c r="P101" s="42">
        <v>0.90396195484707476</v>
      </c>
      <c r="R101">
        <v>7</v>
      </c>
      <c r="S101" s="8">
        <v>123.42857142857143</v>
      </c>
      <c r="T101" s="8">
        <v>2230.2857142857142</v>
      </c>
      <c r="U101" s="42">
        <v>0.76476200557428631</v>
      </c>
    </row>
    <row r="102" spans="1:21" x14ac:dyDescent="0.35">
      <c r="A102" s="2">
        <v>43214</v>
      </c>
      <c r="B102" s="8"/>
      <c r="C102" s="8"/>
      <c r="D102" s="8"/>
      <c r="E102" s="8"/>
      <c r="F102" s="8"/>
      <c r="G102" s="8"/>
      <c r="H102" s="8"/>
      <c r="I102" s="8"/>
      <c r="J102" s="8"/>
      <c r="L102" s="8"/>
      <c r="M102" s="8">
        <v>1774</v>
      </c>
      <c r="N102" s="7"/>
      <c r="O102" s="8"/>
      <c r="S102" s="8"/>
      <c r="T102" s="8"/>
      <c r="U102" s="42"/>
    </row>
    <row r="103" spans="1:21" x14ac:dyDescent="0.35">
      <c r="A103" s="2">
        <v>43215</v>
      </c>
      <c r="B103" s="8"/>
      <c r="C103" s="8"/>
      <c r="D103" s="8"/>
      <c r="E103" s="8"/>
      <c r="F103" s="8"/>
      <c r="G103" s="8"/>
      <c r="H103" s="8"/>
      <c r="I103" s="8"/>
      <c r="J103" s="8"/>
      <c r="L103" s="8"/>
      <c r="M103" s="8">
        <v>2719</v>
      </c>
      <c r="N103" s="7"/>
      <c r="O103" s="8"/>
      <c r="R103">
        <v>1</v>
      </c>
      <c r="S103" s="8"/>
      <c r="T103" s="8"/>
      <c r="U103" s="42"/>
    </row>
    <row r="104" spans="1:21" x14ac:dyDescent="0.35">
      <c r="A104" s="2">
        <v>43216</v>
      </c>
      <c r="B104" s="8"/>
      <c r="C104" s="8"/>
      <c r="D104" s="8"/>
      <c r="E104" s="8"/>
      <c r="F104" s="8"/>
      <c r="G104" s="8"/>
      <c r="H104" s="8"/>
      <c r="I104" s="8"/>
      <c r="J104" s="8"/>
      <c r="L104" s="8"/>
      <c r="M104" s="8">
        <v>1331</v>
      </c>
      <c r="N104" s="7"/>
      <c r="O104" s="8"/>
      <c r="R104">
        <v>3</v>
      </c>
      <c r="S104" s="8"/>
      <c r="T104" s="8"/>
      <c r="U104" s="42"/>
    </row>
    <row r="105" spans="1:21" x14ac:dyDescent="0.35">
      <c r="A105" s="2">
        <v>43217</v>
      </c>
      <c r="B105" s="8"/>
      <c r="C105" s="8"/>
      <c r="D105" s="8"/>
      <c r="E105" s="8"/>
      <c r="F105" s="8"/>
      <c r="G105" s="8"/>
      <c r="H105" s="8"/>
      <c r="I105" s="8"/>
      <c r="J105" s="8"/>
      <c r="L105" s="8"/>
      <c r="M105" s="8">
        <v>368</v>
      </c>
      <c r="N105" s="7"/>
      <c r="O105" s="8"/>
      <c r="S105" s="8"/>
      <c r="T105" s="8"/>
      <c r="U105" s="42"/>
    </row>
    <row r="106" spans="1:21" x14ac:dyDescent="0.35">
      <c r="A106" s="2">
        <v>43222</v>
      </c>
      <c r="B106" s="8">
        <v>0</v>
      </c>
      <c r="C106" s="8">
        <v>0</v>
      </c>
      <c r="D106" s="8">
        <v>0</v>
      </c>
      <c r="E106" s="8">
        <v>0</v>
      </c>
      <c r="F106" s="8">
        <v>8.1632653061224492</v>
      </c>
      <c r="G106" s="8">
        <v>22.448979591836736</v>
      </c>
      <c r="H106" s="8">
        <v>69.387755102040813</v>
      </c>
      <c r="I106" s="8">
        <v>0</v>
      </c>
      <c r="J106" s="8">
        <v>0</v>
      </c>
      <c r="K106">
        <f t="shared" si="0"/>
        <v>100</v>
      </c>
      <c r="L106" s="8"/>
      <c r="M106" s="8">
        <v>2389</v>
      </c>
      <c r="N106" s="7">
        <v>70.16</v>
      </c>
      <c r="O106" s="8">
        <v>303.26</v>
      </c>
      <c r="P106" s="42">
        <v>1.0218484593074795</v>
      </c>
      <c r="R106">
        <v>7</v>
      </c>
      <c r="U106" s="42">
        <v>0.97811251203872673</v>
      </c>
    </row>
    <row r="107" spans="1:21" x14ac:dyDescent="0.35">
      <c r="A107" s="2">
        <v>43227</v>
      </c>
      <c r="B107" s="8">
        <v>0</v>
      </c>
      <c r="C107" s="8">
        <v>0</v>
      </c>
      <c r="D107" s="8">
        <v>0</v>
      </c>
      <c r="E107" s="8">
        <v>1.9607843137254901</v>
      </c>
      <c r="F107" s="8">
        <v>11.76470588235294</v>
      </c>
      <c r="G107" s="8">
        <v>23.52941176470588</v>
      </c>
      <c r="H107" s="8">
        <v>58.82352941176471</v>
      </c>
      <c r="I107" s="8">
        <v>3.9215686274509802</v>
      </c>
      <c r="J107" s="8">
        <v>0</v>
      </c>
      <c r="K107">
        <f t="shared" si="0"/>
        <v>100</v>
      </c>
      <c r="L107" s="8"/>
      <c r="M107" s="8">
        <v>313</v>
      </c>
      <c r="N107" s="7">
        <v>70.92</v>
      </c>
      <c r="O107" s="8">
        <v>286.89999999999998</v>
      </c>
      <c r="P107" s="42">
        <v>0.93703930305862537</v>
      </c>
      <c r="U107" s="42"/>
    </row>
    <row r="108" spans="1:21" x14ac:dyDescent="0.35">
      <c r="A108" s="2">
        <v>43234</v>
      </c>
      <c r="B108" s="8">
        <v>0</v>
      </c>
      <c r="C108" s="8">
        <v>0</v>
      </c>
      <c r="D108" s="8">
        <v>0</v>
      </c>
      <c r="E108" s="8">
        <v>0</v>
      </c>
      <c r="F108" s="8">
        <v>6</v>
      </c>
      <c r="G108" s="8">
        <v>10</v>
      </c>
      <c r="H108" s="8">
        <v>52</v>
      </c>
      <c r="I108" s="8">
        <v>24</v>
      </c>
      <c r="J108" s="8">
        <v>8</v>
      </c>
      <c r="K108">
        <f t="shared" si="0"/>
        <v>100</v>
      </c>
      <c r="L108" s="8"/>
      <c r="M108" s="8">
        <v>5221</v>
      </c>
      <c r="N108" s="7">
        <v>70.52</v>
      </c>
      <c r="O108" s="8">
        <v>272.86</v>
      </c>
      <c r="P108" s="42">
        <v>0.91160783149994007</v>
      </c>
      <c r="U108" s="42"/>
    </row>
    <row r="109" spans="1:21" x14ac:dyDescent="0.35">
      <c r="A109" s="2">
        <v>43242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6</v>
      </c>
      <c r="H109" s="8">
        <v>36</v>
      </c>
      <c r="I109" s="8">
        <v>42</v>
      </c>
      <c r="J109" s="8">
        <v>16</v>
      </c>
      <c r="K109">
        <f t="shared" si="0"/>
        <v>100</v>
      </c>
      <c r="L109" s="8"/>
      <c r="M109" s="8">
        <v>1535</v>
      </c>
      <c r="N109" s="7">
        <v>70.84</v>
      </c>
      <c r="O109" s="8">
        <v>274.24</v>
      </c>
      <c r="P109" s="42">
        <v>0.90857997191465334</v>
      </c>
      <c r="R109">
        <v>3</v>
      </c>
      <c r="U109" s="42"/>
    </row>
    <row r="110" spans="1:21" x14ac:dyDescent="0.35">
      <c r="A110" s="2">
        <v>43248</v>
      </c>
      <c r="B110" s="34">
        <v>0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42</v>
      </c>
      <c r="I110" s="34">
        <v>8</v>
      </c>
      <c r="J110" s="34">
        <v>50</v>
      </c>
      <c r="K110">
        <f t="shared" si="0"/>
        <v>100</v>
      </c>
      <c r="L110" s="8"/>
      <c r="M110" s="8">
        <v>86</v>
      </c>
      <c r="N110" s="7">
        <v>70.14</v>
      </c>
      <c r="O110" s="8">
        <v>237.42</v>
      </c>
      <c r="P110" s="42">
        <v>0.80547598862685443</v>
      </c>
      <c r="R110">
        <v>1</v>
      </c>
      <c r="U110" s="42"/>
    </row>
    <row r="111" spans="1:21" x14ac:dyDescent="0.35">
      <c r="A111" s="2"/>
      <c r="B111" s="8"/>
      <c r="C111" s="8"/>
      <c r="D111" s="8"/>
      <c r="E111" s="8"/>
      <c r="F111" s="8"/>
      <c r="G111" s="8"/>
      <c r="H111" s="8"/>
      <c r="I111" s="8"/>
      <c r="J111" s="8"/>
      <c r="L111" s="8"/>
      <c r="M111" s="8"/>
      <c r="N111" s="7"/>
      <c r="O111" s="8"/>
      <c r="P111" s="42"/>
      <c r="U111" s="42"/>
    </row>
    <row r="112" spans="1:21" x14ac:dyDescent="0.35">
      <c r="A112" s="2"/>
      <c r="B112" s="8"/>
      <c r="C112" s="8"/>
      <c r="D112" s="8"/>
      <c r="E112" s="8"/>
      <c r="F112" s="8"/>
      <c r="G112" s="8"/>
      <c r="H112" s="8"/>
      <c r="I112" s="8"/>
      <c r="J112" s="8"/>
      <c r="L112" s="8"/>
      <c r="M112" s="8"/>
      <c r="N112" s="7"/>
      <c r="O112" s="8"/>
      <c r="P112" s="42"/>
      <c r="U112" s="42"/>
    </row>
    <row r="113" spans="1:52" x14ac:dyDescent="0.35">
      <c r="A113" s="2"/>
      <c r="B113" s="8"/>
      <c r="C113" s="8"/>
      <c r="D113" s="8"/>
      <c r="E113" s="8"/>
      <c r="F113" s="8"/>
      <c r="G113" s="8"/>
      <c r="H113" s="8"/>
      <c r="I113" s="8"/>
      <c r="J113" s="8"/>
      <c r="L113" s="8"/>
      <c r="M113" s="8"/>
      <c r="N113" s="7"/>
      <c r="O113" s="8"/>
      <c r="P113" s="42"/>
      <c r="U113" s="42"/>
    </row>
    <row r="114" spans="1:52" x14ac:dyDescent="0.35">
      <c r="A114" s="2"/>
      <c r="B114" s="8"/>
      <c r="C114" s="8"/>
      <c r="D114" s="8"/>
      <c r="E114" s="8"/>
      <c r="F114" s="8"/>
      <c r="G114" s="8"/>
      <c r="H114" s="8"/>
      <c r="I114" s="8"/>
      <c r="J114" s="8"/>
      <c r="L114" s="8"/>
      <c r="M114" s="8"/>
      <c r="N114" s="7"/>
      <c r="O114" s="8"/>
      <c r="P114" s="42"/>
      <c r="U114" s="42"/>
    </row>
    <row r="115" spans="1:52" x14ac:dyDescent="0.35">
      <c r="K115">
        <f t="shared" si="0"/>
        <v>0</v>
      </c>
      <c r="P115" s="42"/>
      <c r="U115" s="42"/>
      <c r="Y115" t="s">
        <v>938</v>
      </c>
      <c r="AB115" t="s">
        <v>407</v>
      </c>
      <c r="AE115" t="s">
        <v>408</v>
      </c>
      <c r="AH115" t="s">
        <v>572</v>
      </c>
    </row>
    <row r="116" spans="1:52" x14ac:dyDescent="0.35">
      <c r="A116" s="45" t="s">
        <v>286</v>
      </c>
      <c r="B116" t="s">
        <v>42</v>
      </c>
      <c r="C116" t="s">
        <v>39</v>
      </c>
      <c r="D116" t="s">
        <v>40</v>
      </c>
      <c r="E116" t="s">
        <v>36</v>
      </c>
      <c r="F116" t="s">
        <v>33</v>
      </c>
      <c r="G116" t="s">
        <v>34</v>
      </c>
      <c r="H116" t="s">
        <v>32</v>
      </c>
      <c r="I116" t="s">
        <v>37</v>
      </c>
      <c r="J116" t="s">
        <v>159</v>
      </c>
      <c r="K116">
        <f t="shared" si="0"/>
        <v>0</v>
      </c>
      <c r="P116" s="42"/>
      <c r="U116" s="42"/>
      <c r="Y116" t="s">
        <v>950</v>
      </c>
      <c r="Z116" t="s">
        <v>177</v>
      </c>
      <c r="AA116" t="s">
        <v>178</v>
      </c>
      <c r="AB116" t="s">
        <v>950</v>
      </c>
      <c r="AC116" t="s">
        <v>177</v>
      </c>
      <c r="AD116" t="s">
        <v>178</v>
      </c>
      <c r="AE116" t="s">
        <v>950</v>
      </c>
      <c r="AF116" t="s">
        <v>177</v>
      </c>
      <c r="AG116" t="s">
        <v>178</v>
      </c>
      <c r="AH116" t="s">
        <v>950</v>
      </c>
      <c r="AI116" t="s">
        <v>177</v>
      </c>
      <c r="AJ116" t="s">
        <v>178</v>
      </c>
    </row>
    <row r="117" spans="1:52" x14ac:dyDescent="0.35">
      <c r="A117" s="45"/>
      <c r="P117" s="42"/>
      <c r="U117" s="42"/>
      <c r="X117" s="2">
        <v>42433</v>
      </c>
      <c r="Y117">
        <v>5</v>
      </c>
    </row>
    <row r="118" spans="1:52" x14ac:dyDescent="0.35">
      <c r="A118" s="2">
        <v>42440</v>
      </c>
      <c r="B118" s="8">
        <v>0</v>
      </c>
      <c r="C118" s="8">
        <v>23.214285714285715</v>
      </c>
      <c r="D118" s="8">
        <v>8.9285714285714288</v>
      </c>
      <c r="E118" s="8">
        <v>19.642857142857142</v>
      </c>
      <c r="F118" s="8">
        <v>8.9285714285714288</v>
      </c>
      <c r="G118" s="8">
        <v>33.928571428571431</v>
      </c>
      <c r="H118" s="8">
        <v>3.5714285714285712</v>
      </c>
      <c r="I118" s="8">
        <v>1.7857142857142856</v>
      </c>
      <c r="J118" s="8">
        <v>0</v>
      </c>
      <c r="K118">
        <f t="shared" si="0"/>
        <v>100.00000000000001</v>
      </c>
      <c r="M118">
        <f t="shared" ref="M118:M128" si="4">SUM(M60,M3)</f>
        <v>56</v>
      </c>
      <c r="N118" s="7">
        <v>72.821428571428569</v>
      </c>
      <c r="O118" s="8">
        <v>330.80357142857144</v>
      </c>
      <c r="P118" s="42">
        <v>0.85020224227089025</v>
      </c>
      <c r="R118">
        <f t="shared" ref="R118:R128" si="5">R3+R60</f>
        <v>0</v>
      </c>
      <c r="U118" s="42"/>
      <c r="X118" s="2">
        <v>42440</v>
      </c>
      <c r="Y118">
        <v>56</v>
      </c>
      <c r="Z118">
        <v>0</v>
      </c>
      <c r="AA118">
        <v>30</v>
      </c>
      <c r="AB118" s="7">
        <v>72.821428571428569</v>
      </c>
      <c r="AD118" s="7">
        <v>73.7</v>
      </c>
      <c r="AE118" s="8">
        <v>330.80357142857144</v>
      </c>
      <c r="AG118" s="8">
        <v>348.93103448275861</v>
      </c>
      <c r="AH118" s="42">
        <v>0.85020224227089025</v>
      </c>
      <c r="AJ118" s="42">
        <v>1.0165201485003152</v>
      </c>
      <c r="AQ118" s="2"/>
      <c r="AR118" s="42"/>
      <c r="AS118" s="42"/>
      <c r="AT118" s="42"/>
      <c r="AU118" s="8"/>
      <c r="AW118" s="8"/>
      <c r="AX118" s="42"/>
      <c r="AY118" s="42"/>
      <c r="AZ118" s="42"/>
    </row>
    <row r="119" spans="1:52" x14ac:dyDescent="0.35">
      <c r="A119" s="2">
        <v>42447</v>
      </c>
      <c r="B119" s="8">
        <v>0</v>
      </c>
      <c r="C119" s="8">
        <v>24.762084592145015</v>
      </c>
      <c r="D119" s="8">
        <v>10.109516616314201</v>
      </c>
      <c r="E119" s="8">
        <v>18.791540785498491</v>
      </c>
      <c r="F119" s="8">
        <v>10.299848942598187</v>
      </c>
      <c r="G119" s="8">
        <v>34.110271903323266</v>
      </c>
      <c r="H119" s="8">
        <v>1.9267371601208461</v>
      </c>
      <c r="I119" s="8">
        <v>0</v>
      </c>
      <c r="J119" s="8">
        <v>0</v>
      </c>
      <c r="K119">
        <f t="shared" si="0"/>
        <v>100.00000000000001</v>
      </c>
      <c r="L119" s="8"/>
      <c r="M119">
        <f t="shared" si="4"/>
        <v>1324</v>
      </c>
      <c r="N119" s="7">
        <f>((M4*N4)+(M61*N61))/(M4+M61)</f>
        <v>71.820845921450157</v>
      </c>
      <c r="O119" s="8">
        <f>((M4*O4)+(M61*O61))/(M4+M61)</f>
        <v>314.43717522658613</v>
      </c>
      <c r="P119" s="42">
        <f>((M4*P4)+(M61*P61))/(M4+M61)</f>
        <v>0.98559943841346076</v>
      </c>
      <c r="R119">
        <f t="shared" si="5"/>
        <v>1</v>
      </c>
      <c r="U119" s="42"/>
      <c r="X119" s="2">
        <v>42447</v>
      </c>
      <c r="Y119">
        <v>1324</v>
      </c>
      <c r="Z119">
        <v>13</v>
      </c>
      <c r="AA119">
        <v>17</v>
      </c>
      <c r="AB119" s="7">
        <v>71.820845921450157</v>
      </c>
      <c r="AD119" s="7">
        <v>71.705882352941174</v>
      </c>
      <c r="AE119" s="8">
        <v>314.43717522658613</v>
      </c>
      <c r="AG119" s="8">
        <v>311.88235294117646</v>
      </c>
      <c r="AH119" s="42">
        <v>0.98559943841346076</v>
      </c>
      <c r="AJ119" s="42">
        <v>0.98412309818301036</v>
      </c>
      <c r="AQ119" s="2"/>
      <c r="AR119" s="42"/>
      <c r="AS119" s="42"/>
      <c r="AT119" s="42"/>
      <c r="AU119" s="8"/>
      <c r="AW119" s="8"/>
      <c r="AX119" s="42"/>
      <c r="AY119" s="42"/>
      <c r="AZ119" s="42"/>
    </row>
    <row r="120" spans="1:52" x14ac:dyDescent="0.35">
      <c r="A120" s="13">
        <v>42454</v>
      </c>
      <c r="B120" s="8">
        <v>0</v>
      </c>
      <c r="C120" s="8">
        <v>1.9607843137254901</v>
      </c>
      <c r="D120" s="8">
        <v>11.76470588235294</v>
      </c>
      <c r="E120" s="8">
        <v>5.8823529411764701</v>
      </c>
      <c r="F120" s="8">
        <v>37.254901960784316</v>
      </c>
      <c r="G120" s="8">
        <v>39.215686274509807</v>
      </c>
      <c r="H120" s="8">
        <v>3.9215686274509802</v>
      </c>
      <c r="I120" s="8">
        <v>0</v>
      </c>
      <c r="J120" s="8">
        <v>0</v>
      </c>
      <c r="K120">
        <f t="shared" si="0"/>
        <v>100</v>
      </c>
      <c r="L120" s="8"/>
      <c r="M120">
        <f t="shared" si="4"/>
        <v>3114</v>
      </c>
      <c r="N120" s="7">
        <v>70.549019607843135</v>
      </c>
      <c r="O120" s="8">
        <v>289.29411764705884</v>
      </c>
      <c r="P120" s="42">
        <v>0.815828059419346</v>
      </c>
      <c r="Q120" s="8"/>
      <c r="R120">
        <f t="shared" si="5"/>
        <v>8</v>
      </c>
      <c r="S120">
        <v>114</v>
      </c>
      <c r="T120" s="8">
        <v>1710.25</v>
      </c>
      <c r="U120" s="42"/>
      <c r="X120" s="13">
        <v>42454</v>
      </c>
      <c r="Y120">
        <v>3114</v>
      </c>
      <c r="Z120">
        <v>90</v>
      </c>
      <c r="AA120">
        <v>52</v>
      </c>
      <c r="AB120" s="7">
        <v>70.549019607843135</v>
      </c>
      <c r="AC120" s="7">
        <v>71.109090909090909</v>
      </c>
      <c r="AD120" s="7">
        <v>72.634615384615387</v>
      </c>
      <c r="AE120" s="8">
        <v>289.29411764705884</v>
      </c>
      <c r="AF120" s="8">
        <v>301.03636363636366</v>
      </c>
      <c r="AG120" s="8">
        <v>339.03846153846155</v>
      </c>
      <c r="AH120" s="42">
        <v>0.815828059419346</v>
      </c>
      <c r="AI120" s="42">
        <v>0.97107724618239166</v>
      </c>
      <c r="AJ120" s="42">
        <v>1.0352939231937621</v>
      </c>
      <c r="AQ120" s="13"/>
      <c r="AR120" s="42"/>
      <c r="AS120" s="42"/>
      <c r="AT120" s="42"/>
      <c r="AU120" s="8"/>
      <c r="AV120" s="8"/>
      <c r="AW120" s="8"/>
      <c r="AX120" s="42"/>
      <c r="AY120" s="42"/>
      <c r="AZ120" s="42"/>
    </row>
    <row r="121" spans="1:52" x14ac:dyDescent="0.35">
      <c r="A121" s="2">
        <v>42461</v>
      </c>
      <c r="B121" s="8">
        <v>0</v>
      </c>
      <c r="C121" s="8">
        <v>1.9999999999999998</v>
      </c>
      <c r="D121" s="8">
        <v>1.0057374878630063</v>
      </c>
      <c r="E121" s="8">
        <v>3.9999999999999996</v>
      </c>
      <c r="F121" s="8">
        <v>26</v>
      </c>
      <c r="G121" s="8">
        <v>57.977050048547973</v>
      </c>
      <c r="H121" s="8">
        <v>9.0172124635890185</v>
      </c>
      <c r="I121" s="8">
        <v>0</v>
      </c>
      <c r="J121" s="8">
        <v>0</v>
      </c>
      <c r="K121">
        <f t="shared" si="0"/>
        <v>99.999999999999986</v>
      </c>
      <c r="L121" s="8"/>
      <c r="M121">
        <f t="shared" si="4"/>
        <v>11329</v>
      </c>
      <c r="N121" s="7">
        <f t="shared" ref="N121:N129" si="6">((M6*N6)+(M63*N63))/(M6+M63)</f>
        <v>71.275794862741634</v>
      </c>
      <c r="O121" s="8">
        <f t="shared" ref="O121:O129" si="7">((M6*O6)+(M63*O63))/(M6+M63)</f>
        <v>315.59305499161439</v>
      </c>
      <c r="P121" s="42">
        <f t="shared" ref="P121:P129" si="8">((M6*P6)+(M63*P63))/(M6+M63)</f>
        <v>1.0169256616894047</v>
      </c>
      <c r="R121">
        <f t="shared" si="5"/>
        <v>77</v>
      </c>
      <c r="S121" s="8">
        <v>113.22077922077922</v>
      </c>
      <c r="T121" s="8">
        <v>2755.7402597402597</v>
      </c>
      <c r="U121" s="42">
        <v>1.2767920915787478</v>
      </c>
      <c r="X121" s="2">
        <v>42461</v>
      </c>
      <c r="Y121">
        <v>11329</v>
      </c>
      <c r="Z121">
        <v>7</v>
      </c>
      <c r="AA121">
        <v>16</v>
      </c>
      <c r="AB121" s="7">
        <v>71.275794862741634</v>
      </c>
      <c r="AC121" s="7">
        <v>70.714285714285708</v>
      </c>
      <c r="AD121" s="7">
        <v>72.8125</v>
      </c>
      <c r="AE121" s="8">
        <v>315.59305499161439</v>
      </c>
      <c r="AF121" s="8">
        <v>294.71428571428572</v>
      </c>
      <c r="AG121" s="8">
        <v>335.625</v>
      </c>
      <c r="AH121" s="42">
        <v>1.0169256616894047</v>
      </c>
      <c r="AI121" s="42">
        <v>0.96327728973589954</v>
      </c>
      <c r="AJ121" s="42">
        <v>1.0096744294139668</v>
      </c>
      <c r="AQ121" s="2"/>
      <c r="AR121" s="42"/>
      <c r="AS121" s="42"/>
      <c r="AT121" s="42"/>
      <c r="AU121" s="8"/>
      <c r="AV121" s="8"/>
      <c r="AW121" s="8"/>
      <c r="AX121" s="42"/>
      <c r="AY121" s="42"/>
      <c r="AZ121" s="42"/>
    </row>
    <row r="122" spans="1:52" x14ac:dyDescent="0.35">
      <c r="A122" s="2">
        <v>42468</v>
      </c>
      <c r="B122" s="8">
        <v>0</v>
      </c>
      <c r="C122" s="8">
        <v>0</v>
      </c>
      <c r="D122" s="8">
        <v>0</v>
      </c>
      <c r="E122" s="8">
        <v>0</v>
      </c>
      <c r="F122" s="8">
        <v>28.960847240051351</v>
      </c>
      <c r="G122" s="8">
        <v>50.958921694480111</v>
      </c>
      <c r="H122" s="8">
        <v>20.080231065468553</v>
      </c>
      <c r="I122" s="8">
        <v>0</v>
      </c>
      <c r="J122" s="8">
        <v>0</v>
      </c>
      <c r="K122">
        <f t="shared" ref="K122:K244" si="9">SUM(B122:J122)</f>
        <v>100.00000000000001</v>
      </c>
      <c r="L122" s="8"/>
      <c r="M122">
        <f t="shared" si="4"/>
        <v>3116</v>
      </c>
      <c r="N122" s="7">
        <f t="shared" si="6"/>
        <v>70.125616174582802</v>
      </c>
      <c r="O122" s="8">
        <f t="shared" si="7"/>
        <v>286.53281771501923</v>
      </c>
      <c r="P122" s="42">
        <f t="shared" si="8"/>
        <v>0.96070337144874851</v>
      </c>
      <c r="R122">
        <f t="shared" si="5"/>
        <v>84</v>
      </c>
      <c r="S122" s="8">
        <v>108.94047619047619</v>
      </c>
      <c r="T122" s="8">
        <v>1908.4642857142858</v>
      </c>
      <c r="U122" s="42">
        <v>1.2241956153211806</v>
      </c>
      <c r="X122" s="2">
        <v>42468</v>
      </c>
      <c r="Y122">
        <v>3116</v>
      </c>
      <c r="Z122">
        <v>3</v>
      </c>
      <c r="AA122">
        <v>2</v>
      </c>
      <c r="AB122" s="7">
        <v>70.125616174582802</v>
      </c>
      <c r="AC122" s="7"/>
      <c r="AD122" s="7"/>
      <c r="AE122" s="8">
        <v>286.53281771501923</v>
      </c>
      <c r="AF122" s="8"/>
      <c r="AG122" s="8"/>
      <c r="AH122" s="42">
        <v>0.96070337144874851</v>
      </c>
      <c r="AI122" s="42">
        <v>1.0241288005218374</v>
      </c>
      <c r="AJ122" s="42"/>
      <c r="AQ122" s="2"/>
      <c r="AR122" s="42"/>
      <c r="AS122" s="42"/>
      <c r="AT122" s="42"/>
      <c r="AU122" s="8"/>
      <c r="AV122" s="8"/>
      <c r="AW122" s="8"/>
      <c r="AX122" s="42"/>
      <c r="AY122" s="42"/>
      <c r="AZ122" s="42"/>
    </row>
    <row r="123" spans="1:52" x14ac:dyDescent="0.35">
      <c r="A123" s="2">
        <v>42475</v>
      </c>
      <c r="B123" s="8">
        <v>0</v>
      </c>
      <c r="C123" s="8">
        <v>0</v>
      </c>
      <c r="D123" s="8">
        <v>0</v>
      </c>
      <c r="E123" s="8">
        <v>0</v>
      </c>
      <c r="F123" s="8">
        <v>2</v>
      </c>
      <c r="G123" s="8">
        <v>63.46174617461746</v>
      </c>
      <c r="H123" s="8">
        <v>34.53825382538254</v>
      </c>
      <c r="I123" s="8">
        <v>0</v>
      </c>
      <c r="J123" s="8">
        <v>0</v>
      </c>
      <c r="K123">
        <f t="shared" si="9"/>
        <v>100</v>
      </c>
      <c r="L123" s="8"/>
      <c r="M123">
        <f t="shared" si="4"/>
        <v>2222</v>
      </c>
      <c r="N123" s="7">
        <f t="shared" si="6"/>
        <v>70.062304230423038</v>
      </c>
      <c r="O123" s="8">
        <f t="shared" si="7"/>
        <v>285.60736273627361</v>
      </c>
      <c r="P123" s="42">
        <f t="shared" si="8"/>
        <v>0.97621858818760199</v>
      </c>
      <c r="R123">
        <f t="shared" si="5"/>
        <v>69</v>
      </c>
      <c r="S123" s="8">
        <v>99.956521739130437</v>
      </c>
      <c r="T123" s="8">
        <v>1292.623188405797</v>
      </c>
      <c r="U123" s="42">
        <v>1.2509252209115913</v>
      </c>
      <c r="X123" s="2">
        <v>42475</v>
      </c>
      <c r="Y123">
        <v>2222</v>
      </c>
      <c r="Z123">
        <v>24</v>
      </c>
      <c r="AA123">
        <v>13</v>
      </c>
      <c r="AB123" s="7">
        <v>70.062304230423038</v>
      </c>
      <c r="AC123" s="7">
        <v>69.666666666666671</v>
      </c>
      <c r="AD123" s="7">
        <v>71.307692307692307</v>
      </c>
      <c r="AE123" s="8">
        <v>285.60736273627361</v>
      </c>
      <c r="AF123" s="8">
        <v>287.83333333333331</v>
      </c>
      <c r="AG123" s="8">
        <v>281.30769230769232</v>
      </c>
      <c r="AH123" s="42">
        <v>0.97621858818760199</v>
      </c>
      <c r="AI123" s="42">
        <v>0.97766597075578543</v>
      </c>
      <c r="AJ123" s="42">
        <v>0.906564055600241</v>
      </c>
      <c r="AQ123" s="2"/>
      <c r="AR123" s="42"/>
      <c r="AS123" s="42"/>
      <c r="AT123" s="42"/>
      <c r="AU123" s="8"/>
      <c r="AV123" s="8"/>
      <c r="AW123" s="8"/>
      <c r="AX123" s="42"/>
      <c r="AY123" s="42"/>
      <c r="AZ123" s="42"/>
    </row>
    <row r="124" spans="1:52" x14ac:dyDescent="0.35">
      <c r="A124" s="2">
        <v>42482</v>
      </c>
      <c r="B124" s="8">
        <v>0</v>
      </c>
      <c r="C124" s="8">
        <v>0</v>
      </c>
      <c r="D124" s="8">
        <v>0</v>
      </c>
      <c r="E124" s="8">
        <v>0</v>
      </c>
      <c r="F124" s="8">
        <v>1.4338624338624339</v>
      </c>
      <c r="G124" s="8">
        <v>39.315489158626413</v>
      </c>
      <c r="H124" s="8">
        <v>59.25064840751115</v>
      </c>
      <c r="I124" s="8">
        <v>0</v>
      </c>
      <c r="J124" s="8">
        <v>0</v>
      </c>
      <c r="K124">
        <f>SUM(B124:J124)</f>
        <v>100</v>
      </c>
      <c r="L124" s="8"/>
      <c r="M124">
        <f t="shared" si="4"/>
        <v>1134</v>
      </c>
      <c r="N124" s="7">
        <f t="shared" si="6"/>
        <v>70.263181865338723</v>
      </c>
      <c r="O124" s="8">
        <f t="shared" si="7"/>
        <v>289.97314244216204</v>
      </c>
      <c r="P124" s="42">
        <f t="shared" si="8"/>
        <v>0.97060853441755268</v>
      </c>
      <c r="R124">
        <f t="shared" si="5"/>
        <v>80</v>
      </c>
      <c r="S124" s="8">
        <v>104.175</v>
      </c>
      <c r="T124" s="8">
        <v>1394.4749999999999</v>
      </c>
      <c r="U124" s="42">
        <v>1.1683774146833774</v>
      </c>
      <c r="X124" s="2">
        <v>42482</v>
      </c>
      <c r="Y124">
        <v>1134</v>
      </c>
      <c r="Z124">
        <v>13</v>
      </c>
      <c r="AA124">
        <v>2</v>
      </c>
      <c r="AB124" s="7">
        <v>70.263181865338723</v>
      </c>
      <c r="AC124" s="7">
        <v>71.461538461538467</v>
      </c>
      <c r="AD124" s="7"/>
      <c r="AE124" s="8">
        <v>289.97314244216204</v>
      </c>
      <c r="AF124" s="8">
        <v>306.53846153846155</v>
      </c>
      <c r="AG124" s="8"/>
      <c r="AH124" s="42">
        <v>0.97060853441755268</v>
      </c>
      <c r="AI124" s="42">
        <v>0.98858582369340842</v>
      </c>
      <c r="AQ124" s="2"/>
      <c r="AR124" s="42"/>
      <c r="AS124" s="42"/>
      <c r="AT124" s="42"/>
      <c r="AU124" s="8"/>
      <c r="AV124" s="8"/>
      <c r="AW124" s="8"/>
      <c r="AX124" s="42"/>
      <c r="AY124" s="42"/>
      <c r="AZ124" s="42"/>
    </row>
    <row r="125" spans="1:52" x14ac:dyDescent="0.35">
      <c r="A125" s="2">
        <v>42489</v>
      </c>
      <c r="B125" s="8">
        <v>0</v>
      </c>
      <c r="C125" s="8">
        <v>0</v>
      </c>
      <c r="D125" s="8">
        <v>0</v>
      </c>
      <c r="E125" s="8">
        <v>0</v>
      </c>
      <c r="F125" s="8">
        <v>4</v>
      </c>
      <c r="G125" s="8">
        <v>42.506756756756751</v>
      </c>
      <c r="H125" s="8">
        <v>53.493243243243249</v>
      </c>
      <c r="I125" s="8">
        <v>0</v>
      </c>
      <c r="J125" s="8">
        <v>0</v>
      </c>
      <c r="K125">
        <f t="shared" si="9"/>
        <v>100</v>
      </c>
      <c r="L125" s="8"/>
      <c r="M125">
        <f t="shared" si="4"/>
        <v>296</v>
      </c>
      <c r="N125" s="7">
        <f t="shared" si="6"/>
        <v>70.561081081081085</v>
      </c>
      <c r="O125" s="8">
        <f t="shared" si="7"/>
        <v>303.80506756756756</v>
      </c>
      <c r="P125" s="42">
        <f t="shared" si="8"/>
        <v>1.0087820359105271</v>
      </c>
      <c r="R125">
        <f t="shared" si="5"/>
        <v>19</v>
      </c>
      <c r="S125" s="8">
        <v>100.15789473684211</v>
      </c>
      <c r="T125" s="8">
        <v>1307</v>
      </c>
      <c r="U125" s="42">
        <v>1.2272700795552356</v>
      </c>
      <c r="X125" s="2">
        <v>42489</v>
      </c>
      <c r="Y125">
        <v>296</v>
      </c>
      <c r="Z125">
        <v>10</v>
      </c>
      <c r="AA125">
        <v>0</v>
      </c>
      <c r="AB125" s="7">
        <v>70.561081081081085</v>
      </c>
      <c r="AC125" s="7">
        <v>68.5</v>
      </c>
      <c r="AD125" s="7"/>
      <c r="AE125" s="8">
        <v>303.80506756756756</v>
      </c>
      <c r="AF125" s="8">
        <v>287.3</v>
      </c>
      <c r="AG125" s="8"/>
      <c r="AH125" s="42">
        <v>1.0087820359105271</v>
      </c>
      <c r="AI125" s="42">
        <v>1.0283818581934538</v>
      </c>
      <c r="AQ125" s="2"/>
      <c r="AR125" s="42"/>
      <c r="AS125" s="42"/>
      <c r="AT125" s="42"/>
      <c r="AU125" s="8"/>
      <c r="AV125" s="8"/>
      <c r="AW125" s="8"/>
      <c r="AX125" s="42"/>
      <c r="AY125" s="42"/>
      <c r="AZ125" s="42"/>
    </row>
    <row r="126" spans="1:52" x14ac:dyDescent="0.35">
      <c r="A126" s="2">
        <v>42494</v>
      </c>
      <c r="B126" s="8">
        <v>0</v>
      </c>
      <c r="C126" s="8">
        <v>0</v>
      </c>
      <c r="D126" s="8">
        <v>0</v>
      </c>
      <c r="E126" s="8">
        <v>0</v>
      </c>
      <c r="F126" s="8">
        <v>3.1172413793103448</v>
      </c>
      <c r="G126" s="8">
        <v>36.000000000000007</v>
      </c>
      <c r="H126" s="8">
        <v>60.882758620689657</v>
      </c>
      <c r="I126" s="8">
        <v>0</v>
      </c>
      <c r="J126" s="8">
        <v>0</v>
      </c>
      <c r="K126">
        <f t="shared" si="9"/>
        <v>100</v>
      </c>
      <c r="L126" s="8"/>
      <c r="M126">
        <f t="shared" si="4"/>
        <v>145</v>
      </c>
      <c r="N126" s="7">
        <f t="shared" si="6"/>
        <v>70.448275862068968</v>
      </c>
      <c r="O126" s="8">
        <f t="shared" si="7"/>
        <v>314.79131034482759</v>
      </c>
      <c r="P126" s="42">
        <f t="shared" si="8"/>
        <v>1.0597109904889148</v>
      </c>
      <c r="R126">
        <f t="shared" si="5"/>
        <v>57</v>
      </c>
      <c r="S126" s="8">
        <v>101.6140350877193</v>
      </c>
      <c r="T126" s="8">
        <v>1391.7894736842106</v>
      </c>
      <c r="U126" s="42">
        <v>1.2189491356836317</v>
      </c>
      <c r="X126" s="2">
        <v>42494</v>
      </c>
      <c r="Y126">
        <v>145</v>
      </c>
      <c r="Z126">
        <v>8</v>
      </c>
      <c r="AB126" s="7">
        <v>70.448275862068968</v>
      </c>
      <c r="AC126" s="7">
        <v>69.375</v>
      </c>
      <c r="AD126" s="7"/>
      <c r="AE126" s="8">
        <v>314.79131034482759</v>
      </c>
      <c r="AF126" s="8">
        <v>317</v>
      </c>
      <c r="AG126" s="8"/>
      <c r="AH126" s="42">
        <v>1.0597109904889148</v>
      </c>
      <c r="AI126" s="42">
        <v>1.1121801350172258</v>
      </c>
      <c r="AQ126" s="2"/>
      <c r="AR126" s="42"/>
      <c r="AS126" s="42"/>
      <c r="AT126" s="42"/>
      <c r="AU126" s="8"/>
      <c r="AV126" s="8"/>
      <c r="AW126" s="8"/>
      <c r="AX126" s="42"/>
      <c r="AY126" s="42"/>
      <c r="AZ126" s="42"/>
    </row>
    <row r="127" spans="1:52" x14ac:dyDescent="0.35">
      <c r="A127" s="2">
        <v>42503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53.699897225077073</v>
      </c>
      <c r="I127" s="8">
        <v>30.912641315519014</v>
      </c>
      <c r="J127" s="8">
        <v>15.387461459403909</v>
      </c>
      <c r="K127">
        <f t="shared" si="9"/>
        <v>100</v>
      </c>
      <c r="L127" s="8"/>
      <c r="M127">
        <f t="shared" si="4"/>
        <v>556</v>
      </c>
      <c r="N127" s="7">
        <f t="shared" si="6"/>
        <v>69.930688591983568</v>
      </c>
      <c r="O127" s="8">
        <f t="shared" si="7"/>
        <v>276.48914696813978</v>
      </c>
      <c r="P127" s="42">
        <f t="shared" si="8"/>
        <v>0.95103878954606813</v>
      </c>
      <c r="R127">
        <f t="shared" si="5"/>
        <v>89</v>
      </c>
      <c r="S127" s="8">
        <v>102.21348314606742</v>
      </c>
      <c r="T127" s="8">
        <v>1282.056179775281</v>
      </c>
      <c r="U127" s="42">
        <v>1.1320326899874102</v>
      </c>
      <c r="X127" s="2">
        <v>42503</v>
      </c>
      <c r="Y127">
        <v>556</v>
      </c>
      <c r="Z127">
        <v>103</v>
      </c>
      <c r="AB127" s="7">
        <v>69.930688591983568</v>
      </c>
      <c r="AC127" s="7">
        <v>71.097087378640779</v>
      </c>
      <c r="AD127" s="7"/>
      <c r="AE127" s="8">
        <v>276.48914696813978</v>
      </c>
      <c r="AF127" s="8">
        <v>333.11650485436894</v>
      </c>
      <c r="AG127" s="8"/>
      <c r="AH127" s="42">
        <v>0.95103878954606813</v>
      </c>
      <c r="AI127" s="42">
        <v>1.0780113283208652</v>
      </c>
      <c r="AQ127" s="2"/>
      <c r="AR127" s="42"/>
      <c r="AS127" s="42"/>
      <c r="AT127" s="42"/>
      <c r="AU127" s="8"/>
      <c r="AV127" s="8"/>
      <c r="AW127" s="8"/>
      <c r="AX127" s="42"/>
      <c r="AY127" s="42"/>
      <c r="AZ127" s="42"/>
    </row>
    <row r="128" spans="1:52" x14ac:dyDescent="0.35">
      <c r="A128" s="2">
        <v>42510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8.1319073083778957</v>
      </c>
      <c r="I128" s="8">
        <v>27.204991087344027</v>
      </c>
      <c r="J128" s="8">
        <v>64.663101604278069</v>
      </c>
      <c r="K128">
        <f t="shared" si="9"/>
        <v>100</v>
      </c>
      <c r="L128" s="8"/>
      <c r="M128">
        <f t="shared" si="4"/>
        <v>187</v>
      </c>
      <c r="N128" s="7">
        <f t="shared" si="6"/>
        <v>69.540463458110509</v>
      </c>
      <c r="O128" s="8">
        <f t="shared" si="7"/>
        <v>300.77782531194293</v>
      </c>
      <c r="P128" s="42">
        <f t="shared" si="8"/>
        <v>1.0455249339092101</v>
      </c>
      <c r="R128">
        <f t="shared" si="5"/>
        <v>18</v>
      </c>
      <c r="S128" s="8">
        <v>102.38888888888889</v>
      </c>
      <c r="T128" s="8">
        <v>1469.5555555555557</v>
      </c>
      <c r="U128" s="42">
        <v>1.2390991490054126</v>
      </c>
      <c r="X128" s="2">
        <v>42510</v>
      </c>
      <c r="Y128">
        <v>187</v>
      </c>
      <c r="Z128">
        <v>125</v>
      </c>
      <c r="AB128" s="7">
        <v>69.540463458110509</v>
      </c>
      <c r="AC128" s="7">
        <v>69.288135593220332</v>
      </c>
      <c r="AE128" s="8">
        <v>300.77782531194293</v>
      </c>
      <c r="AF128" s="8">
        <v>328.31932773109241</v>
      </c>
      <c r="AH128" s="42">
        <v>1.0455249339092101</v>
      </c>
      <c r="AI128" s="42">
        <v>1.1669121332351196</v>
      </c>
      <c r="AQ128" s="2"/>
      <c r="AR128" s="42"/>
      <c r="AS128" s="42"/>
      <c r="AT128" s="42"/>
      <c r="AU128" s="8"/>
      <c r="AV128" s="8"/>
      <c r="AX128" s="42"/>
      <c r="AY128" s="42"/>
      <c r="AZ128" s="42"/>
    </row>
    <row r="129" spans="1:52" x14ac:dyDescent="0.35">
      <c r="A129" s="2">
        <v>42517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4.8076923076923084</v>
      </c>
      <c r="I129" s="8">
        <v>20.192307692307693</v>
      </c>
      <c r="J129" s="8">
        <v>75</v>
      </c>
      <c r="K129">
        <f t="shared" si="9"/>
        <v>100</v>
      </c>
      <c r="L129" s="8"/>
      <c r="M129" s="8">
        <v>193</v>
      </c>
      <c r="N129" s="7">
        <f t="shared" si="6"/>
        <v>69.067961165048544</v>
      </c>
      <c r="O129" s="8">
        <f t="shared" si="7"/>
        <v>295.92233009708735</v>
      </c>
      <c r="P129" s="42">
        <f t="shared" si="8"/>
        <v>1.0488517304218474</v>
      </c>
      <c r="R129">
        <v>13</v>
      </c>
      <c r="S129" s="8">
        <v>117.53846153846153</v>
      </c>
      <c r="T129" s="8">
        <v>2458</v>
      </c>
      <c r="U129" s="42">
        <v>1.25</v>
      </c>
      <c r="X129" s="2">
        <v>42517</v>
      </c>
      <c r="Y129">
        <v>193</v>
      </c>
      <c r="Z129">
        <v>87</v>
      </c>
      <c r="AB129" s="7">
        <v>69.067961165048544</v>
      </c>
      <c r="AC129" s="7">
        <v>70.8735632183908</v>
      </c>
      <c r="AE129" s="8">
        <v>295.92233009708735</v>
      </c>
      <c r="AF129" s="8">
        <v>359.70114942528738</v>
      </c>
      <c r="AH129" s="42">
        <v>1.0488517304218474</v>
      </c>
      <c r="AI129" s="42">
        <v>1.1749109160485109</v>
      </c>
      <c r="AQ129" s="2"/>
      <c r="AR129" s="42"/>
      <c r="AS129" s="42"/>
      <c r="AT129" s="42"/>
      <c r="AU129" s="8"/>
      <c r="AV129" s="8"/>
      <c r="AX129" s="42"/>
      <c r="AY129" s="42"/>
      <c r="AZ129" s="42"/>
    </row>
    <row r="130" spans="1:52" x14ac:dyDescent="0.35">
      <c r="A130" s="2"/>
      <c r="B130" s="8"/>
      <c r="C130" s="8"/>
      <c r="D130" s="8"/>
      <c r="E130" s="8"/>
      <c r="F130" s="8"/>
      <c r="G130" s="8"/>
      <c r="H130" s="8"/>
      <c r="I130" s="8"/>
      <c r="J130" s="8"/>
      <c r="L130" s="8"/>
      <c r="M130" s="8"/>
      <c r="N130" s="7"/>
      <c r="O130" s="8"/>
      <c r="P130" s="42"/>
      <c r="S130" s="8"/>
      <c r="T130" s="8"/>
      <c r="U130" s="42"/>
      <c r="X130" s="2"/>
      <c r="Y130" s="45">
        <f>SUM(Y118:Y129)</f>
        <v>23672</v>
      </c>
      <c r="Z130" s="45">
        <f t="shared" ref="Z130:AA130" si="10">SUM(Z118:Z129)</f>
        <v>483</v>
      </c>
      <c r="AA130" s="45">
        <f t="shared" si="10"/>
        <v>132</v>
      </c>
      <c r="AB130" s="7"/>
      <c r="AC130" s="7"/>
      <c r="AE130" s="8"/>
      <c r="AF130" s="8"/>
      <c r="AH130" s="42"/>
      <c r="AI130" s="42"/>
      <c r="AQ130" s="2"/>
      <c r="AR130" s="42"/>
      <c r="AS130" s="42"/>
      <c r="AT130" s="42"/>
      <c r="AU130" s="8"/>
      <c r="AV130" s="8"/>
      <c r="AX130" s="42"/>
      <c r="AY130" s="42"/>
      <c r="AZ130" s="42"/>
    </row>
    <row r="131" spans="1:52" x14ac:dyDescent="0.35">
      <c r="A131" s="2">
        <v>42797</v>
      </c>
      <c r="K131">
        <f t="shared" si="9"/>
        <v>0</v>
      </c>
      <c r="M131">
        <v>5</v>
      </c>
      <c r="O131" s="8"/>
      <c r="P131" s="42"/>
      <c r="R131">
        <v>0</v>
      </c>
      <c r="U131" s="42"/>
      <c r="V131" s="85"/>
      <c r="X131" s="2">
        <v>42797</v>
      </c>
      <c r="Y131">
        <v>5</v>
      </c>
      <c r="Z131">
        <v>0</v>
      </c>
      <c r="AA131">
        <v>0</v>
      </c>
      <c r="AB131" s="7"/>
      <c r="AC131" s="7"/>
      <c r="AE131" s="8"/>
      <c r="AF131" s="8"/>
      <c r="AR131" s="42"/>
      <c r="AS131" s="42"/>
      <c r="AT131" s="42"/>
      <c r="AU131" s="8"/>
      <c r="AV131" s="8"/>
      <c r="AX131" s="42"/>
      <c r="AY131" s="42"/>
      <c r="AZ131" s="42"/>
    </row>
    <row r="132" spans="1:52" x14ac:dyDescent="0.35">
      <c r="A132" s="2">
        <v>42804</v>
      </c>
      <c r="B132" s="46">
        <v>0</v>
      </c>
      <c r="C132" s="8">
        <v>61.647058823529413</v>
      </c>
      <c r="D132" s="8">
        <v>26.47058823529412</v>
      </c>
      <c r="E132" s="8">
        <v>0</v>
      </c>
      <c r="F132" s="8">
        <v>5.8823529411764701</v>
      </c>
      <c r="G132" s="8">
        <v>5.8823529411764701</v>
      </c>
      <c r="H132" s="8">
        <v>0</v>
      </c>
      <c r="I132" s="8">
        <v>0</v>
      </c>
      <c r="J132" s="8">
        <v>0</v>
      </c>
      <c r="K132" s="8">
        <f t="shared" si="9"/>
        <v>99.882352941176464</v>
      </c>
      <c r="M132" s="8">
        <f t="shared" ref="M132:M147" si="11">M73+M16</f>
        <v>34</v>
      </c>
      <c r="N132" s="7">
        <f t="shared" ref="N132:N147" si="12">((M16*N16)+(M73*N73))/(M16+M73)</f>
        <v>72.970588235294116</v>
      </c>
      <c r="O132" s="8">
        <f t="shared" ref="O132:O147" si="13">((M16*O16)+(M73*O73))/(M16+M73)</f>
        <v>326.8235294117647</v>
      </c>
      <c r="P132" s="42">
        <f t="shared" ref="P132:P147" si="14">((M16*P16)+(M73*P73))/(M16+M73)</f>
        <v>0.98559705126646335</v>
      </c>
      <c r="R132">
        <f t="shared" ref="R132:R147" si="15">R16+R73</f>
        <v>1</v>
      </c>
      <c r="U132" s="42"/>
      <c r="V132" s="85"/>
      <c r="X132" s="2">
        <v>42804</v>
      </c>
      <c r="Y132">
        <v>34</v>
      </c>
      <c r="Z132">
        <v>0</v>
      </c>
      <c r="AA132">
        <v>36</v>
      </c>
      <c r="AB132" s="7">
        <v>72.970588235294116</v>
      </c>
      <c r="AC132" s="7"/>
      <c r="AD132" s="7">
        <v>70.083333333333329</v>
      </c>
      <c r="AE132" s="8">
        <v>326.8235294117647</v>
      </c>
      <c r="AF132" s="8"/>
      <c r="AG132" s="8">
        <v>290.66666666666669</v>
      </c>
      <c r="AH132" s="42">
        <v>0.98559705126646335</v>
      </c>
      <c r="AJ132" s="42">
        <v>0.9863528274482215</v>
      </c>
      <c r="AQ132" s="2"/>
      <c r="AR132" s="42"/>
      <c r="AS132" s="42"/>
      <c r="AT132" s="42"/>
      <c r="AU132" s="8"/>
      <c r="AV132" s="8"/>
      <c r="AW132" s="8"/>
      <c r="AX132" s="42"/>
      <c r="AY132" s="42"/>
      <c r="AZ132" s="42"/>
    </row>
    <row r="133" spans="1:52" x14ac:dyDescent="0.35">
      <c r="A133" s="2">
        <v>42807</v>
      </c>
      <c r="B133" s="8">
        <v>0</v>
      </c>
      <c r="C133" s="8">
        <v>45.270691927512352</v>
      </c>
      <c r="D133" s="8">
        <v>17.561779242174627</v>
      </c>
      <c r="E133" s="8">
        <v>4.5140032948929152</v>
      </c>
      <c r="F133" s="8">
        <v>17.561779242174627</v>
      </c>
      <c r="G133" s="8">
        <v>15.090609555189454</v>
      </c>
      <c r="H133" s="8">
        <v>0</v>
      </c>
      <c r="I133" s="8">
        <v>0</v>
      </c>
      <c r="J133" s="8">
        <v>0</v>
      </c>
      <c r="K133" s="8">
        <f t="shared" si="9"/>
        <v>99.998863261943981</v>
      </c>
      <c r="M133" s="8">
        <f t="shared" si="11"/>
        <v>607</v>
      </c>
      <c r="N133" s="7">
        <f t="shared" si="12"/>
        <v>70.5492586490939</v>
      </c>
      <c r="O133" s="8">
        <f t="shared" si="13"/>
        <v>297.39143327841845</v>
      </c>
      <c r="P133" s="42">
        <f t="shared" si="14"/>
        <v>0.98435148361588098</v>
      </c>
      <c r="R133">
        <f t="shared" si="15"/>
        <v>7</v>
      </c>
      <c r="S133" s="8">
        <v>114.42857142857143</v>
      </c>
      <c r="T133" s="8">
        <v>1821.2857142857142</v>
      </c>
      <c r="U133" s="42">
        <v>1.1489002390850303</v>
      </c>
      <c r="X133" s="2">
        <v>42807</v>
      </c>
      <c r="Y133">
        <v>607</v>
      </c>
      <c r="AB133" s="7">
        <v>70.5492586490939</v>
      </c>
      <c r="AE133" s="8">
        <v>297.39143327841845</v>
      </c>
      <c r="AH133" s="42">
        <v>0.98435148361588098</v>
      </c>
      <c r="AQ133" s="2"/>
      <c r="AR133" s="42"/>
      <c r="AS133" s="42"/>
      <c r="AT133" s="42"/>
      <c r="AU133" s="8"/>
      <c r="AX133" s="42"/>
      <c r="AY133" s="42"/>
      <c r="AZ133" s="42"/>
    </row>
    <row r="134" spans="1:52" x14ac:dyDescent="0.35">
      <c r="A134" s="2">
        <v>42811</v>
      </c>
      <c r="B134" s="8">
        <v>0</v>
      </c>
      <c r="C134" s="8">
        <v>33.208682430019081</v>
      </c>
      <c r="D134" s="8">
        <v>21.362084273045483</v>
      </c>
      <c r="E134" s="8">
        <v>2.51808839587309</v>
      </c>
      <c r="F134" s="8">
        <v>31.716933187741724</v>
      </c>
      <c r="G134" s="8">
        <v>10.167872559724874</v>
      </c>
      <c r="H134" s="8">
        <v>1.0263391535957385</v>
      </c>
      <c r="I134" s="8">
        <v>0</v>
      </c>
      <c r="J134" s="8">
        <v>0</v>
      </c>
      <c r="K134">
        <f t="shared" si="9"/>
        <v>100</v>
      </c>
      <c r="M134" s="8">
        <f t="shared" si="11"/>
        <v>3379</v>
      </c>
      <c r="N134" s="7">
        <f t="shared" si="12"/>
        <v>70.296642548805494</v>
      </c>
      <c r="O134" s="8">
        <f t="shared" si="13"/>
        <v>294.70866140768032</v>
      </c>
      <c r="P134" s="42">
        <f t="shared" si="14"/>
        <v>0.99242598117702285</v>
      </c>
      <c r="R134">
        <f t="shared" si="15"/>
        <v>31</v>
      </c>
      <c r="S134" s="8">
        <v>113.90322580645162</v>
      </c>
      <c r="T134" s="8">
        <v>1967.0322580645161</v>
      </c>
      <c r="U134" s="42">
        <v>1.192673323904401</v>
      </c>
      <c r="V134" s="85"/>
      <c r="X134" s="2">
        <v>42811</v>
      </c>
      <c r="Y134">
        <v>3379</v>
      </c>
      <c r="Z134">
        <v>12</v>
      </c>
      <c r="AA134">
        <v>134</v>
      </c>
      <c r="AB134" s="7">
        <v>70.296642548805494</v>
      </c>
      <c r="AC134" s="7">
        <v>69.666666666666671</v>
      </c>
      <c r="AD134" s="7">
        <v>70.400000000000006</v>
      </c>
      <c r="AE134" s="8">
        <v>294.70866140768032</v>
      </c>
      <c r="AF134" s="8">
        <v>313</v>
      </c>
      <c r="AG134" s="8">
        <v>304.44</v>
      </c>
      <c r="AH134" s="42">
        <v>0.99242598117702285</v>
      </c>
      <c r="AI134" s="42">
        <v>1.0784484428874663</v>
      </c>
      <c r="AJ134" s="42">
        <v>1.0224832461299236</v>
      </c>
      <c r="AQ134" s="2"/>
      <c r="AR134" s="42"/>
      <c r="AS134" s="42"/>
      <c r="AT134" s="42"/>
      <c r="AU134" s="8"/>
      <c r="AV134" s="8"/>
      <c r="AW134" s="8"/>
      <c r="AX134" s="42"/>
      <c r="AY134" s="42"/>
      <c r="AZ134" s="42"/>
    </row>
    <row r="135" spans="1:52" x14ac:dyDescent="0.35">
      <c r="A135" s="2">
        <v>42814</v>
      </c>
      <c r="B135" s="8">
        <v>0</v>
      </c>
      <c r="C135" s="8">
        <v>25.101766754794578</v>
      </c>
      <c r="D135" s="8">
        <v>19.959293298082173</v>
      </c>
      <c r="E135" s="8">
        <v>5.1424734567124091</v>
      </c>
      <c r="F135" s="8">
        <v>28.36669604263712</v>
      </c>
      <c r="G135" s="8">
        <v>21.429770447773716</v>
      </c>
      <c r="H135" s="8">
        <v>0</v>
      </c>
      <c r="I135" s="8">
        <v>0</v>
      </c>
      <c r="J135" s="8">
        <v>0</v>
      </c>
      <c r="K135">
        <f t="shared" si="9"/>
        <v>100</v>
      </c>
      <c r="M135" s="8">
        <f t="shared" si="11"/>
        <v>6110</v>
      </c>
      <c r="N135" s="7">
        <f t="shared" si="12"/>
        <v>70.438771642691009</v>
      </c>
      <c r="O135" s="8">
        <f t="shared" si="13"/>
        <v>305.21718626794859</v>
      </c>
      <c r="P135" s="42">
        <f t="shared" si="14"/>
        <v>1.0195306266771247</v>
      </c>
      <c r="R135">
        <f t="shared" si="15"/>
        <v>35</v>
      </c>
      <c r="S135" s="8">
        <v>110.34285714285714</v>
      </c>
      <c r="T135" s="8">
        <v>1642.1428571428571</v>
      </c>
      <c r="U135" s="42">
        <v>1.0905448916785137</v>
      </c>
      <c r="X135" s="2">
        <v>42814</v>
      </c>
      <c r="Y135">
        <v>6110</v>
      </c>
      <c r="AB135" s="7">
        <v>70.438771642691009</v>
      </c>
      <c r="AE135" s="8">
        <v>305.21718626794859</v>
      </c>
      <c r="AH135" s="42">
        <v>1.0195306266771247</v>
      </c>
      <c r="AI135" s="42"/>
      <c r="AQ135" s="2"/>
      <c r="AR135" s="42"/>
      <c r="AS135" s="42"/>
      <c r="AT135" s="42"/>
      <c r="AU135" s="8"/>
      <c r="AX135" s="42"/>
      <c r="AY135" s="42"/>
      <c r="AZ135" s="42"/>
    </row>
    <row r="136" spans="1:52" x14ac:dyDescent="0.35">
      <c r="A136" s="2">
        <v>42818</v>
      </c>
      <c r="B136" s="8">
        <v>0</v>
      </c>
      <c r="C136" s="8">
        <v>15.142688540068452</v>
      </c>
      <c r="D136" s="8">
        <v>9.4292458397261907</v>
      </c>
      <c r="E136" s="8">
        <v>10.570754160273813</v>
      </c>
      <c r="F136" s="8">
        <v>46.857311459931552</v>
      </c>
      <c r="G136" s="8">
        <v>17.142688540068452</v>
      </c>
      <c r="H136" s="8">
        <v>0.85731145993154723</v>
      </c>
      <c r="I136" s="8">
        <v>0</v>
      </c>
      <c r="J136" s="8">
        <v>0</v>
      </c>
      <c r="K136">
        <f t="shared" si="9"/>
        <v>100</v>
      </c>
      <c r="M136" s="8">
        <f t="shared" si="11"/>
        <v>8473</v>
      </c>
      <c r="N136" s="7">
        <f t="shared" si="12"/>
        <v>69.459976395609573</v>
      </c>
      <c r="O136" s="8">
        <f t="shared" si="13"/>
        <v>271.03614304260589</v>
      </c>
      <c r="P136" s="42">
        <f t="shared" si="14"/>
        <v>0.94312874462799523</v>
      </c>
      <c r="R136">
        <f t="shared" si="15"/>
        <v>11</v>
      </c>
      <c r="S136" s="8">
        <v>115.57142857142857</v>
      </c>
      <c r="T136" s="8">
        <v>1999.8571428571429</v>
      </c>
      <c r="U136" s="42">
        <v>1.1260324388230365</v>
      </c>
      <c r="V136" s="85"/>
      <c r="X136" s="2">
        <v>42818</v>
      </c>
      <c r="Y136">
        <v>8473</v>
      </c>
      <c r="Z136" s="8">
        <v>44</v>
      </c>
      <c r="AA136">
        <v>63</v>
      </c>
      <c r="AB136" s="7">
        <v>69.459976395609573</v>
      </c>
      <c r="AC136" s="7">
        <v>68.38636363636364</v>
      </c>
      <c r="AD136" s="7">
        <v>69.509803921568633</v>
      </c>
      <c r="AE136" s="8">
        <v>271.03614304260589</v>
      </c>
      <c r="AF136" s="8">
        <v>275.11363636363637</v>
      </c>
      <c r="AG136" s="8">
        <v>279.03921568627453</v>
      </c>
      <c r="AH136" s="42">
        <v>0.94312874462799523</v>
      </c>
      <c r="AI136" s="42">
        <v>0.99844150276528831</v>
      </c>
      <c r="AJ136" s="42">
        <v>0.96972271995340631</v>
      </c>
      <c r="AQ136" s="2"/>
      <c r="AR136" s="42"/>
      <c r="AS136" s="42"/>
      <c r="AT136" s="42"/>
      <c r="AU136" s="8"/>
      <c r="AV136" s="8"/>
      <c r="AW136" s="8"/>
      <c r="AX136" s="42"/>
      <c r="AY136" s="42"/>
      <c r="AZ136" s="42"/>
    </row>
    <row r="137" spans="1:52" x14ac:dyDescent="0.35">
      <c r="A137" s="13">
        <v>42821</v>
      </c>
      <c r="B137" s="8">
        <v>0</v>
      </c>
      <c r="C137" s="8">
        <v>2.8060371710116003</v>
      </c>
      <c r="D137" s="8">
        <v>6.0000000000000009</v>
      </c>
      <c r="E137" s="8">
        <v>6.418111513034801</v>
      </c>
      <c r="F137" s="8">
        <v>53.581888486965212</v>
      </c>
      <c r="G137" s="8">
        <v>31.193962828988397</v>
      </c>
      <c r="H137" s="8">
        <v>0</v>
      </c>
      <c r="I137" s="8">
        <v>0</v>
      </c>
      <c r="J137" s="8">
        <v>0</v>
      </c>
      <c r="K137">
        <f t="shared" si="9"/>
        <v>100</v>
      </c>
      <c r="M137" s="8">
        <f t="shared" si="11"/>
        <v>8017</v>
      </c>
      <c r="N137" s="7">
        <f t="shared" si="12"/>
        <v>69.123018585505804</v>
      </c>
      <c r="O137" s="8">
        <f t="shared" si="13"/>
        <v>278.23032056879134</v>
      </c>
      <c r="P137" s="42">
        <f t="shared" si="14"/>
        <v>0.98242457111000858</v>
      </c>
      <c r="R137">
        <f t="shared" si="15"/>
        <v>5</v>
      </c>
      <c r="S137" s="8">
        <v>110</v>
      </c>
      <c r="T137" s="8">
        <v>1776.3333333333333</v>
      </c>
      <c r="U137" s="42">
        <v>1.0408794703596234</v>
      </c>
      <c r="X137" s="13">
        <v>42821</v>
      </c>
      <c r="Y137">
        <v>8017</v>
      </c>
      <c r="AB137" s="7">
        <v>69.123018585505804</v>
      </c>
      <c r="AE137" s="8">
        <v>278.23032056879134</v>
      </c>
      <c r="AH137" s="42">
        <v>0.98242457111000858</v>
      </c>
      <c r="AI137" s="42"/>
      <c r="AQ137" s="13"/>
      <c r="AR137" s="42"/>
      <c r="AS137" s="42"/>
      <c r="AT137" s="42"/>
      <c r="AU137" s="8"/>
      <c r="AX137" s="42"/>
      <c r="AY137" s="42"/>
      <c r="AZ137" s="42"/>
    </row>
    <row r="138" spans="1:52" x14ac:dyDescent="0.35">
      <c r="A138" s="2">
        <v>42825</v>
      </c>
      <c r="B138" s="8">
        <v>0</v>
      </c>
      <c r="C138" s="8">
        <v>6.0000000000000009</v>
      </c>
      <c r="D138" s="8">
        <v>2</v>
      </c>
      <c r="E138" s="8">
        <v>0.5961268839817736</v>
      </c>
      <c r="F138" s="8">
        <v>23.403873116018225</v>
      </c>
      <c r="G138" s="8">
        <v>56.211619348054676</v>
      </c>
      <c r="H138" s="8">
        <v>11.788380651945321</v>
      </c>
      <c r="I138" s="8">
        <v>0</v>
      </c>
      <c r="J138" s="8">
        <v>0</v>
      </c>
      <c r="K138">
        <f t="shared" si="9"/>
        <v>100</v>
      </c>
      <c r="M138" s="8">
        <f t="shared" si="11"/>
        <v>22824</v>
      </c>
      <c r="N138" s="7">
        <f t="shared" si="12"/>
        <v>69.304440063091491</v>
      </c>
      <c r="O138" s="8">
        <f t="shared" si="13"/>
        <v>295.91762530669467</v>
      </c>
      <c r="P138" s="42">
        <f t="shared" si="14"/>
        <v>1.0394852939837271</v>
      </c>
      <c r="R138">
        <f t="shared" si="15"/>
        <v>16</v>
      </c>
      <c r="S138" s="8">
        <v>130.875</v>
      </c>
      <c r="T138" s="8">
        <v>3302.25</v>
      </c>
      <c r="U138" s="42">
        <v>1.1801598937745534</v>
      </c>
      <c r="V138" s="85"/>
      <c r="X138" s="2">
        <v>42825</v>
      </c>
      <c r="Y138">
        <v>22824</v>
      </c>
      <c r="Z138">
        <v>68</v>
      </c>
      <c r="AA138">
        <v>36</v>
      </c>
      <c r="AB138" s="7">
        <v>69.304440063091491</v>
      </c>
      <c r="AC138" s="7">
        <v>68.411764705882348</v>
      </c>
      <c r="AD138" s="7">
        <v>69.666666666666671</v>
      </c>
      <c r="AE138" s="8">
        <v>295.91762530669467</v>
      </c>
      <c r="AF138" s="8">
        <v>278.10294117647061</v>
      </c>
      <c r="AG138" s="8">
        <v>287.83333333333331</v>
      </c>
      <c r="AH138" s="42">
        <v>1.0394852939837271</v>
      </c>
      <c r="AI138" s="42">
        <v>1.018097162590804</v>
      </c>
      <c r="AJ138" s="42">
        <v>0.99582076365575112</v>
      </c>
      <c r="AQ138" s="2"/>
      <c r="AR138" s="42"/>
      <c r="AS138" s="42"/>
      <c r="AT138" s="42"/>
      <c r="AU138" s="8"/>
      <c r="AV138" s="8"/>
      <c r="AW138" s="8"/>
      <c r="AX138" s="42"/>
      <c r="AY138" s="42"/>
      <c r="AZ138" s="42"/>
    </row>
    <row r="139" spans="1:52" x14ac:dyDescent="0.35">
      <c r="A139" s="2">
        <v>42828</v>
      </c>
      <c r="B139" s="8">
        <v>0</v>
      </c>
      <c r="C139" s="8">
        <v>0</v>
      </c>
      <c r="D139" s="8">
        <v>1.1024716786817714</v>
      </c>
      <c r="E139" s="8">
        <v>1.9824014054643486</v>
      </c>
      <c r="F139" s="8">
        <v>13.209183982552855</v>
      </c>
      <c r="G139" s="8">
        <v>56.609711031683517</v>
      </c>
      <c r="H139" s="8">
        <v>27.09623190161749</v>
      </c>
      <c r="I139" s="8">
        <v>0</v>
      </c>
      <c r="J139" s="8">
        <v>0</v>
      </c>
      <c r="K139">
        <f t="shared" si="9"/>
        <v>99.999999999999986</v>
      </c>
      <c r="M139" s="8">
        <f t="shared" si="11"/>
        <v>3884</v>
      </c>
      <c r="N139" s="7">
        <f t="shared" si="12"/>
        <v>69.481224026170722</v>
      </c>
      <c r="O139" s="8">
        <f t="shared" si="13"/>
        <v>280.1588559399043</v>
      </c>
      <c r="P139" s="42">
        <f t="shared" si="14"/>
        <v>0.97098661453137303</v>
      </c>
      <c r="R139">
        <f t="shared" si="15"/>
        <v>8</v>
      </c>
      <c r="S139" s="8">
        <v>110.875</v>
      </c>
      <c r="T139" s="8">
        <v>1615.125</v>
      </c>
      <c r="U139" s="42">
        <v>1.1311120198297027</v>
      </c>
      <c r="X139" s="2">
        <v>42828</v>
      </c>
      <c r="Y139">
        <v>3884</v>
      </c>
      <c r="AB139" s="7">
        <v>69.481224026170722</v>
      </c>
      <c r="AE139" s="8">
        <v>280.1588559399043</v>
      </c>
      <c r="AH139" s="42">
        <v>0.97098661453137303</v>
      </c>
      <c r="AI139" s="42"/>
      <c r="AQ139" s="2"/>
      <c r="AR139" s="42"/>
      <c r="AS139" s="42"/>
      <c r="AT139" s="42"/>
      <c r="AU139" s="8"/>
      <c r="AX139" s="42"/>
      <c r="AY139" s="42"/>
      <c r="AZ139" s="42"/>
    </row>
    <row r="140" spans="1:52" x14ac:dyDescent="0.35">
      <c r="A140" s="2">
        <v>42832</v>
      </c>
      <c r="B140" s="8">
        <v>0</v>
      </c>
      <c r="C140" s="8">
        <v>0</v>
      </c>
      <c r="D140" s="8">
        <v>1.1571274298056156</v>
      </c>
      <c r="E140" s="8">
        <v>0</v>
      </c>
      <c r="F140" s="8">
        <v>11.074492864100286</v>
      </c>
      <c r="G140" s="8">
        <v>53.224209122093768</v>
      </c>
      <c r="H140" s="8">
        <v>34.544170584000341</v>
      </c>
      <c r="I140" s="8">
        <v>0</v>
      </c>
      <c r="J140" s="8">
        <v>0</v>
      </c>
      <c r="K140">
        <f t="shared" si="9"/>
        <v>100.00000000000001</v>
      </c>
      <c r="M140" s="8">
        <f t="shared" si="11"/>
        <v>3704</v>
      </c>
      <c r="N140" s="7">
        <f t="shared" si="12"/>
        <v>69.282690572989452</v>
      </c>
      <c r="O140" s="8">
        <f t="shared" si="13"/>
        <v>287.3409852623555</v>
      </c>
      <c r="P140" s="42">
        <f t="shared" si="14"/>
        <v>1.0070927037426454</v>
      </c>
      <c r="R140">
        <f t="shared" si="15"/>
        <v>15</v>
      </c>
      <c r="S140" s="8">
        <v>116.06666666666666</v>
      </c>
      <c r="T140" s="8">
        <v>2140.9333333333334</v>
      </c>
      <c r="U140" s="42">
        <v>1.1505196674230498</v>
      </c>
      <c r="V140" s="85"/>
      <c r="X140" s="2">
        <v>42832</v>
      </c>
      <c r="Y140">
        <v>3704</v>
      </c>
      <c r="Z140">
        <v>33</v>
      </c>
      <c r="AA140">
        <v>20</v>
      </c>
      <c r="AB140" s="7">
        <v>69.282690572989452</v>
      </c>
      <c r="AC140" s="7">
        <v>67.757575757575751</v>
      </c>
      <c r="AD140" s="7">
        <v>70.400000000000006</v>
      </c>
      <c r="AE140" s="8">
        <v>287.3409852623555</v>
      </c>
      <c r="AF140" s="8">
        <v>267.39393939393938</v>
      </c>
      <c r="AG140" s="8">
        <v>288.3</v>
      </c>
      <c r="AH140" s="42">
        <v>1.0070927037426454</v>
      </c>
      <c r="AI140" s="42">
        <v>1.0207789250218771</v>
      </c>
      <c r="AJ140" s="42">
        <v>0.96592790136500262</v>
      </c>
      <c r="AQ140" s="2"/>
      <c r="AR140" s="42"/>
      <c r="AS140" s="42"/>
      <c r="AT140" s="42"/>
      <c r="AU140" s="8"/>
      <c r="AV140" s="8"/>
      <c r="AW140" s="8"/>
      <c r="AX140" s="42"/>
      <c r="AY140" s="42"/>
      <c r="AZ140" s="42"/>
    </row>
    <row r="141" spans="1:52" x14ac:dyDescent="0.35">
      <c r="A141" s="2">
        <v>42839</v>
      </c>
      <c r="B141" s="8">
        <v>0</v>
      </c>
      <c r="C141" s="8">
        <v>0</v>
      </c>
      <c r="D141" s="8">
        <v>0</v>
      </c>
      <c r="E141" s="8">
        <v>0</v>
      </c>
      <c r="F141" s="8">
        <v>1.3642524354087253</v>
      </c>
      <c r="G141" s="8">
        <v>20.542990258365098</v>
      </c>
      <c r="H141" s="8">
        <v>75.457009741634891</v>
      </c>
      <c r="I141" s="8">
        <v>2.6357475645912753</v>
      </c>
      <c r="J141" s="8">
        <v>0</v>
      </c>
      <c r="K141">
        <f t="shared" si="9"/>
        <v>99.999999999999986</v>
      </c>
      <c r="M141" s="8">
        <f t="shared" si="11"/>
        <v>4722</v>
      </c>
      <c r="N141" s="7">
        <f t="shared" si="12"/>
        <v>69.264637865311315</v>
      </c>
      <c r="O141" s="8">
        <f t="shared" si="13"/>
        <v>288.39327827191869</v>
      </c>
      <c r="P141" s="42">
        <f t="shared" si="14"/>
        <v>1.0131459806168801</v>
      </c>
      <c r="R141">
        <f t="shared" si="15"/>
        <v>11</v>
      </c>
      <c r="S141" s="8">
        <v>112.63636363636364</v>
      </c>
      <c r="T141" s="8">
        <v>1743.6363636363637</v>
      </c>
      <c r="U141" s="42">
        <v>1.1997727278113623</v>
      </c>
      <c r="V141" s="85"/>
      <c r="X141" s="2">
        <v>42839</v>
      </c>
      <c r="Y141">
        <v>4722</v>
      </c>
      <c r="Z141">
        <v>71</v>
      </c>
      <c r="AA141">
        <v>8</v>
      </c>
      <c r="AB141" s="7">
        <v>69.264637865311315</v>
      </c>
      <c r="AC141" s="7">
        <v>67.718309859154928</v>
      </c>
      <c r="AD141" s="7">
        <v>66.75</v>
      </c>
      <c r="AE141" s="8">
        <v>288.39327827191869</v>
      </c>
      <c r="AF141" s="8">
        <v>282.05633802816902</v>
      </c>
      <c r="AG141" s="8">
        <v>293.875</v>
      </c>
      <c r="AH141" s="42">
        <v>1.0131459806168801</v>
      </c>
      <c r="AI141" s="42">
        <v>1.057563925692018</v>
      </c>
      <c r="AJ141" s="42">
        <v>1.1604370268477049</v>
      </c>
      <c r="AQ141" s="2"/>
      <c r="AR141" s="42"/>
      <c r="AS141" s="42"/>
      <c r="AT141" s="42"/>
      <c r="AU141" s="8"/>
      <c r="AV141" s="8"/>
      <c r="AW141" s="8"/>
      <c r="AX141" s="42"/>
      <c r="AY141" s="42"/>
      <c r="AZ141" s="42"/>
    </row>
    <row r="142" spans="1:52" x14ac:dyDescent="0.35">
      <c r="A142" s="2">
        <v>42846</v>
      </c>
      <c r="B142" s="8">
        <v>0</v>
      </c>
      <c r="C142" s="8">
        <v>0</v>
      </c>
      <c r="D142" s="8">
        <v>0</v>
      </c>
      <c r="E142" s="8">
        <v>0</v>
      </c>
      <c r="F142" s="8">
        <v>0.70875327842249758</v>
      </c>
      <c r="G142" s="8">
        <v>6.5811776883064486</v>
      </c>
      <c r="H142" s="8">
        <v>81.673973491925651</v>
      </c>
      <c r="I142" s="8">
        <v>11.036095541345404</v>
      </c>
      <c r="J142" s="8">
        <v>0</v>
      </c>
      <c r="K142">
        <f t="shared" si="9"/>
        <v>100</v>
      </c>
      <c r="M142" s="8">
        <f t="shared" si="11"/>
        <v>2151</v>
      </c>
      <c r="N142" s="7">
        <f t="shared" si="12"/>
        <v>68.330746734735058</v>
      </c>
      <c r="O142" s="8">
        <f t="shared" si="13"/>
        <v>250.84617738129697</v>
      </c>
      <c r="P142" s="42">
        <f t="shared" si="14"/>
        <v>0.91682834794582269</v>
      </c>
      <c r="R142">
        <f t="shared" si="15"/>
        <v>11</v>
      </c>
      <c r="S142" s="8">
        <v>114.09090909090909</v>
      </c>
      <c r="T142" s="8">
        <v>1990.5454545454545</v>
      </c>
      <c r="U142" s="42">
        <v>1.24509942341405</v>
      </c>
      <c r="V142" s="85"/>
      <c r="X142" s="2">
        <v>42846</v>
      </c>
      <c r="Y142">
        <v>2151</v>
      </c>
      <c r="Z142">
        <v>61</v>
      </c>
      <c r="AA142">
        <v>4</v>
      </c>
      <c r="AB142" s="7">
        <v>68.330746734735058</v>
      </c>
      <c r="AC142" s="7">
        <v>68.049180327868854</v>
      </c>
      <c r="AE142" s="8">
        <v>250.84617738129697</v>
      </c>
      <c r="AF142" s="8">
        <v>267.5409836065574</v>
      </c>
      <c r="AH142" s="42">
        <v>0.91682834794582269</v>
      </c>
      <c r="AI142" s="42">
        <v>0.98947546314173185</v>
      </c>
      <c r="AJ142" s="42">
        <v>0.9677130163451293</v>
      </c>
      <c r="AQ142" s="2"/>
      <c r="AR142" s="42"/>
      <c r="AS142" s="42"/>
      <c r="AT142" s="42"/>
      <c r="AU142" s="8"/>
      <c r="AV142" s="8"/>
      <c r="AX142" s="42"/>
      <c r="AY142" s="42"/>
      <c r="AZ142" s="42"/>
    </row>
    <row r="143" spans="1:52" x14ac:dyDescent="0.35">
      <c r="A143" s="2">
        <v>42853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2.0287471926569673</v>
      </c>
      <c r="H143" s="8">
        <v>38.882999707059859</v>
      </c>
      <c r="I143" s="8">
        <v>53.256596035543403</v>
      </c>
      <c r="J143" s="8">
        <v>5.8316570647397707</v>
      </c>
      <c r="K143">
        <f t="shared" si="9"/>
        <v>100</v>
      </c>
      <c r="M143" s="8">
        <f t="shared" si="11"/>
        <v>2090</v>
      </c>
      <c r="N143" s="7">
        <f t="shared" si="12"/>
        <v>67.616925300263645</v>
      </c>
      <c r="O143" s="8">
        <f t="shared" si="13"/>
        <v>286.24783634410699</v>
      </c>
      <c r="P143" s="42">
        <f t="shared" si="14"/>
        <v>1.0817369154038192</v>
      </c>
      <c r="R143">
        <f t="shared" si="15"/>
        <v>20</v>
      </c>
      <c r="S143" s="8">
        <v>126.15</v>
      </c>
      <c r="T143" s="8">
        <v>3312.65</v>
      </c>
      <c r="U143" s="42">
        <v>1.197815038165007</v>
      </c>
      <c r="X143" s="2">
        <v>42853</v>
      </c>
      <c r="Y143">
        <v>2090</v>
      </c>
      <c r="Z143" s="8">
        <v>46</v>
      </c>
      <c r="AB143" s="7">
        <v>67.616925300263645</v>
      </c>
      <c r="AC143" s="7">
        <v>68.36363636363636</v>
      </c>
      <c r="AE143" s="8">
        <v>286.24783634410699</v>
      </c>
      <c r="AF143" s="8">
        <v>314.63636363636363</v>
      </c>
      <c r="AH143" s="42">
        <v>1.0817369154038192</v>
      </c>
      <c r="AI143" s="42">
        <v>1.1562927754624392</v>
      </c>
      <c r="AJ143" s="2"/>
      <c r="AQ143" s="2"/>
      <c r="AR143" s="42"/>
      <c r="AS143" s="42"/>
    </row>
    <row r="144" spans="1:52" x14ac:dyDescent="0.35">
      <c r="A144" s="2">
        <v>42860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1.9661243220692532</v>
      </c>
      <c r="H144" s="8">
        <v>26.981059657905714</v>
      </c>
      <c r="I144" s="8">
        <v>34.241134751773046</v>
      </c>
      <c r="J144" s="8">
        <v>36.811681268251981</v>
      </c>
      <c r="K144">
        <f t="shared" si="9"/>
        <v>100</v>
      </c>
      <c r="M144" s="8">
        <f t="shared" si="11"/>
        <v>470</v>
      </c>
      <c r="N144" s="7">
        <f t="shared" si="12"/>
        <v>68.944073425114723</v>
      </c>
      <c r="O144" s="8">
        <f t="shared" si="13"/>
        <v>290.56812015018778</v>
      </c>
      <c r="P144" s="42">
        <f t="shared" si="14"/>
        <v>1.0346364379089168</v>
      </c>
      <c r="R144">
        <f t="shared" si="15"/>
        <v>15</v>
      </c>
      <c r="S144" s="8">
        <v>123.66666666666667</v>
      </c>
      <c r="T144" s="8">
        <v>2545.1999999999998</v>
      </c>
      <c r="U144" s="42">
        <v>1.169057501237492</v>
      </c>
      <c r="X144" s="2">
        <v>42860</v>
      </c>
      <c r="Y144">
        <v>470</v>
      </c>
      <c r="Z144">
        <v>71</v>
      </c>
      <c r="AB144" s="7">
        <v>68.944073425114723</v>
      </c>
      <c r="AC144" s="7">
        <v>68.098591549295776</v>
      </c>
      <c r="AE144" s="8">
        <v>290.56812015018778</v>
      </c>
      <c r="AF144" s="8">
        <v>306.56338028169012</v>
      </c>
      <c r="AH144" s="42">
        <v>1.0346364379089168</v>
      </c>
      <c r="AI144" s="42">
        <v>1.1334635363536005</v>
      </c>
      <c r="AJ144" s="2"/>
      <c r="AQ144" s="2"/>
      <c r="AR144" s="42"/>
      <c r="AS144" s="42"/>
    </row>
    <row r="145" spans="1:45" x14ac:dyDescent="0.35">
      <c r="A145" s="2">
        <v>42867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0.45045045045045046</v>
      </c>
      <c r="H145" s="8">
        <v>22.36036036036036</v>
      </c>
      <c r="I145" s="8">
        <v>35.243243243243249</v>
      </c>
      <c r="J145" s="8">
        <v>41.945945945945951</v>
      </c>
      <c r="K145">
        <f t="shared" si="9"/>
        <v>100.00000000000001</v>
      </c>
      <c r="M145" s="8">
        <f t="shared" si="11"/>
        <v>222</v>
      </c>
      <c r="N145" s="7">
        <f t="shared" si="12"/>
        <v>69.066486486486482</v>
      </c>
      <c r="O145" s="8">
        <f t="shared" si="13"/>
        <v>312.28036036036031</v>
      </c>
      <c r="P145" s="42">
        <f t="shared" si="14"/>
        <v>1.1070656388503335</v>
      </c>
      <c r="R145">
        <f t="shared" si="15"/>
        <v>8</v>
      </c>
      <c r="S145" s="8">
        <v>138.75</v>
      </c>
      <c r="T145" s="8">
        <v>4778.625</v>
      </c>
      <c r="U145" s="42">
        <v>1.4533878952818733</v>
      </c>
      <c r="X145" s="2">
        <v>42867</v>
      </c>
      <c r="Y145">
        <v>222</v>
      </c>
      <c r="Z145">
        <v>76</v>
      </c>
      <c r="AB145" s="7">
        <v>69.066486486486482</v>
      </c>
      <c r="AC145" s="7">
        <v>67.94736842105263</v>
      </c>
      <c r="AE145" s="8">
        <v>312.28036036036031</v>
      </c>
      <c r="AF145" s="8">
        <v>326.11842105263156</v>
      </c>
      <c r="AH145" s="42">
        <v>1.1070656388503335</v>
      </c>
      <c r="AI145" s="42">
        <v>1.2129350681044888</v>
      </c>
      <c r="AJ145" s="2"/>
      <c r="AQ145" s="2"/>
      <c r="AR145" s="42"/>
      <c r="AS145" s="42"/>
    </row>
    <row r="146" spans="1:45" x14ac:dyDescent="0.35">
      <c r="A146" s="2">
        <v>42874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10.000642880102861</v>
      </c>
      <c r="I146" s="8">
        <v>37.144326583092251</v>
      </c>
      <c r="J146" s="8">
        <v>52.855030536804883</v>
      </c>
      <c r="K146">
        <f t="shared" si="9"/>
        <v>100</v>
      </c>
      <c r="M146" s="8">
        <f t="shared" si="11"/>
        <v>183</v>
      </c>
      <c r="N146" s="7">
        <f t="shared" si="12"/>
        <v>68.197214186220918</v>
      </c>
      <c r="O146" s="8">
        <f t="shared" si="13"/>
        <v>275.40858459230691</v>
      </c>
      <c r="P146" s="42">
        <f t="shared" si="14"/>
        <v>1.0142815610460743</v>
      </c>
      <c r="R146">
        <f t="shared" si="15"/>
        <v>15</v>
      </c>
      <c r="S146" s="8">
        <v>128.6</v>
      </c>
      <c r="T146" s="8">
        <v>3439.1333333333332</v>
      </c>
      <c r="U146" s="42">
        <v>1.3211131534808367</v>
      </c>
      <c r="X146" s="2">
        <v>42874</v>
      </c>
      <c r="Y146">
        <v>183</v>
      </c>
      <c r="Z146" s="8">
        <v>63</v>
      </c>
      <c r="AB146" s="7">
        <v>68.197214186220918</v>
      </c>
      <c r="AC146" s="7">
        <v>70.365079365079367</v>
      </c>
      <c r="AE146" s="8">
        <v>275.40858459230691</v>
      </c>
      <c r="AF146">
        <v>399</v>
      </c>
      <c r="AH146" s="42">
        <v>1.0142815610460743</v>
      </c>
      <c r="AI146" s="42">
        <v>1.3377644618416351</v>
      </c>
      <c r="AJ146" s="2"/>
      <c r="AQ146" s="2"/>
      <c r="AR146" s="42"/>
      <c r="AS146" s="42"/>
    </row>
    <row r="147" spans="1:45" x14ac:dyDescent="0.35">
      <c r="A147" s="2">
        <v>42879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3.4090909090909087</v>
      </c>
      <c r="I147" s="8">
        <v>22.727272727272727</v>
      </c>
      <c r="J147" s="8">
        <v>73.86363636363636</v>
      </c>
      <c r="K147">
        <f t="shared" si="9"/>
        <v>100</v>
      </c>
      <c r="M147" s="8">
        <f t="shared" si="11"/>
        <v>88</v>
      </c>
      <c r="N147" s="7">
        <f t="shared" si="12"/>
        <v>68.204545454545467</v>
      </c>
      <c r="O147" s="8">
        <f t="shared" si="13"/>
        <v>246.68181818181819</v>
      </c>
      <c r="P147" s="42">
        <f t="shared" si="14"/>
        <v>0.90745668917885747</v>
      </c>
      <c r="R147">
        <f t="shared" si="15"/>
        <v>8</v>
      </c>
      <c r="S147" s="8">
        <v>122.125</v>
      </c>
      <c r="T147" s="8">
        <v>2410</v>
      </c>
      <c r="U147" s="42">
        <v>1.2435220949120287</v>
      </c>
      <c r="X147" s="2">
        <v>42879</v>
      </c>
      <c r="Y147">
        <v>88</v>
      </c>
      <c r="Z147" s="8">
        <v>138</v>
      </c>
      <c r="AB147" s="7">
        <v>68.204545454545467</v>
      </c>
      <c r="AC147" s="7">
        <v>72.637583892617457</v>
      </c>
      <c r="AE147" s="8">
        <v>246.68181818181819</v>
      </c>
      <c r="AF147" s="8">
        <v>434.56375838926175</v>
      </c>
      <c r="AH147" s="42">
        <v>0.90745668917885747</v>
      </c>
      <c r="AI147" s="42">
        <v>1.2983647756553132</v>
      </c>
      <c r="AJ147" s="2"/>
      <c r="AQ147" s="2"/>
      <c r="AR147" s="42"/>
      <c r="AS147" s="42"/>
    </row>
    <row r="148" spans="1:45" x14ac:dyDescent="0.35">
      <c r="M148" s="8">
        <f>SUM(M118:M129)+5</f>
        <v>23677</v>
      </c>
      <c r="N148" s="7"/>
      <c r="O148" s="8"/>
      <c r="P148" s="42"/>
      <c r="U148" s="42"/>
      <c r="Y148" s="45">
        <f>SUM(Y131:Y147)</f>
        <v>66963</v>
      </c>
      <c r="Z148" s="45">
        <f t="shared" ref="Z148:AA148" si="16">SUM(Z131:Z147)</f>
        <v>683</v>
      </c>
      <c r="AA148" s="45">
        <f t="shared" si="16"/>
        <v>301</v>
      </c>
    </row>
    <row r="149" spans="1:45" x14ac:dyDescent="0.35">
      <c r="M149" s="8"/>
      <c r="N149" s="7"/>
      <c r="O149" s="8"/>
      <c r="P149" s="42"/>
      <c r="U149" s="42"/>
      <c r="X149" s="2">
        <v>43168</v>
      </c>
      <c r="Y149" s="70">
        <v>0</v>
      </c>
      <c r="Z149" s="70">
        <v>0</v>
      </c>
      <c r="AA149" s="45"/>
    </row>
    <row r="150" spans="1:45" x14ac:dyDescent="0.35">
      <c r="A150" s="2">
        <v>43171</v>
      </c>
      <c r="M150" s="8">
        <f t="shared" ref="M150:M170" si="17">M90+M33</f>
        <v>0</v>
      </c>
      <c r="N150" s="7"/>
      <c r="O150" s="8"/>
      <c r="P150" s="42"/>
      <c r="R150" s="8">
        <f t="shared" ref="R150:R170" si="18">R90+R33</f>
        <v>0</v>
      </c>
      <c r="T150" s="2"/>
      <c r="U150" s="8"/>
      <c r="X150" s="2">
        <v>43171</v>
      </c>
      <c r="Y150">
        <v>0</v>
      </c>
      <c r="Z150">
        <v>0</v>
      </c>
      <c r="AJ150" s="2"/>
    </row>
    <row r="151" spans="1:45" x14ac:dyDescent="0.35">
      <c r="A151" s="2">
        <v>43178</v>
      </c>
      <c r="M151" s="8">
        <f t="shared" si="17"/>
        <v>1</v>
      </c>
      <c r="N151" s="7"/>
      <c r="O151" s="8"/>
      <c r="P151" s="42"/>
      <c r="R151" s="8">
        <f t="shared" si="18"/>
        <v>1</v>
      </c>
      <c r="T151" s="2"/>
      <c r="U151" s="8"/>
      <c r="V151" s="85"/>
      <c r="X151" s="2">
        <v>43178</v>
      </c>
      <c r="Y151">
        <v>1</v>
      </c>
      <c r="Z151" s="8">
        <v>2</v>
      </c>
      <c r="AA151" s="8">
        <v>17</v>
      </c>
      <c r="AD151" s="7">
        <v>70.82352941176471</v>
      </c>
      <c r="AG151" s="8">
        <v>346.70588235294116</v>
      </c>
      <c r="AI151" s="42">
        <v>1.1087466548204905</v>
      </c>
      <c r="AJ151" s="42">
        <v>1.1394403266582962</v>
      </c>
    </row>
    <row r="152" spans="1:45" x14ac:dyDescent="0.35">
      <c r="A152" s="2">
        <v>43188</v>
      </c>
      <c r="B152" s="8">
        <v>0</v>
      </c>
      <c r="C152" s="8">
        <v>21.601729050004909</v>
      </c>
      <c r="D152" s="8">
        <v>16.590824245996661</v>
      </c>
      <c r="E152" s="8">
        <v>8.3515080066804206</v>
      </c>
      <c r="F152" s="8">
        <v>39.314470969643381</v>
      </c>
      <c r="G152" s="8">
        <v>14.141467727674625</v>
      </c>
      <c r="H152" s="8">
        <v>0</v>
      </c>
      <c r="I152" s="8">
        <v>0</v>
      </c>
      <c r="J152" s="8">
        <v>0</v>
      </c>
      <c r="K152">
        <f t="shared" si="9"/>
        <v>99.999999999999986</v>
      </c>
      <c r="M152" s="8">
        <f t="shared" si="17"/>
        <v>435</v>
      </c>
      <c r="N152" s="7">
        <f>((M35*N35)+(M92*N92))/(M35+M92)</f>
        <v>72.800308478239515</v>
      </c>
      <c r="O152" s="8">
        <f>((M35*O35)+(M92*O92))/(M35+M92)</f>
        <v>329.10138716966304</v>
      </c>
      <c r="P152" s="42">
        <f>((M35*P35)+(M92*P92))/(M35+M92)</f>
        <v>0.97552442010218621</v>
      </c>
      <c r="R152" s="8">
        <f t="shared" si="18"/>
        <v>15</v>
      </c>
      <c r="T152" s="2"/>
      <c r="U152" s="8"/>
      <c r="V152" s="85"/>
      <c r="X152" s="2">
        <v>43188</v>
      </c>
      <c r="Y152">
        <v>435</v>
      </c>
      <c r="Z152" s="8">
        <v>26</v>
      </c>
      <c r="AA152" s="8">
        <v>307</v>
      </c>
      <c r="AB152" s="7">
        <v>72.800308478239515</v>
      </c>
      <c r="AC152" s="7">
        <v>70.28</v>
      </c>
      <c r="AD152" s="7">
        <v>71</v>
      </c>
      <c r="AE152" s="8">
        <v>329.10138716966304</v>
      </c>
      <c r="AF152" s="8">
        <v>311.2</v>
      </c>
      <c r="AG152" s="8">
        <v>312.69230769230768</v>
      </c>
      <c r="AH152" s="42">
        <v>0.97552442010218621</v>
      </c>
      <c r="AI152" s="42">
        <v>1.0444958797810828</v>
      </c>
      <c r="AJ152" s="42">
        <v>1.0179061094366519</v>
      </c>
    </row>
    <row r="153" spans="1:45" x14ac:dyDescent="0.35">
      <c r="A153" s="2">
        <v>43193</v>
      </c>
      <c r="B153" s="8">
        <v>0</v>
      </c>
      <c r="C153" s="8">
        <v>2.137967391180676</v>
      </c>
      <c r="D153" s="8">
        <v>16.949076690269315</v>
      </c>
      <c r="E153" s="8">
        <v>4.275934782361352</v>
      </c>
      <c r="F153" s="8">
        <v>39.679752418733962</v>
      </c>
      <c r="G153" s="8">
        <v>31.155189611295896</v>
      </c>
      <c r="H153" s="8">
        <v>5.8020791061588115</v>
      </c>
      <c r="I153" s="8">
        <v>0</v>
      </c>
      <c r="J153" s="8">
        <v>0</v>
      </c>
      <c r="K153">
        <f t="shared" si="9"/>
        <v>100.00000000000001</v>
      </c>
      <c r="M153" s="8">
        <f t="shared" si="17"/>
        <v>295</v>
      </c>
      <c r="N153" s="7">
        <f>((M36*N36)+(M93*N93))/(M36+M93)</f>
        <v>71.026565682232786</v>
      </c>
      <c r="O153" s="8">
        <f>((M36*O36)+(M93*O93))/(M36+M93)</f>
        <v>295.52759404712691</v>
      </c>
      <c r="P153" s="42">
        <f>((M36*P36)+(M93*P93))/(M36+M93)</f>
        <v>0.96150444496822152</v>
      </c>
      <c r="R153" s="8">
        <f t="shared" si="18"/>
        <v>4</v>
      </c>
      <c r="T153" s="2"/>
      <c r="U153" s="8"/>
      <c r="V153" s="85"/>
      <c r="X153" s="2">
        <v>43193</v>
      </c>
      <c r="Y153">
        <v>295</v>
      </c>
      <c r="Z153" s="8">
        <v>9</v>
      </c>
      <c r="AA153" s="8">
        <v>206</v>
      </c>
      <c r="AB153" s="7">
        <v>71.026565682232786</v>
      </c>
      <c r="AC153" s="7">
        <v>71.555555555555557</v>
      </c>
      <c r="AD153" s="7">
        <v>70.716981132075475</v>
      </c>
      <c r="AE153" s="8">
        <v>295.52759404712691</v>
      </c>
      <c r="AF153" s="8">
        <v>286.44444444444446</v>
      </c>
      <c r="AG153" s="8">
        <v>305.24528301886795</v>
      </c>
      <c r="AH153" s="42">
        <v>0.96150444496822152</v>
      </c>
      <c r="AI153" s="42">
        <v>0.91041454505794028</v>
      </c>
      <c r="AJ153" s="42">
        <v>1.0074991052310371</v>
      </c>
    </row>
    <row r="154" spans="1:45" x14ac:dyDescent="0.35">
      <c r="A154" s="2">
        <v>43196</v>
      </c>
      <c r="B154" s="8">
        <v>0</v>
      </c>
      <c r="C154" s="8">
        <v>0</v>
      </c>
      <c r="D154" s="8">
        <v>8.4589207583859984</v>
      </c>
      <c r="E154" s="8">
        <v>7.4866310160427805</v>
      </c>
      <c r="F154" s="8">
        <v>55.809431210500726</v>
      </c>
      <c r="G154" s="8">
        <v>25.085075352455032</v>
      </c>
      <c r="H154" s="8">
        <v>3.1599416626154593</v>
      </c>
      <c r="I154" s="8">
        <v>0</v>
      </c>
      <c r="J154" s="8">
        <v>0</v>
      </c>
      <c r="K154">
        <f t="shared" si="9"/>
        <v>100</v>
      </c>
      <c r="M154" s="8">
        <f t="shared" si="17"/>
        <v>121</v>
      </c>
      <c r="N154" s="7">
        <f>((M37*N37)+(M94*N94))/(M37+M94)</f>
        <v>72.148760330578511</v>
      </c>
      <c r="O154" s="8">
        <f>((M37*O37)+(M94*O94))/(M37+M94)</f>
        <v>336.22314049586777</v>
      </c>
      <c r="P154" s="42">
        <f>((M37*P37)+(M94*P94))/(M37+M94)</f>
        <v>1.0463488012367377</v>
      </c>
      <c r="R154" s="8">
        <f t="shared" si="18"/>
        <v>4</v>
      </c>
      <c r="T154" s="2"/>
      <c r="U154" s="8"/>
      <c r="X154" s="2">
        <v>43196</v>
      </c>
      <c r="Y154">
        <v>121</v>
      </c>
      <c r="AB154" s="7">
        <v>72.148760330578511</v>
      </c>
      <c r="AE154" s="8">
        <v>336.22314049586777</v>
      </c>
      <c r="AH154" s="42">
        <v>1.0463488012367377</v>
      </c>
      <c r="AJ154" s="2"/>
    </row>
    <row r="155" spans="1:45" x14ac:dyDescent="0.35">
      <c r="A155" s="2">
        <v>43199</v>
      </c>
      <c r="B155" s="8">
        <v>0</v>
      </c>
      <c r="C155" s="8">
        <v>0</v>
      </c>
      <c r="D155" s="8">
        <v>3.075050709939148</v>
      </c>
      <c r="E155" s="8">
        <v>6.7829614604462476</v>
      </c>
      <c r="F155" s="8">
        <v>35.488843813387426</v>
      </c>
      <c r="G155" s="8">
        <v>42.588235294117652</v>
      </c>
      <c r="H155" s="8">
        <v>12.064908722109534</v>
      </c>
      <c r="I155" s="8">
        <v>0</v>
      </c>
      <c r="J155" s="8">
        <v>0</v>
      </c>
      <c r="K155">
        <f t="shared" si="9"/>
        <v>100.00000000000001</v>
      </c>
      <c r="M155" s="8">
        <f t="shared" si="17"/>
        <v>233</v>
      </c>
      <c r="N155" s="7">
        <f>((M38*N38)+(M95*N95))/(M38+M95)</f>
        <v>69.788871497096693</v>
      </c>
      <c r="O155" s="8">
        <f>((M38*O38)+(M95*O95))/(M38+M95)</f>
        <v>287.15179331818564</v>
      </c>
      <c r="P155" s="42">
        <f>((M38*P38)+(M95*P95))/(M38+M95)</f>
        <v>0.98913890850353281</v>
      </c>
      <c r="R155" s="8">
        <f t="shared" si="18"/>
        <v>1</v>
      </c>
      <c r="T155" s="2"/>
      <c r="U155" s="8"/>
      <c r="V155" s="85"/>
      <c r="X155" s="2">
        <v>43199</v>
      </c>
      <c r="Y155">
        <v>233</v>
      </c>
      <c r="Z155" s="8">
        <v>16</v>
      </c>
      <c r="AA155" s="8">
        <v>98</v>
      </c>
      <c r="AB155" s="7">
        <v>69.790750507099389</v>
      </c>
      <c r="AC155" s="7">
        <v>70.0625</v>
      </c>
      <c r="AD155" s="7">
        <v>71.115384615384613</v>
      </c>
      <c r="AE155" s="8">
        <v>287.17087221095341</v>
      </c>
      <c r="AF155" s="8">
        <v>304.5</v>
      </c>
      <c r="AG155" s="8">
        <v>294.17307692307691</v>
      </c>
      <c r="AH155" s="42">
        <v>0.98912712837683714</v>
      </c>
      <c r="AI155" s="42">
        <v>1.0301215667816326</v>
      </c>
      <c r="AJ155" s="42">
        <v>0.95570162043249185</v>
      </c>
    </row>
    <row r="156" spans="1:45" x14ac:dyDescent="0.35">
      <c r="A156" s="2">
        <v>43200</v>
      </c>
      <c r="B156" s="8">
        <v>0</v>
      </c>
      <c r="C156" s="8">
        <v>2</v>
      </c>
      <c r="D156" s="8">
        <v>5.8146031746031746</v>
      </c>
      <c r="E156" s="8">
        <v>6.3707936507936509</v>
      </c>
      <c r="F156" s="8">
        <v>47.629206349206349</v>
      </c>
      <c r="G156" s="8">
        <v>35.629206349206356</v>
      </c>
      <c r="H156" s="8">
        <v>0.74158730158730157</v>
      </c>
      <c r="I156" s="8">
        <v>0</v>
      </c>
      <c r="J156" s="8">
        <v>1.8146031746031743</v>
      </c>
      <c r="K156">
        <f t="shared" si="9"/>
        <v>100.00000000000001</v>
      </c>
      <c r="M156" s="8">
        <f t="shared" si="17"/>
        <v>1575</v>
      </c>
      <c r="N156" s="7">
        <f>((M39*N39)+(M96*N96))/(M39+M96)</f>
        <v>70.939212698412703</v>
      </c>
      <c r="O156" s="8">
        <f>((M39*O39)+(M96*O96))/(M39+M96)</f>
        <v>291.29514920634921</v>
      </c>
      <c r="P156" s="42">
        <f>((M39*P39)+(M96*P96))/(M39+M96)</f>
        <v>0.95224402243820883</v>
      </c>
      <c r="R156" s="8">
        <f t="shared" si="18"/>
        <v>1</v>
      </c>
      <c r="T156" s="2"/>
      <c r="U156" s="8"/>
      <c r="X156" s="2">
        <v>43200</v>
      </c>
      <c r="Y156">
        <v>1575</v>
      </c>
      <c r="AB156" s="7">
        <v>70.939212698412703</v>
      </c>
      <c r="AE156" s="8">
        <v>291.29514920634921</v>
      </c>
      <c r="AH156" s="42">
        <v>0.95224402243820883</v>
      </c>
      <c r="AJ156" s="2"/>
    </row>
    <row r="157" spans="1:45" x14ac:dyDescent="0.35">
      <c r="A157" s="2">
        <v>43201</v>
      </c>
      <c r="M157" s="8">
        <f t="shared" si="17"/>
        <v>788</v>
      </c>
      <c r="N157" s="7"/>
      <c r="O157" s="8"/>
      <c r="P157" s="42"/>
      <c r="R157" s="8">
        <f t="shared" si="18"/>
        <v>2</v>
      </c>
      <c r="T157" s="2"/>
      <c r="U157" s="8"/>
      <c r="V157" s="85"/>
      <c r="X157" s="2">
        <v>43206</v>
      </c>
      <c r="Y157">
        <v>4187</v>
      </c>
      <c r="Z157" s="8">
        <v>78</v>
      </c>
      <c r="AA157" s="8">
        <v>176</v>
      </c>
      <c r="AB157" s="7">
        <v>69.565986984815609</v>
      </c>
      <c r="AC157" s="7">
        <v>69.389610389610397</v>
      </c>
      <c r="AD157" s="7">
        <v>68.745098039215691</v>
      </c>
      <c r="AE157" s="8">
        <v>276.88416485900217</v>
      </c>
      <c r="AF157" s="8">
        <v>285.54545454545456</v>
      </c>
      <c r="AG157" s="8">
        <v>271.31372549019608</v>
      </c>
      <c r="AH157" s="42">
        <v>0.96098029726862721</v>
      </c>
      <c r="AI157" s="42">
        <v>0.99465351402605007</v>
      </c>
      <c r="AJ157" s="42">
        <v>0.97095957393785437</v>
      </c>
    </row>
    <row r="158" spans="1:45" x14ac:dyDescent="0.35">
      <c r="A158" s="2">
        <v>43203</v>
      </c>
      <c r="M158" s="8">
        <f t="shared" si="17"/>
        <v>1094</v>
      </c>
      <c r="N158" s="7"/>
      <c r="O158" s="8"/>
      <c r="P158" s="42"/>
      <c r="R158" s="8">
        <f t="shared" si="18"/>
        <v>1</v>
      </c>
      <c r="T158" s="2"/>
      <c r="U158" s="8"/>
      <c r="V158" s="85"/>
      <c r="X158" s="2">
        <v>43213</v>
      </c>
      <c r="Y158">
        <v>14037</v>
      </c>
      <c r="Z158" s="8">
        <v>282</v>
      </c>
      <c r="AA158" s="8">
        <v>123</v>
      </c>
      <c r="AB158" s="7">
        <v>69.397003212084385</v>
      </c>
      <c r="AC158" s="7">
        <v>69.297468354430379</v>
      </c>
      <c r="AD158" s="7">
        <v>69.980392156862749</v>
      </c>
      <c r="AE158" s="8">
        <v>258.01749804670544</v>
      </c>
      <c r="AF158" s="8">
        <v>264.01265822784808</v>
      </c>
      <c r="AG158" s="8">
        <v>266.94117647058823</v>
      </c>
      <c r="AH158" s="42">
        <v>0.89682331114347613</v>
      </c>
      <c r="AI158" s="42">
        <v>0.91652711425043365</v>
      </c>
      <c r="AJ158" s="42">
        <v>0.90713962231381917</v>
      </c>
    </row>
    <row r="159" spans="1:45" x14ac:dyDescent="0.35">
      <c r="A159" s="2">
        <v>43206</v>
      </c>
      <c r="B159" s="8">
        <v>0</v>
      </c>
      <c r="C159" s="8">
        <v>0</v>
      </c>
      <c r="D159" s="8">
        <v>0.85032537960954457</v>
      </c>
      <c r="E159" s="8">
        <v>1.7006507592190891</v>
      </c>
      <c r="F159" s="8">
        <v>20.299349240780909</v>
      </c>
      <c r="G159" s="8">
        <v>54.850325379609558</v>
      </c>
      <c r="H159" s="8">
        <v>21.149674620390453</v>
      </c>
      <c r="I159" s="8">
        <v>1.1496746203904555</v>
      </c>
      <c r="J159" s="8">
        <v>0</v>
      </c>
      <c r="K159">
        <f t="shared" si="9"/>
        <v>100.00000000000001</v>
      </c>
      <c r="M159" s="8">
        <f t="shared" si="17"/>
        <v>2305</v>
      </c>
      <c r="N159" s="7">
        <f>((M42*N42)+(M99*N99))/(M42+M99)</f>
        <v>69.565986984815609</v>
      </c>
      <c r="O159" s="8">
        <f>((M42*O42)+(M99*O99))/(M42+M99)</f>
        <v>276.88416485900217</v>
      </c>
      <c r="P159" s="42">
        <f>((M42*P42)+(M99*P99))/(M42+M99)</f>
        <v>0.96098029726862721</v>
      </c>
      <c r="R159" s="8">
        <f t="shared" si="18"/>
        <v>0</v>
      </c>
      <c r="T159" s="2"/>
      <c r="U159" s="8"/>
      <c r="X159" s="2">
        <v>43214</v>
      </c>
      <c r="Y159">
        <v>2856</v>
      </c>
      <c r="AB159" s="7">
        <v>69.42</v>
      </c>
      <c r="AE159" s="8">
        <v>271.81</v>
      </c>
      <c r="AH159" s="42">
        <v>0.94789237795168224</v>
      </c>
    </row>
    <row r="160" spans="1:45" x14ac:dyDescent="0.35">
      <c r="A160" s="2">
        <v>43210</v>
      </c>
      <c r="M160" s="8">
        <f t="shared" si="17"/>
        <v>2518</v>
      </c>
      <c r="N160" s="7"/>
      <c r="O160" s="8"/>
      <c r="P160" s="42"/>
      <c r="R160" s="8">
        <f t="shared" si="18"/>
        <v>1</v>
      </c>
      <c r="T160" s="2"/>
      <c r="U160" s="8"/>
      <c r="V160" s="85"/>
      <c r="X160" s="2">
        <v>43222</v>
      </c>
      <c r="Y160">
        <v>8559</v>
      </c>
      <c r="Z160" s="8">
        <v>184</v>
      </c>
      <c r="AA160" s="8">
        <v>60</v>
      </c>
      <c r="AB160" s="7">
        <v>70.062111798058751</v>
      </c>
      <c r="AC160" s="7">
        <v>68.639534883720927</v>
      </c>
      <c r="AD160" s="7">
        <v>69.275862068965523</v>
      </c>
      <c r="AE160" s="8">
        <v>296.90232514335139</v>
      </c>
      <c r="AF160" s="8">
        <v>278.65697674418607</v>
      </c>
      <c r="AG160" s="8">
        <v>278.5344827586207</v>
      </c>
      <c r="AH160" s="42">
        <v>1.0051779443434206</v>
      </c>
      <c r="AI160" s="42">
        <v>1.0032696168551445</v>
      </c>
      <c r="AJ160" s="42">
        <v>0.98170014169358155</v>
      </c>
    </row>
    <row r="161" spans="1:36" x14ac:dyDescent="0.35">
      <c r="A161" s="2">
        <v>43213</v>
      </c>
      <c r="B161" s="8">
        <v>0</v>
      </c>
      <c r="C161" s="8">
        <v>1.0844691379460023</v>
      </c>
      <c r="D161" s="8">
        <v>0</v>
      </c>
      <c r="E161" s="8">
        <v>0</v>
      </c>
      <c r="F161" s="8">
        <v>5.8310617241079949</v>
      </c>
      <c r="G161" s="8">
        <v>30.506814827676017</v>
      </c>
      <c r="H161" s="8">
        <v>62.577654310269978</v>
      </c>
      <c r="I161" s="8">
        <v>0</v>
      </c>
      <c r="J161" s="8">
        <v>0</v>
      </c>
      <c r="K161">
        <f t="shared" si="9"/>
        <v>100</v>
      </c>
      <c r="M161" s="8">
        <f t="shared" si="17"/>
        <v>11519</v>
      </c>
      <c r="N161" s="7">
        <f>((M44*N44)+(M101*N101))/(M44+M101)</f>
        <v>69.397003212084385</v>
      </c>
      <c r="O161" s="8">
        <f>((M44*O44)+(M101*O101))/(M44+M101)</f>
        <v>258.01749804670544</v>
      </c>
      <c r="P161" s="42">
        <f>((M44*P44)+(M101*P101))/(M44+M101)</f>
        <v>0.89682331114347613</v>
      </c>
      <c r="R161" s="8">
        <f t="shared" si="18"/>
        <v>11</v>
      </c>
      <c r="U161" s="42"/>
      <c r="X161" s="2">
        <v>43227</v>
      </c>
      <c r="Y161">
        <v>423</v>
      </c>
      <c r="Z161" s="8">
        <v>74</v>
      </c>
      <c r="AB161" s="7">
        <v>70.74316784869977</v>
      </c>
      <c r="AC161" s="7">
        <v>69.041095890410958</v>
      </c>
      <c r="AE161" s="8">
        <v>284.51276595744679</v>
      </c>
      <c r="AF161" s="8">
        <v>279.06849315068496</v>
      </c>
      <c r="AH161" s="42">
        <v>0.93706946743378505</v>
      </c>
      <c r="AI161" s="42">
        <v>0.98625443288095915</v>
      </c>
    </row>
    <row r="162" spans="1:36" x14ac:dyDescent="0.35">
      <c r="A162" s="2">
        <v>43214</v>
      </c>
      <c r="B162">
        <v>0</v>
      </c>
      <c r="C162">
        <v>0</v>
      </c>
      <c r="D162">
        <v>0</v>
      </c>
      <c r="E162">
        <v>2</v>
      </c>
      <c r="F162">
        <v>10</v>
      </c>
      <c r="G162">
        <v>49</v>
      </c>
      <c r="H162">
        <v>39</v>
      </c>
      <c r="I162">
        <v>0</v>
      </c>
      <c r="J162">
        <v>0</v>
      </c>
      <c r="K162">
        <f t="shared" si="9"/>
        <v>100</v>
      </c>
      <c r="M162" s="8">
        <f t="shared" si="17"/>
        <v>2856</v>
      </c>
      <c r="N162" s="7">
        <v>69.42</v>
      </c>
      <c r="O162" s="8">
        <v>271.81</v>
      </c>
      <c r="P162" s="42">
        <v>0.94789237795168224</v>
      </c>
      <c r="R162" s="8">
        <f t="shared" si="18"/>
        <v>2</v>
      </c>
      <c r="U162" s="42"/>
      <c r="V162" s="85"/>
      <c r="X162" s="2">
        <v>43234</v>
      </c>
      <c r="Y162">
        <v>7471</v>
      </c>
      <c r="Z162" s="8">
        <v>390</v>
      </c>
      <c r="AA162" s="8">
        <v>38</v>
      </c>
      <c r="AB162" s="7">
        <v>70.441697229286561</v>
      </c>
      <c r="AC162" s="7">
        <v>70.058419243986251</v>
      </c>
      <c r="AD162" s="7">
        <v>69.263157894736835</v>
      </c>
      <c r="AE162" s="8">
        <v>271.98662294204257</v>
      </c>
      <c r="AF162" s="8">
        <v>293.26804123711338</v>
      </c>
      <c r="AG162" s="8">
        <v>257.73684210526318</v>
      </c>
      <c r="AH162" s="42">
        <v>0.91354366094485118</v>
      </c>
      <c r="AI162" s="42">
        <v>0.99586056299919046</v>
      </c>
      <c r="AJ162" s="42">
        <v>0.91378742836792448</v>
      </c>
    </row>
    <row r="163" spans="1:36" x14ac:dyDescent="0.35">
      <c r="A163" s="2">
        <v>43215</v>
      </c>
      <c r="M163" s="8">
        <f t="shared" si="17"/>
        <v>3326</v>
      </c>
      <c r="N163" s="7"/>
      <c r="O163" s="8"/>
      <c r="P163" s="42"/>
      <c r="R163" s="8">
        <f t="shared" si="18"/>
        <v>2</v>
      </c>
      <c r="U163" s="42"/>
      <c r="X163" s="2">
        <v>43242</v>
      </c>
      <c r="Y163">
        <v>2067</v>
      </c>
      <c r="Z163" s="8">
        <v>623</v>
      </c>
      <c r="AB163" s="7">
        <v>70.613507498790511</v>
      </c>
      <c r="AC163" s="7">
        <v>70.424342105263165</v>
      </c>
      <c r="AE163" s="8">
        <v>273.9929172714078</v>
      </c>
      <c r="AF163" s="8">
        <v>308.76973684210526</v>
      </c>
      <c r="AH163" s="42">
        <v>0.91396853008919188</v>
      </c>
      <c r="AI163" s="42">
        <v>1.0296493232787736</v>
      </c>
    </row>
    <row r="164" spans="1:36" x14ac:dyDescent="0.35">
      <c r="A164" s="2">
        <v>43216</v>
      </c>
      <c r="M164" s="8">
        <f t="shared" si="17"/>
        <v>1704</v>
      </c>
      <c r="N164" s="7"/>
      <c r="O164" s="8"/>
      <c r="P164" s="42"/>
      <c r="R164" s="8">
        <f t="shared" si="18"/>
        <v>4</v>
      </c>
      <c r="U164" s="42"/>
      <c r="X164" s="2">
        <v>43248</v>
      </c>
      <c r="Y164">
        <v>158</v>
      </c>
      <c r="Z164" s="8">
        <v>201</v>
      </c>
      <c r="AB164" s="7">
        <v>70.039746835443026</v>
      </c>
      <c r="AC164" s="7">
        <v>70.743718592964825</v>
      </c>
      <c r="AE164" s="8">
        <v>244.77493670886076</v>
      </c>
      <c r="AF164" s="8">
        <v>327.42713567839195</v>
      </c>
      <c r="AH164" s="42">
        <v>0.8301800844740217</v>
      </c>
      <c r="AI164" s="42">
        <v>1.0747347153777391</v>
      </c>
    </row>
    <row r="165" spans="1:36" x14ac:dyDescent="0.35">
      <c r="A165" s="2">
        <v>43217</v>
      </c>
      <c r="M165" s="8">
        <f t="shared" si="17"/>
        <v>584</v>
      </c>
      <c r="N165" s="7"/>
      <c r="O165" s="8"/>
      <c r="P165" s="42"/>
      <c r="R165" s="8">
        <f t="shared" si="18"/>
        <v>0</v>
      </c>
      <c r="U165" s="42"/>
      <c r="W165" s="8"/>
      <c r="X165" s="2"/>
      <c r="Y165" s="82">
        <f>SUM(Y150:Y164)</f>
        <v>42418</v>
      </c>
      <c r="Z165" s="82">
        <f t="shared" ref="Z165:AA165" si="19">SUM(Z150:Z164)</f>
        <v>1885</v>
      </c>
      <c r="AA165" s="82">
        <f t="shared" si="19"/>
        <v>1025</v>
      </c>
      <c r="AB165" s="8"/>
      <c r="AE165" s="42"/>
    </row>
    <row r="166" spans="1:36" x14ac:dyDescent="0.35">
      <c r="A166" s="2">
        <v>43222</v>
      </c>
      <c r="B166" s="8">
        <v>0</v>
      </c>
      <c r="C166" s="8">
        <v>0</v>
      </c>
      <c r="D166" s="8">
        <v>0</v>
      </c>
      <c r="E166" s="8">
        <v>0</v>
      </c>
      <c r="F166" s="8">
        <v>6.9783013311036051</v>
      </c>
      <c r="G166" s="8">
        <v>22.129112015758032</v>
      </c>
      <c r="H166" s="8">
        <v>69.467721996060476</v>
      </c>
      <c r="I166" s="8">
        <v>1.424864657077874</v>
      </c>
      <c r="J166" s="8">
        <v>0</v>
      </c>
      <c r="K166">
        <f t="shared" si="9"/>
        <v>99.999999999999986</v>
      </c>
      <c r="M166" s="8">
        <f t="shared" si="17"/>
        <v>2945</v>
      </c>
      <c r="N166" s="7">
        <f>((M49*N49)+(M106*N106))/(M49+M106)</f>
        <v>70.062111798058751</v>
      </c>
      <c r="O166" s="8">
        <f>((M49*O49)+(M106*O106))/(M49+M106)</f>
        <v>296.90232514335139</v>
      </c>
      <c r="P166" s="42">
        <f>((M49*P49)+(M106*P106))/(M49+M106)</f>
        <v>1.0051779443434206</v>
      </c>
      <c r="R166" s="8">
        <f t="shared" si="18"/>
        <v>9</v>
      </c>
      <c r="U166" s="42"/>
    </row>
    <row r="167" spans="1:36" x14ac:dyDescent="0.35">
      <c r="A167" s="2">
        <v>43227</v>
      </c>
      <c r="B167" s="8">
        <v>0</v>
      </c>
      <c r="C167" s="8">
        <v>0</v>
      </c>
      <c r="D167" s="8">
        <v>0</v>
      </c>
      <c r="E167" s="8">
        <v>1.4508876836786726</v>
      </c>
      <c r="F167" s="8">
        <v>13.206144432677599</v>
      </c>
      <c r="G167" s="8">
        <v>23.911834237240996</v>
      </c>
      <c r="H167" s="8">
        <v>56.028903650931184</v>
      </c>
      <c r="I167" s="8">
        <v>5.402229995471548</v>
      </c>
      <c r="J167" s="8">
        <v>0</v>
      </c>
      <c r="K167">
        <f t="shared" si="9"/>
        <v>100</v>
      </c>
      <c r="M167" s="8">
        <f t="shared" si="17"/>
        <v>423</v>
      </c>
      <c r="N167" s="7">
        <f>((M50*N50)+(M107*N107))/(M50+M107)</f>
        <v>70.74316784869977</v>
      </c>
      <c r="O167" s="8">
        <f>((M50*O50)+(M107*O107))/(M50+M107)</f>
        <v>284.51276595744679</v>
      </c>
      <c r="P167" s="42">
        <f>((M50*P50)+(M107*P107))/(M50+M107)</f>
        <v>0.93706946743378505</v>
      </c>
      <c r="R167" s="8">
        <f t="shared" si="18"/>
        <v>0</v>
      </c>
      <c r="U167" s="42"/>
    </row>
    <row r="168" spans="1:36" x14ac:dyDescent="0.35">
      <c r="A168" s="2">
        <v>43234</v>
      </c>
      <c r="B168" s="8">
        <v>0</v>
      </c>
      <c r="C168" s="8">
        <v>0</v>
      </c>
      <c r="D168" s="8">
        <v>0</v>
      </c>
      <c r="E168" s="8">
        <v>0.60232900548788648</v>
      </c>
      <c r="F168" s="8">
        <v>4.1930129835363408</v>
      </c>
      <c r="G168" s="8">
        <v>8.7953419890242266</v>
      </c>
      <c r="H168" s="8">
        <v>50.795341989024223</v>
      </c>
      <c r="I168" s="8">
        <v>25.806987016463662</v>
      </c>
      <c r="J168" s="8">
        <v>9.8069870164636601</v>
      </c>
      <c r="K168">
        <f t="shared" si="9"/>
        <v>100</v>
      </c>
      <c r="M168" s="8">
        <f t="shared" si="17"/>
        <v>7471</v>
      </c>
      <c r="N168" s="7">
        <f>((M51*N51)+(M108*N108))/(M51+M108)</f>
        <v>70.441697229286561</v>
      </c>
      <c r="O168" s="8">
        <f>((M51*O51)+(M108*O108))/(M51+M108)</f>
        <v>271.98662294204257</v>
      </c>
      <c r="P168" s="42">
        <f>((M51*P51)+(M108*P108))/(M51+M108)</f>
        <v>0.91354366094485118</v>
      </c>
      <c r="R168" s="8">
        <f t="shared" si="18"/>
        <v>8</v>
      </c>
      <c r="U168" s="42"/>
    </row>
    <row r="169" spans="1:36" x14ac:dyDescent="0.35">
      <c r="A169" s="2">
        <v>43242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4.9704886308659892</v>
      </c>
      <c r="H169" s="8">
        <v>34.455732946298987</v>
      </c>
      <c r="I169" s="8">
        <v>43.029511369134013</v>
      </c>
      <c r="J169" s="8">
        <v>17.544267053701017</v>
      </c>
      <c r="K169">
        <f>SUM(B169:J169)</f>
        <v>100</v>
      </c>
      <c r="M169" s="8">
        <f t="shared" si="17"/>
        <v>2067</v>
      </c>
      <c r="N169" s="7">
        <f>((M52*N52)+(M109*N109))/(M52+M109)</f>
        <v>70.613507498790511</v>
      </c>
      <c r="O169" s="8">
        <f>((M52*O52)+(M109*O109))/(M52+M109)</f>
        <v>273.9929172714078</v>
      </c>
      <c r="P169" s="42">
        <f>((M52*P52)+(M109*P109))/(M52+M109)</f>
        <v>0.91396853008919188</v>
      </c>
      <c r="R169" s="8">
        <f t="shared" si="18"/>
        <v>5</v>
      </c>
      <c r="U169" s="42"/>
    </row>
    <row r="170" spans="1:36" x14ac:dyDescent="0.35">
      <c r="A170" s="2">
        <v>43248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26.50632911392405</v>
      </c>
      <c r="I170" s="8">
        <v>17.113924050632914</v>
      </c>
      <c r="J170" s="8">
        <v>56.379746835443036</v>
      </c>
      <c r="K170">
        <f>SUM(B170:J170)</f>
        <v>100</v>
      </c>
      <c r="M170" s="8">
        <f t="shared" si="17"/>
        <v>158</v>
      </c>
      <c r="N170" s="7">
        <f>((M53*N53)+(M110*N110))/(M53+M110)</f>
        <v>70.039746835443026</v>
      </c>
      <c r="O170" s="8">
        <f>((M53*O53)+(M110*O110))/(M53+M110)</f>
        <v>244.77493670886076</v>
      </c>
      <c r="P170" s="42">
        <f>((M53*P53)+(M110*P110))/(M53+M110)</f>
        <v>0.8301800844740217</v>
      </c>
      <c r="R170" s="8">
        <f t="shared" si="18"/>
        <v>2</v>
      </c>
      <c r="T170" s="8"/>
      <c r="U170" s="42"/>
    </row>
    <row r="171" spans="1:36" x14ac:dyDescent="0.35">
      <c r="M171" s="8"/>
      <c r="P171" s="42"/>
      <c r="U171" s="42"/>
    </row>
    <row r="172" spans="1:36" x14ac:dyDescent="0.35">
      <c r="M172" s="8"/>
      <c r="O172" s="8"/>
      <c r="P172" s="42"/>
      <c r="U172" s="42"/>
    </row>
    <row r="173" spans="1:36" x14ac:dyDescent="0.35">
      <c r="M173" s="8"/>
      <c r="P173" s="42"/>
      <c r="S173" s="8"/>
      <c r="U173" s="42"/>
    </row>
    <row r="174" spans="1:36" x14ac:dyDescent="0.35">
      <c r="M174" s="8"/>
      <c r="O174" s="8"/>
      <c r="P174" s="42"/>
      <c r="U174" s="42"/>
    </row>
    <row r="175" spans="1:36" x14ac:dyDescent="0.35">
      <c r="M175" s="8"/>
      <c r="P175" s="42"/>
      <c r="U175" s="42"/>
    </row>
    <row r="176" spans="1:36" x14ac:dyDescent="0.35">
      <c r="M176" s="8"/>
      <c r="P176" s="42"/>
      <c r="U176" s="42"/>
    </row>
    <row r="177" spans="1:43" x14ac:dyDescent="0.35">
      <c r="M177" s="8"/>
      <c r="P177" s="42"/>
      <c r="U177" s="42"/>
    </row>
    <row r="178" spans="1:43" x14ac:dyDescent="0.35">
      <c r="M178" s="8"/>
      <c r="P178" s="42"/>
      <c r="U178" s="42"/>
    </row>
    <row r="179" spans="1:43" x14ac:dyDescent="0.35">
      <c r="M179" s="8"/>
      <c r="P179" s="42"/>
      <c r="U179" s="42"/>
    </row>
    <row r="180" spans="1:43" x14ac:dyDescent="0.35">
      <c r="A180" s="45" t="s">
        <v>368</v>
      </c>
      <c r="K180">
        <f t="shared" si="9"/>
        <v>0</v>
      </c>
      <c r="M180" s="8">
        <f>SUM(M132:M147)+5</f>
        <v>66963</v>
      </c>
      <c r="N180" s="8">
        <f>M180/M148</f>
        <v>2.8281876926975547</v>
      </c>
      <c r="P180" s="42"/>
      <c r="U180" s="42"/>
    </row>
    <row r="181" spans="1:43" x14ac:dyDescent="0.35">
      <c r="A181" t="s">
        <v>284</v>
      </c>
      <c r="K181">
        <f t="shared" si="9"/>
        <v>0</v>
      </c>
      <c r="P181" s="42"/>
      <c r="U181" s="42"/>
      <c r="AQ181" s="2"/>
    </row>
    <row r="182" spans="1:43" x14ac:dyDescent="0.35">
      <c r="A182" s="2">
        <v>42440</v>
      </c>
      <c r="K182">
        <f t="shared" si="9"/>
        <v>0</v>
      </c>
      <c r="M182">
        <v>0</v>
      </c>
      <c r="P182" s="42"/>
      <c r="R182">
        <v>0</v>
      </c>
      <c r="U182" s="42"/>
      <c r="AQ182" s="2"/>
    </row>
    <row r="183" spans="1:43" x14ac:dyDescent="0.35">
      <c r="A183" s="2">
        <v>42447</v>
      </c>
      <c r="K183">
        <f t="shared" si="9"/>
        <v>0</v>
      </c>
      <c r="M183">
        <v>13</v>
      </c>
      <c r="P183" s="42"/>
      <c r="R183">
        <v>0</v>
      </c>
      <c r="U183" s="42"/>
      <c r="AQ183" s="2"/>
    </row>
    <row r="184" spans="1:43" x14ac:dyDescent="0.35">
      <c r="A184" s="13">
        <v>42454</v>
      </c>
      <c r="B184" s="8">
        <v>0</v>
      </c>
      <c r="C184" s="8">
        <v>5.4545454545454541</v>
      </c>
      <c r="D184" s="8">
        <v>9.0909090909090917</v>
      </c>
      <c r="E184" s="8">
        <v>10.909090909090908</v>
      </c>
      <c r="F184" s="8">
        <v>32.727272727272727</v>
      </c>
      <c r="G184" s="8">
        <v>38.181818181818187</v>
      </c>
      <c r="H184" s="8">
        <v>1.8181818181818181</v>
      </c>
      <c r="I184" s="8">
        <v>1.8181818181818181</v>
      </c>
      <c r="J184" s="8">
        <v>0</v>
      </c>
      <c r="K184">
        <f t="shared" si="9"/>
        <v>100</v>
      </c>
      <c r="M184" s="8">
        <v>90</v>
      </c>
      <c r="N184" s="7">
        <v>71.109090909090909</v>
      </c>
      <c r="O184" s="8">
        <v>301.03636363636366</v>
      </c>
      <c r="P184" s="42">
        <v>0.97107724618239166</v>
      </c>
      <c r="R184">
        <v>0</v>
      </c>
      <c r="U184" s="42"/>
      <c r="AQ184" s="2"/>
    </row>
    <row r="185" spans="1:43" x14ac:dyDescent="0.35">
      <c r="A185" s="2">
        <v>42461</v>
      </c>
      <c r="C185" s="8"/>
      <c r="D185" s="8"/>
      <c r="E185" s="8"/>
      <c r="F185" s="8"/>
      <c r="G185" s="8"/>
      <c r="H185" s="8"/>
      <c r="K185">
        <f t="shared" si="9"/>
        <v>0</v>
      </c>
      <c r="M185" s="8">
        <v>7</v>
      </c>
      <c r="N185" s="7">
        <v>70.714285714285708</v>
      </c>
      <c r="O185" s="8">
        <v>294.71428571428572</v>
      </c>
      <c r="P185" s="42">
        <v>0.96327728973589954</v>
      </c>
      <c r="R185">
        <v>2</v>
      </c>
      <c r="U185" s="42"/>
      <c r="AQ185" s="2"/>
    </row>
    <row r="186" spans="1:43" x14ac:dyDescent="0.35">
      <c r="A186" s="2">
        <v>42468</v>
      </c>
      <c r="K186">
        <f t="shared" si="9"/>
        <v>0</v>
      </c>
      <c r="M186">
        <v>3</v>
      </c>
      <c r="P186" s="42">
        <v>1.0241288005218374</v>
      </c>
      <c r="R186">
        <v>14</v>
      </c>
      <c r="S186" s="8">
        <v>108.78571428571429</v>
      </c>
      <c r="T186" s="8">
        <v>1442.1428571428571</v>
      </c>
      <c r="U186" s="42">
        <v>1.1181315947616259</v>
      </c>
      <c r="AQ186" s="2"/>
    </row>
    <row r="187" spans="1:43" x14ac:dyDescent="0.35">
      <c r="A187" s="2">
        <v>42475</v>
      </c>
      <c r="B187" s="8">
        <v>0</v>
      </c>
      <c r="C187" s="8">
        <v>0</v>
      </c>
      <c r="D187" s="8">
        <v>0</v>
      </c>
      <c r="E187" s="8">
        <v>0</v>
      </c>
      <c r="F187" s="8">
        <v>12.5</v>
      </c>
      <c r="G187" s="8">
        <v>70.833333333333343</v>
      </c>
      <c r="H187" s="8">
        <v>12.5</v>
      </c>
      <c r="I187" s="8">
        <v>0</v>
      </c>
      <c r="J187" s="8">
        <v>4.1666666666666661</v>
      </c>
      <c r="K187">
        <f t="shared" si="9"/>
        <v>100.00000000000001</v>
      </c>
      <c r="M187">
        <v>24</v>
      </c>
      <c r="N187" s="7">
        <v>69.666666666666671</v>
      </c>
      <c r="O187" s="8">
        <v>287.83333333333331</v>
      </c>
      <c r="P187" s="42">
        <v>0.97766597075578543</v>
      </c>
      <c r="R187">
        <v>13</v>
      </c>
      <c r="S187" s="8">
        <v>99.769230769230774</v>
      </c>
      <c r="T187" s="8">
        <v>1267.2307692307693</v>
      </c>
      <c r="U187" s="42">
        <v>1.2332566850597557</v>
      </c>
      <c r="AQ187" s="2"/>
    </row>
    <row r="188" spans="1:43" x14ac:dyDescent="0.35">
      <c r="A188" s="2">
        <v>42482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23.076923076923077</v>
      </c>
      <c r="H188" s="8">
        <v>76.923076923076934</v>
      </c>
      <c r="I188" s="8">
        <v>0</v>
      </c>
      <c r="J188" s="8">
        <v>0</v>
      </c>
      <c r="K188">
        <f t="shared" si="9"/>
        <v>100.00000000000001</v>
      </c>
      <c r="M188">
        <v>13</v>
      </c>
      <c r="N188" s="7">
        <v>71.461538461538467</v>
      </c>
      <c r="O188" s="8">
        <v>306.53846153846155</v>
      </c>
      <c r="P188" s="42">
        <v>0.98858582369340842</v>
      </c>
      <c r="R188">
        <v>22</v>
      </c>
      <c r="S188" s="8">
        <v>109.04545454545455</v>
      </c>
      <c r="T188" s="8">
        <v>1817.6363636363637</v>
      </c>
      <c r="U188" s="42">
        <v>1.34880996220139</v>
      </c>
      <c r="AQ188" s="2"/>
    </row>
    <row r="189" spans="1:43" x14ac:dyDescent="0.35">
      <c r="A189" s="2">
        <v>42489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10</v>
      </c>
      <c r="H189" s="8">
        <v>90</v>
      </c>
      <c r="I189" s="8">
        <v>0</v>
      </c>
      <c r="J189" s="8">
        <v>0</v>
      </c>
      <c r="K189">
        <f t="shared" si="9"/>
        <v>100</v>
      </c>
      <c r="M189">
        <v>10</v>
      </c>
      <c r="N189">
        <v>68.5</v>
      </c>
      <c r="O189" s="8">
        <v>287.3</v>
      </c>
      <c r="P189" s="42">
        <v>1.0283818581934538</v>
      </c>
      <c r="R189">
        <v>9</v>
      </c>
      <c r="S189" s="8">
        <v>101.33333333333333</v>
      </c>
      <c r="T189" s="8">
        <v>1300.1111111111111</v>
      </c>
      <c r="U189" s="42">
        <v>1.2844771270437043</v>
      </c>
      <c r="AQ189" s="2"/>
    </row>
    <row r="190" spans="1:43" x14ac:dyDescent="0.35">
      <c r="A190" s="2">
        <v>42494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25</v>
      </c>
      <c r="H190" s="8">
        <v>75</v>
      </c>
      <c r="I190" s="8">
        <v>0</v>
      </c>
      <c r="J190" s="8">
        <v>0</v>
      </c>
      <c r="K190">
        <f t="shared" si="9"/>
        <v>100</v>
      </c>
      <c r="M190">
        <v>8</v>
      </c>
      <c r="N190" s="7">
        <v>69.375</v>
      </c>
      <c r="O190" s="8">
        <v>317</v>
      </c>
      <c r="P190" s="42">
        <v>1.1121801350172258</v>
      </c>
      <c r="R190">
        <v>11</v>
      </c>
      <c r="S190" s="8">
        <v>118.09090909090909</v>
      </c>
      <c r="T190" s="8">
        <v>2726.2727272727275</v>
      </c>
      <c r="U190" s="42">
        <v>1.2637835192652247</v>
      </c>
      <c r="AQ190" s="2"/>
    </row>
    <row r="191" spans="1:43" x14ac:dyDescent="0.35">
      <c r="A191" s="2">
        <v>42503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1.9417475728155338</v>
      </c>
      <c r="H191" s="8">
        <v>45.631067961165051</v>
      </c>
      <c r="I191" s="8">
        <v>25.242718446601941</v>
      </c>
      <c r="J191" s="8">
        <v>27.184466019417474</v>
      </c>
      <c r="K191">
        <f t="shared" si="9"/>
        <v>100</v>
      </c>
      <c r="M191">
        <v>103</v>
      </c>
      <c r="N191" s="7">
        <v>71.097087378640779</v>
      </c>
      <c r="O191" s="8">
        <v>333.11650485436894</v>
      </c>
      <c r="P191" s="42">
        <v>1.0780113283208652</v>
      </c>
      <c r="R191">
        <v>35</v>
      </c>
      <c r="S191" s="8">
        <v>109.74285714285715</v>
      </c>
      <c r="T191" s="8">
        <v>2055.1999999999998</v>
      </c>
      <c r="U191" s="42">
        <v>1.4110693401473946</v>
      </c>
      <c r="AQ191" s="2"/>
    </row>
    <row r="192" spans="1:43" x14ac:dyDescent="0.35">
      <c r="A192" s="2">
        <v>42510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9.3220338983050848</v>
      </c>
      <c r="I192" s="8">
        <v>19.491525423728813</v>
      </c>
      <c r="J192" s="8">
        <v>71.186440677966104</v>
      </c>
      <c r="K192">
        <f t="shared" si="9"/>
        <v>100</v>
      </c>
      <c r="M192">
        <v>125</v>
      </c>
      <c r="N192" s="7">
        <v>69.739999999999995</v>
      </c>
      <c r="O192" s="8">
        <v>342.01600000000002</v>
      </c>
      <c r="P192" s="42">
        <v>1.1669121332351196</v>
      </c>
      <c r="R192">
        <v>30</v>
      </c>
      <c r="S192" s="8">
        <v>106</v>
      </c>
      <c r="T192" s="8">
        <v>2051</v>
      </c>
      <c r="U192" s="42">
        <v>1.47</v>
      </c>
    </row>
    <row r="193" spans="1:21" x14ac:dyDescent="0.35">
      <c r="A193" s="2">
        <v>42517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4.5977011494252871</v>
      </c>
      <c r="I193" s="8">
        <v>14.942528735632186</v>
      </c>
      <c r="J193" s="8">
        <v>80.459770114942529</v>
      </c>
      <c r="K193">
        <f t="shared" si="9"/>
        <v>100</v>
      </c>
      <c r="M193">
        <v>87</v>
      </c>
      <c r="N193" s="7">
        <v>70.8735632183908</v>
      </c>
      <c r="O193" s="8">
        <v>359.70114942528738</v>
      </c>
      <c r="P193" s="42">
        <v>1.1749109160485109</v>
      </c>
      <c r="R193">
        <v>23</v>
      </c>
      <c r="S193" s="8">
        <v>108.47826086956522</v>
      </c>
      <c r="T193" s="8">
        <v>1962.8260869565217</v>
      </c>
      <c r="U193" s="42">
        <v>1.4416668683325826</v>
      </c>
    </row>
    <row r="194" spans="1:21" x14ac:dyDescent="0.35">
      <c r="K194">
        <f t="shared" si="9"/>
        <v>0</v>
      </c>
      <c r="P194" s="42"/>
      <c r="U194" s="42"/>
    </row>
    <row r="195" spans="1:21" x14ac:dyDescent="0.35">
      <c r="A195" s="2">
        <v>42804</v>
      </c>
      <c r="K195">
        <f t="shared" si="9"/>
        <v>0</v>
      </c>
      <c r="M195">
        <v>0</v>
      </c>
      <c r="P195" s="42"/>
      <c r="R195">
        <v>0</v>
      </c>
      <c r="U195" s="42"/>
    </row>
    <row r="196" spans="1:21" x14ac:dyDescent="0.35">
      <c r="A196" s="2">
        <v>42811</v>
      </c>
      <c r="B196" s="8">
        <v>0</v>
      </c>
      <c r="C196" s="8">
        <v>33.333333333333329</v>
      </c>
      <c r="D196" s="8">
        <v>25</v>
      </c>
      <c r="E196" s="8">
        <v>8.3333333333333321</v>
      </c>
      <c r="F196" s="8">
        <v>8.3333333333333321</v>
      </c>
      <c r="G196" s="8">
        <v>25</v>
      </c>
      <c r="H196" s="8">
        <v>0</v>
      </c>
      <c r="I196" s="8">
        <v>0</v>
      </c>
      <c r="J196" s="8">
        <v>0</v>
      </c>
      <c r="K196">
        <f t="shared" si="9"/>
        <v>99.999999999999986</v>
      </c>
      <c r="M196">
        <v>12</v>
      </c>
      <c r="N196" s="7">
        <v>69.666666666666671</v>
      </c>
      <c r="O196" s="8">
        <v>313</v>
      </c>
      <c r="P196" s="42">
        <v>1.0784484428874663</v>
      </c>
      <c r="R196">
        <v>2</v>
      </c>
      <c r="U196" s="42"/>
    </row>
    <row r="197" spans="1:21" x14ac:dyDescent="0.35">
      <c r="A197" s="2">
        <v>42818</v>
      </c>
      <c r="B197" s="8">
        <v>0</v>
      </c>
      <c r="C197" s="8">
        <v>11.363636363636363</v>
      </c>
      <c r="D197" s="8">
        <v>15.909090909090908</v>
      </c>
      <c r="E197" s="8">
        <v>9.0909090909090917</v>
      </c>
      <c r="F197" s="8">
        <v>40.909090909090914</v>
      </c>
      <c r="G197" s="8">
        <v>22.727272727272727</v>
      </c>
      <c r="H197" s="8">
        <v>0</v>
      </c>
      <c r="I197" s="8">
        <v>0</v>
      </c>
      <c r="J197" s="8">
        <v>0</v>
      </c>
      <c r="K197">
        <f t="shared" si="9"/>
        <v>100</v>
      </c>
      <c r="M197" s="8">
        <v>44</v>
      </c>
      <c r="N197" s="7">
        <v>68.38636363636364</v>
      </c>
      <c r="O197" s="8">
        <v>275.11363636363637</v>
      </c>
      <c r="P197" s="42">
        <v>0.99844150276528831</v>
      </c>
      <c r="R197">
        <v>1</v>
      </c>
      <c r="U197" s="42"/>
    </row>
    <row r="198" spans="1:21" x14ac:dyDescent="0.35">
      <c r="A198" s="2">
        <v>42825</v>
      </c>
      <c r="B198" s="8">
        <v>0</v>
      </c>
      <c r="C198" s="8">
        <v>8.8235294117647065</v>
      </c>
      <c r="D198" s="8">
        <v>0</v>
      </c>
      <c r="E198" s="8">
        <v>2.9411764705882351</v>
      </c>
      <c r="F198" s="8">
        <v>29.411764705882355</v>
      </c>
      <c r="G198" s="8">
        <v>50</v>
      </c>
      <c r="H198" s="8">
        <v>8.8235294117647065</v>
      </c>
      <c r="I198" s="8">
        <v>0</v>
      </c>
      <c r="J198" s="8">
        <v>0</v>
      </c>
      <c r="K198">
        <f t="shared" si="9"/>
        <v>100.00000000000001</v>
      </c>
      <c r="M198">
        <v>68</v>
      </c>
      <c r="N198" s="7">
        <v>68.411764705882348</v>
      </c>
      <c r="O198" s="8">
        <v>278.10294117647061</v>
      </c>
      <c r="P198" s="42">
        <v>1.018097162590804</v>
      </c>
      <c r="R198">
        <v>5</v>
      </c>
      <c r="U198" s="42">
        <v>1.2799964385126927</v>
      </c>
    </row>
    <row r="199" spans="1:21" x14ac:dyDescent="0.35">
      <c r="A199" s="2">
        <v>42832</v>
      </c>
      <c r="B199" s="8">
        <v>0</v>
      </c>
      <c r="C199" s="8">
        <v>0</v>
      </c>
      <c r="D199" s="8">
        <v>3.0303030303030303</v>
      </c>
      <c r="E199" s="8">
        <v>0</v>
      </c>
      <c r="F199" s="8">
        <v>18.181818181818183</v>
      </c>
      <c r="G199" s="8">
        <v>33.333333333333329</v>
      </c>
      <c r="H199" s="8">
        <v>42.424242424242422</v>
      </c>
      <c r="I199" s="8">
        <v>3.0303030303030303</v>
      </c>
      <c r="J199" s="8">
        <v>0</v>
      </c>
      <c r="K199">
        <f t="shared" si="9"/>
        <v>100</v>
      </c>
      <c r="M199">
        <v>33</v>
      </c>
      <c r="N199" s="7">
        <v>67.757575757575751</v>
      </c>
      <c r="O199" s="8">
        <v>267.39393939393938</v>
      </c>
      <c r="P199" s="42">
        <v>1.0207789250218771</v>
      </c>
      <c r="R199">
        <v>9</v>
      </c>
      <c r="S199" s="8">
        <v>105.22222222222223</v>
      </c>
      <c r="T199" s="8">
        <v>1561</v>
      </c>
      <c r="U199" s="42">
        <v>1.285196377575845</v>
      </c>
    </row>
    <row r="200" spans="1:21" x14ac:dyDescent="0.35">
      <c r="A200" s="2">
        <v>42839</v>
      </c>
      <c r="B200" s="8">
        <v>0</v>
      </c>
      <c r="C200" s="8">
        <v>0</v>
      </c>
      <c r="D200" s="8">
        <v>0</v>
      </c>
      <c r="E200" s="8">
        <v>1.4084507042253522</v>
      </c>
      <c r="F200" s="8">
        <v>2.8169014084507045</v>
      </c>
      <c r="G200" s="8">
        <v>14.084507042253522</v>
      </c>
      <c r="H200" s="8">
        <v>70.422535211267601</v>
      </c>
      <c r="I200" s="8">
        <v>11.267605633802818</v>
      </c>
      <c r="J200" s="8">
        <v>0</v>
      </c>
      <c r="K200">
        <f t="shared" si="9"/>
        <v>100</v>
      </c>
      <c r="M200">
        <v>71</v>
      </c>
      <c r="N200" s="7">
        <v>67.718309859154928</v>
      </c>
      <c r="O200" s="8">
        <v>282.05633802816902</v>
      </c>
      <c r="P200" s="42">
        <v>1.057563925692018</v>
      </c>
      <c r="R200">
        <v>28</v>
      </c>
      <c r="S200" s="8">
        <v>109.14285714285714</v>
      </c>
      <c r="T200" s="8">
        <v>2039.7857142857142</v>
      </c>
      <c r="U200" s="42">
        <v>1.3717005215005682</v>
      </c>
    </row>
    <row r="201" spans="1:21" x14ac:dyDescent="0.35">
      <c r="A201" s="2">
        <v>42846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6.557377049180328</v>
      </c>
      <c r="H201" s="8">
        <v>68.852459016393439</v>
      </c>
      <c r="I201" s="8">
        <v>24.590163934426229</v>
      </c>
      <c r="J201" s="8">
        <v>0</v>
      </c>
      <c r="K201">
        <f t="shared" si="9"/>
        <v>100</v>
      </c>
      <c r="M201">
        <v>61</v>
      </c>
      <c r="N201" s="7">
        <v>68.049180327868854</v>
      </c>
      <c r="O201" s="8">
        <v>267.5409836065574</v>
      </c>
      <c r="P201" s="42">
        <v>0.98947546314173185</v>
      </c>
      <c r="R201">
        <v>15</v>
      </c>
      <c r="S201" s="8">
        <v>112.73333333333333</v>
      </c>
      <c r="T201" s="8">
        <v>2108.8000000000002</v>
      </c>
      <c r="U201" s="42">
        <v>1.3629723104998674</v>
      </c>
    </row>
    <row r="202" spans="1:21" x14ac:dyDescent="0.35">
      <c r="A202" s="2">
        <v>42853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2.2727272727272729</v>
      </c>
      <c r="H202" s="8">
        <v>36.363636363636367</v>
      </c>
      <c r="I202" s="8">
        <v>47.727272727272727</v>
      </c>
      <c r="J202" s="8">
        <v>13.636363636363635</v>
      </c>
      <c r="K202">
        <f t="shared" si="9"/>
        <v>100.00000000000001</v>
      </c>
      <c r="M202" s="8">
        <v>46</v>
      </c>
      <c r="N202" s="7">
        <v>68.36363636363636</v>
      </c>
      <c r="O202" s="8">
        <v>314.63636363636363</v>
      </c>
      <c r="P202" s="42">
        <v>1.1562927754624392</v>
      </c>
      <c r="R202">
        <v>4</v>
      </c>
      <c r="U202" s="42"/>
    </row>
    <row r="203" spans="1:21" x14ac:dyDescent="0.35">
      <c r="A203" s="2">
        <v>42860</v>
      </c>
      <c r="B203" s="8">
        <v>0</v>
      </c>
      <c r="C203" s="8">
        <v>0</v>
      </c>
      <c r="D203" s="8">
        <v>0</v>
      </c>
      <c r="E203" s="8">
        <v>0</v>
      </c>
      <c r="F203" s="8">
        <v>1.4084507042253522</v>
      </c>
      <c r="G203" s="8">
        <v>1.4084507042253522</v>
      </c>
      <c r="H203" s="8">
        <v>16.901408450704224</v>
      </c>
      <c r="I203" s="8">
        <v>28.169014084507044</v>
      </c>
      <c r="J203" s="8">
        <v>52.112676056338024</v>
      </c>
      <c r="K203">
        <f t="shared" si="9"/>
        <v>100</v>
      </c>
      <c r="M203">
        <v>71</v>
      </c>
      <c r="N203" s="7">
        <v>68.098591549295776</v>
      </c>
      <c r="O203" s="8">
        <v>306.56338028169012</v>
      </c>
      <c r="P203" s="42">
        <v>1.1334635363536005</v>
      </c>
      <c r="R203">
        <v>13</v>
      </c>
      <c r="S203" s="8">
        <v>105.15384615384616</v>
      </c>
      <c r="T203" s="8">
        <v>1601.3076923076924</v>
      </c>
      <c r="U203" s="42">
        <v>1.2641428259128493</v>
      </c>
    </row>
    <row r="204" spans="1:21" x14ac:dyDescent="0.35">
      <c r="A204" s="2">
        <v>42867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6.5789473684210522</v>
      </c>
      <c r="I204" s="8">
        <v>52.631578947368418</v>
      </c>
      <c r="J204" s="8">
        <v>40.789473684210527</v>
      </c>
      <c r="K204">
        <f t="shared" si="9"/>
        <v>100</v>
      </c>
      <c r="M204">
        <v>76</v>
      </c>
      <c r="N204" s="7">
        <v>67.94736842105263</v>
      </c>
      <c r="O204" s="8">
        <v>326.11842105263156</v>
      </c>
      <c r="P204" s="42">
        <v>1.2129350681044888</v>
      </c>
      <c r="R204">
        <v>13</v>
      </c>
      <c r="S204" s="8">
        <v>113.61538461538461</v>
      </c>
      <c r="T204" s="8">
        <v>2283.6923076923076</v>
      </c>
      <c r="U204" s="42">
        <v>1.4173780426798817</v>
      </c>
    </row>
    <row r="205" spans="1:21" x14ac:dyDescent="0.35">
      <c r="A205" s="2">
        <v>42874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1.5873015873015872</v>
      </c>
      <c r="I205" s="8">
        <v>14.285714285714285</v>
      </c>
      <c r="J205" s="8">
        <v>84.126984126984127</v>
      </c>
      <c r="K205">
        <f t="shared" si="9"/>
        <v>100</v>
      </c>
      <c r="M205" s="8">
        <v>63</v>
      </c>
      <c r="N205" s="7">
        <v>70.365079365079367</v>
      </c>
      <c r="O205" s="8">
        <v>399</v>
      </c>
      <c r="P205" s="42">
        <v>1.3377644618416351</v>
      </c>
      <c r="R205">
        <v>13</v>
      </c>
      <c r="S205" s="8">
        <v>109.30769230769231</v>
      </c>
      <c r="T205" s="8">
        <v>1960.2307692307693</v>
      </c>
      <c r="U205" s="42">
        <v>1.4739915824770584</v>
      </c>
    </row>
    <row r="206" spans="1:21" x14ac:dyDescent="0.35">
      <c r="A206" s="2">
        <v>42879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0.72463768115942029</v>
      </c>
      <c r="H206" s="8">
        <v>0.72463768115942029</v>
      </c>
      <c r="I206" s="8">
        <v>3.6231884057971016</v>
      </c>
      <c r="J206" s="8">
        <v>94.927536231884062</v>
      </c>
      <c r="K206">
        <f t="shared" si="9"/>
        <v>100</v>
      </c>
      <c r="M206" s="8">
        <v>138</v>
      </c>
      <c r="N206" s="7">
        <v>71.717391304347828</v>
      </c>
      <c r="O206" s="8">
        <v>411.87681159420288</v>
      </c>
      <c r="P206" s="42">
        <v>1.2983647756553132</v>
      </c>
      <c r="R206">
        <v>29</v>
      </c>
      <c r="S206" s="8">
        <v>108.72413793103448</v>
      </c>
      <c r="T206" s="8">
        <v>2026.5862068965516</v>
      </c>
      <c r="U206" s="42">
        <v>1.3271274331367133</v>
      </c>
    </row>
    <row r="207" spans="1:21" x14ac:dyDescent="0.35">
      <c r="A207" s="2"/>
      <c r="B207" s="8"/>
      <c r="C207" s="8"/>
      <c r="D207" s="8"/>
      <c r="E207" s="8"/>
      <c r="F207" s="8"/>
      <c r="G207" s="8"/>
      <c r="H207" s="8"/>
      <c r="I207" s="8"/>
      <c r="J207" s="8"/>
      <c r="M207" s="8"/>
      <c r="N207" s="7"/>
      <c r="O207" s="8"/>
      <c r="P207" s="42"/>
      <c r="S207" s="8"/>
      <c r="T207" s="8"/>
      <c r="U207" s="42"/>
    </row>
    <row r="208" spans="1:21" x14ac:dyDescent="0.35">
      <c r="A208" s="2">
        <v>43171</v>
      </c>
      <c r="B208" s="8"/>
      <c r="C208" s="8"/>
      <c r="D208" s="8"/>
      <c r="E208" s="8"/>
      <c r="F208" s="8"/>
      <c r="G208" s="8"/>
      <c r="H208" s="8"/>
      <c r="I208" s="8"/>
      <c r="J208" s="8"/>
      <c r="M208" s="8"/>
      <c r="N208" s="7"/>
      <c r="O208" s="8"/>
      <c r="P208" s="42"/>
      <c r="S208" s="8"/>
      <c r="T208" s="8"/>
      <c r="U208" s="42"/>
    </row>
    <row r="209" spans="1:21" x14ac:dyDescent="0.35">
      <c r="A209" s="2">
        <v>43178</v>
      </c>
      <c r="B209" s="8"/>
      <c r="C209" s="8"/>
      <c r="D209" s="8"/>
      <c r="E209" s="8"/>
      <c r="F209" s="8"/>
      <c r="G209" s="8"/>
      <c r="H209" s="8"/>
      <c r="I209" s="8"/>
      <c r="J209" s="8"/>
      <c r="M209" s="8">
        <v>2</v>
      </c>
      <c r="N209" s="7"/>
      <c r="O209" s="8"/>
      <c r="P209" s="42">
        <v>1.1087466548204905</v>
      </c>
      <c r="R209">
        <v>0</v>
      </c>
      <c r="S209" s="8"/>
      <c r="T209" s="8"/>
      <c r="U209" s="42"/>
    </row>
    <row r="210" spans="1:21" x14ac:dyDescent="0.35">
      <c r="A210" s="2">
        <v>43185</v>
      </c>
      <c r="B210" s="34">
        <v>0</v>
      </c>
      <c r="C210" s="34">
        <v>40</v>
      </c>
      <c r="D210" s="34">
        <v>8</v>
      </c>
      <c r="E210" s="34">
        <v>8</v>
      </c>
      <c r="F210" s="34">
        <v>20</v>
      </c>
      <c r="G210" s="34">
        <v>20</v>
      </c>
      <c r="H210" s="34">
        <v>0</v>
      </c>
      <c r="I210" s="34">
        <v>0</v>
      </c>
      <c r="J210" s="8">
        <v>4</v>
      </c>
      <c r="K210">
        <f t="shared" si="9"/>
        <v>100</v>
      </c>
      <c r="M210" s="8">
        <v>26</v>
      </c>
      <c r="N210" s="7">
        <v>70.28</v>
      </c>
      <c r="O210" s="8">
        <v>311.2</v>
      </c>
      <c r="P210" s="42">
        <v>1.0444958797810828</v>
      </c>
      <c r="R210">
        <v>3</v>
      </c>
      <c r="S210" s="8"/>
      <c r="T210" s="8"/>
      <c r="U210" s="42"/>
    </row>
    <row r="211" spans="1:21" x14ac:dyDescent="0.35">
      <c r="A211" s="2">
        <v>43193</v>
      </c>
      <c r="B211" s="34">
        <v>11.111111111111111</v>
      </c>
      <c r="C211" s="34">
        <v>11.111111111111111</v>
      </c>
      <c r="D211" s="34">
        <v>11.111111111111111</v>
      </c>
      <c r="E211" s="34">
        <v>22.222222222222221</v>
      </c>
      <c r="F211" s="34">
        <v>44.444444444444443</v>
      </c>
      <c r="G211" s="34">
        <v>0</v>
      </c>
      <c r="H211" s="34">
        <v>0</v>
      </c>
      <c r="I211" s="34">
        <v>0</v>
      </c>
      <c r="J211" s="8">
        <v>0</v>
      </c>
      <c r="K211">
        <f t="shared" si="9"/>
        <v>100</v>
      </c>
      <c r="M211" s="8">
        <v>9</v>
      </c>
      <c r="N211" s="7">
        <v>71.555555555555557</v>
      </c>
      <c r="O211" s="8">
        <v>286.44444444444446</v>
      </c>
      <c r="P211" s="42">
        <v>0.91041454505794028</v>
      </c>
      <c r="R211">
        <v>1</v>
      </c>
      <c r="S211" s="8"/>
      <c r="T211" s="8"/>
      <c r="U211" s="42"/>
    </row>
    <row r="212" spans="1:21" x14ac:dyDescent="0.35">
      <c r="A212" s="2">
        <v>43199</v>
      </c>
      <c r="B212" s="8">
        <v>0</v>
      </c>
      <c r="C212" s="8">
        <v>12.5</v>
      </c>
      <c r="D212" s="8">
        <v>6.25</v>
      </c>
      <c r="E212" s="8">
        <v>18.75</v>
      </c>
      <c r="F212" s="8">
        <v>37.5</v>
      </c>
      <c r="G212" s="8">
        <v>18.75</v>
      </c>
      <c r="H212" s="8">
        <v>6.25</v>
      </c>
      <c r="I212" s="8">
        <v>0</v>
      </c>
      <c r="J212" s="8">
        <v>0</v>
      </c>
      <c r="K212">
        <f t="shared" si="9"/>
        <v>100</v>
      </c>
      <c r="M212" s="8">
        <v>16</v>
      </c>
      <c r="N212" s="7">
        <v>70.0625</v>
      </c>
      <c r="O212" s="8">
        <v>304.5</v>
      </c>
      <c r="P212" s="42">
        <v>1.0301215667816326</v>
      </c>
      <c r="R212">
        <v>3</v>
      </c>
      <c r="S212" s="8"/>
      <c r="T212" s="8"/>
      <c r="U212" s="42"/>
    </row>
    <row r="213" spans="1:21" x14ac:dyDescent="0.35">
      <c r="A213" s="2">
        <v>43206</v>
      </c>
      <c r="B213" s="8">
        <v>0</v>
      </c>
      <c r="C213" s="8">
        <v>0</v>
      </c>
      <c r="D213" s="8">
        <v>3.8961038961038961</v>
      </c>
      <c r="E213" s="8">
        <v>1.2987012987012987</v>
      </c>
      <c r="F213" s="8">
        <v>24.675324675324674</v>
      </c>
      <c r="G213" s="8">
        <v>38.961038961038966</v>
      </c>
      <c r="H213" s="8">
        <v>28.571428571428569</v>
      </c>
      <c r="I213" s="8">
        <v>1.2987012987012987</v>
      </c>
      <c r="J213" s="8">
        <v>1.2987012987012987</v>
      </c>
      <c r="K213">
        <f t="shared" si="9"/>
        <v>100.00000000000001</v>
      </c>
      <c r="M213" s="8">
        <v>78</v>
      </c>
      <c r="N213" s="7">
        <v>69.389610389610397</v>
      </c>
      <c r="O213" s="8">
        <v>285.54545454545456</v>
      </c>
      <c r="P213" s="42">
        <v>0.99465351402605007</v>
      </c>
      <c r="R213">
        <v>5</v>
      </c>
      <c r="S213" s="8"/>
      <c r="T213" s="8"/>
      <c r="U213" s="42"/>
    </row>
    <row r="214" spans="1:21" x14ac:dyDescent="0.35">
      <c r="A214" s="2">
        <v>43213</v>
      </c>
      <c r="B214" s="8">
        <v>0</v>
      </c>
      <c r="C214" s="8">
        <v>1.2658227848101267</v>
      </c>
      <c r="D214" s="8">
        <v>3.1645569620253164</v>
      </c>
      <c r="E214" s="8">
        <v>1.2658227848101267</v>
      </c>
      <c r="F214" s="8">
        <v>15.822784810126583</v>
      </c>
      <c r="G214" s="8">
        <v>37.974683544303801</v>
      </c>
      <c r="H214" s="8">
        <v>39.87341772151899</v>
      </c>
      <c r="I214" s="8">
        <v>0</v>
      </c>
      <c r="J214" s="8">
        <v>0.63291139240506333</v>
      </c>
      <c r="K214">
        <f t="shared" si="9"/>
        <v>100.00000000000001</v>
      </c>
      <c r="M214" s="8">
        <v>282</v>
      </c>
      <c r="N214" s="7">
        <v>69.297468354430379</v>
      </c>
      <c r="O214" s="8">
        <v>264.01265822784808</v>
      </c>
      <c r="P214" s="42">
        <v>0.91652711425043365</v>
      </c>
      <c r="R214">
        <v>7</v>
      </c>
      <c r="S214" s="8"/>
      <c r="T214" s="8"/>
      <c r="U214" s="42"/>
    </row>
    <row r="215" spans="1:21" x14ac:dyDescent="0.35">
      <c r="A215" s="2">
        <v>43222</v>
      </c>
      <c r="B215" s="8">
        <v>0</v>
      </c>
      <c r="C215" s="8">
        <v>0</v>
      </c>
      <c r="D215" s="8">
        <v>0.58139534883720934</v>
      </c>
      <c r="E215" s="8">
        <v>0.58139534883720934</v>
      </c>
      <c r="F215" s="8">
        <v>1.1627906976744187</v>
      </c>
      <c r="G215" s="8">
        <v>12.790697674418606</v>
      </c>
      <c r="H215" s="8">
        <v>79.651162790697668</v>
      </c>
      <c r="I215" s="8">
        <v>5.2325581395348841</v>
      </c>
      <c r="J215" s="8">
        <v>0</v>
      </c>
      <c r="K215">
        <f t="shared" si="9"/>
        <v>100</v>
      </c>
      <c r="M215" s="8">
        <v>184</v>
      </c>
      <c r="N215" s="7">
        <v>68.639534883720927</v>
      </c>
      <c r="O215" s="8">
        <v>278.65697674418607</v>
      </c>
      <c r="P215" s="42">
        <v>1.0032696168551445</v>
      </c>
      <c r="R215">
        <v>8</v>
      </c>
      <c r="S215" s="8"/>
      <c r="T215" s="8"/>
      <c r="U215" s="42"/>
    </row>
    <row r="216" spans="1:21" x14ac:dyDescent="0.35">
      <c r="A216" s="2">
        <v>43227</v>
      </c>
      <c r="B216" s="8">
        <v>0</v>
      </c>
      <c r="C216" s="8">
        <v>1.3513513513513513</v>
      </c>
      <c r="D216" s="8">
        <v>0</v>
      </c>
      <c r="E216" s="8">
        <v>0</v>
      </c>
      <c r="F216" s="8">
        <v>6.756756756756757</v>
      </c>
      <c r="G216" s="8">
        <v>9.4594594594594597</v>
      </c>
      <c r="H216" s="8">
        <v>55.405405405405403</v>
      </c>
      <c r="I216" s="8">
        <v>27.027027027027028</v>
      </c>
      <c r="J216" s="8">
        <v>0</v>
      </c>
      <c r="K216">
        <f t="shared" si="9"/>
        <v>100</v>
      </c>
      <c r="M216" s="8">
        <v>74</v>
      </c>
      <c r="N216" s="7">
        <v>69.041095890410958</v>
      </c>
      <c r="O216" s="8">
        <v>279.06849315068496</v>
      </c>
      <c r="P216" s="42">
        <v>0.98625443288095915</v>
      </c>
      <c r="R216">
        <v>4</v>
      </c>
      <c r="S216" s="8"/>
      <c r="T216" s="8"/>
      <c r="U216" s="42"/>
    </row>
    <row r="217" spans="1:21" x14ac:dyDescent="0.35">
      <c r="A217" s="2">
        <v>43234</v>
      </c>
      <c r="B217" s="8">
        <v>0</v>
      </c>
      <c r="C217" s="8">
        <v>0</v>
      </c>
      <c r="D217" s="8">
        <v>0</v>
      </c>
      <c r="E217" s="8">
        <v>0.3436426116838488</v>
      </c>
      <c r="F217" s="8">
        <v>2.7491408934707904</v>
      </c>
      <c r="G217" s="8">
        <v>10.309278350515463</v>
      </c>
      <c r="H217" s="8">
        <v>41.237113402061851</v>
      </c>
      <c r="I217" s="8">
        <v>29.209621993127151</v>
      </c>
      <c r="J217" s="8">
        <v>16.151202749140893</v>
      </c>
      <c r="K217">
        <f t="shared" si="9"/>
        <v>99.999999999999986</v>
      </c>
      <c r="M217" s="8">
        <v>390</v>
      </c>
      <c r="N217" s="7">
        <v>70.058419243986251</v>
      </c>
      <c r="O217" s="8">
        <v>293.26804123711338</v>
      </c>
      <c r="P217" s="42">
        <v>0.99586056299919046</v>
      </c>
      <c r="R217">
        <v>9</v>
      </c>
      <c r="S217" s="8"/>
      <c r="T217" s="8"/>
      <c r="U217" s="42"/>
    </row>
    <row r="218" spans="1:21" x14ac:dyDescent="0.35">
      <c r="A218" s="2">
        <v>43242</v>
      </c>
      <c r="B218" s="8">
        <v>0</v>
      </c>
      <c r="C218" s="8">
        <v>0</v>
      </c>
      <c r="D218" s="8">
        <v>0</v>
      </c>
      <c r="E218" s="8">
        <v>0</v>
      </c>
      <c r="F218" s="8">
        <v>0.3289473684210526</v>
      </c>
      <c r="G218" s="8">
        <v>0.6578947368421052</v>
      </c>
      <c r="H218" s="8">
        <v>11.513157894736842</v>
      </c>
      <c r="I218" s="8">
        <v>27.302631578947366</v>
      </c>
      <c r="J218" s="8">
        <v>60.19736842105263</v>
      </c>
      <c r="K218">
        <f t="shared" si="9"/>
        <v>100</v>
      </c>
      <c r="M218" s="8">
        <v>623</v>
      </c>
      <c r="N218" s="7">
        <v>70.424342105263165</v>
      </c>
      <c r="O218" s="8">
        <v>308.76973684210526</v>
      </c>
      <c r="P218" s="42">
        <v>1.0296493232787736</v>
      </c>
      <c r="R218">
        <v>21</v>
      </c>
      <c r="S218" s="8"/>
      <c r="T218" s="8"/>
      <c r="U218" s="42"/>
    </row>
    <row r="219" spans="1:21" x14ac:dyDescent="0.35">
      <c r="A219" s="2">
        <v>43248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1.0050251256281406</v>
      </c>
      <c r="H219" s="8">
        <v>9.5477386934673358</v>
      </c>
      <c r="I219" s="8">
        <v>21.608040201005025</v>
      </c>
      <c r="J219" s="8">
        <v>67.8391959798995</v>
      </c>
      <c r="K219">
        <f t="shared" si="9"/>
        <v>100</v>
      </c>
      <c r="M219" s="8">
        <v>201</v>
      </c>
      <c r="N219" s="7">
        <v>70.743718592964825</v>
      </c>
      <c r="O219" s="8">
        <v>327.42713567839195</v>
      </c>
      <c r="P219" s="42">
        <v>1.0747347153777391</v>
      </c>
      <c r="R219">
        <v>7</v>
      </c>
      <c r="S219" s="8"/>
      <c r="T219" s="8"/>
      <c r="U219" s="42"/>
    </row>
    <row r="220" spans="1:21" x14ac:dyDescent="0.35">
      <c r="A220" s="2"/>
      <c r="B220" s="8"/>
      <c r="C220" s="8"/>
      <c r="D220" s="8"/>
      <c r="E220" s="8"/>
      <c r="F220" s="8"/>
      <c r="G220" s="8"/>
      <c r="H220" s="8"/>
      <c r="I220" s="8"/>
      <c r="J220" s="8"/>
      <c r="M220" s="8"/>
      <c r="N220" s="7"/>
      <c r="O220" s="8"/>
      <c r="P220" s="42"/>
      <c r="S220" s="8"/>
      <c r="T220" s="8"/>
      <c r="U220" s="42"/>
    </row>
    <row r="221" spans="1:21" x14ac:dyDescent="0.35">
      <c r="A221" s="2"/>
      <c r="B221" s="8"/>
      <c r="C221" s="8"/>
      <c r="D221" s="8"/>
      <c r="E221" s="8"/>
      <c r="F221" s="8"/>
      <c r="G221" s="8"/>
      <c r="H221" s="8"/>
      <c r="I221" s="8"/>
      <c r="J221" s="8"/>
      <c r="M221" s="8"/>
      <c r="N221" s="7"/>
      <c r="O221" s="8"/>
      <c r="P221" s="42"/>
      <c r="S221" s="8"/>
      <c r="T221" s="8"/>
      <c r="U221" s="42"/>
    </row>
    <row r="222" spans="1:21" x14ac:dyDescent="0.35">
      <c r="A222" s="2"/>
      <c r="B222" s="8"/>
      <c r="C222" s="8"/>
      <c r="D222" s="8"/>
      <c r="E222" s="8"/>
      <c r="F222" s="8"/>
      <c r="G222" s="8"/>
      <c r="H222" s="8"/>
      <c r="I222" s="8"/>
      <c r="J222" s="8"/>
      <c r="M222" s="8"/>
      <c r="N222" s="7"/>
      <c r="O222" s="8"/>
      <c r="P222" s="42"/>
      <c r="S222" s="8"/>
      <c r="T222" s="8"/>
      <c r="U222" s="42"/>
    </row>
    <row r="223" spans="1:21" x14ac:dyDescent="0.35">
      <c r="A223" s="2"/>
      <c r="B223" s="8"/>
      <c r="C223" s="8"/>
      <c r="D223" s="8"/>
      <c r="E223" s="8"/>
      <c r="F223" s="8"/>
      <c r="G223" s="8"/>
      <c r="H223" s="8"/>
      <c r="I223" s="8"/>
      <c r="J223" s="8"/>
      <c r="M223" s="8"/>
      <c r="N223" s="7"/>
      <c r="O223" s="8"/>
      <c r="P223" s="42"/>
      <c r="S223" s="8"/>
      <c r="T223" s="8"/>
      <c r="U223" s="42"/>
    </row>
    <row r="224" spans="1:21" x14ac:dyDescent="0.35">
      <c r="A224" s="2"/>
      <c r="B224" s="8"/>
      <c r="C224" s="8"/>
      <c r="D224" s="8"/>
      <c r="E224" s="8"/>
      <c r="F224" s="8"/>
      <c r="G224" s="8"/>
      <c r="H224" s="8"/>
      <c r="I224" s="8"/>
      <c r="J224" s="8"/>
      <c r="M224" s="8"/>
      <c r="N224" s="7"/>
      <c r="O224" s="8"/>
      <c r="P224" s="42"/>
      <c r="S224" s="8"/>
      <c r="T224" s="8"/>
      <c r="U224" s="42"/>
    </row>
    <row r="225" spans="1:21" x14ac:dyDescent="0.35">
      <c r="A225" s="2"/>
      <c r="B225" s="8"/>
      <c r="C225" s="8"/>
      <c r="D225" s="8"/>
      <c r="E225" s="8"/>
      <c r="F225" s="8"/>
      <c r="G225" s="8"/>
      <c r="H225" s="8"/>
      <c r="I225" s="8"/>
      <c r="J225" s="8"/>
      <c r="M225" s="8"/>
      <c r="N225" s="7"/>
      <c r="O225" s="8"/>
      <c r="P225" s="42"/>
      <c r="S225" s="8"/>
      <c r="T225" s="8"/>
      <c r="U225" s="42"/>
    </row>
    <row r="226" spans="1:21" x14ac:dyDescent="0.35">
      <c r="A226" s="2"/>
      <c r="B226" s="8"/>
      <c r="C226" s="8"/>
      <c r="D226" s="8"/>
      <c r="E226" s="8"/>
      <c r="F226" s="8"/>
      <c r="G226" s="8"/>
      <c r="H226" s="8"/>
      <c r="I226" s="8"/>
      <c r="J226" s="8"/>
      <c r="M226" s="8"/>
      <c r="N226" s="7"/>
      <c r="O226" s="8"/>
      <c r="P226" s="42"/>
      <c r="S226" s="8"/>
      <c r="T226" s="8"/>
      <c r="U226" s="42"/>
    </row>
    <row r="227" spans="1:21" x14ac:dyDescent="0.35">
      <c r="A227" s="2"/>
      <c r="B227" s="8"/>
      <c r="C227" s="8"/>
      <c r="D227" s="8"/>
      <c r="E227" s="8"/>
      <c r="F227" s="8"/>
      <c r="G227" s="8"/>
      <c r="H227" s="8"/>
      <c r="I227" s="8"/>
      <c r="J227" s="8"/>
      <c r="M227" s="8"/>
      <c r="N227" s="7"/>
      <c r="O227" s="8"/>
      <c r="P227" s="42"/>
      <c r="S227" s="8"/>
      <c r="T227" s="8"/>
      <c r="U227" s="42"/>
    </row>
    <row r="228" spans="1:21" x14ac:dyDescent="0.35">
      <c r="K228">
        <f t="shared" si="9"/>
        <v>0</v>
      </c>
      <c r="P228" s="42"/>
    </row>
    <row r="229" spans="1:21" x14ac:dyDescent="0.35">
      <c r="A229" s="45" t="s">
        <v>369</v>
      </c>
      <c r="K229">
        <f t="shared" si="9"/>
        <v>0</v>
      </c>
      <c r="P229" s="42"/>
    </row>
    <row r="230" spans="1:21" x14ac:dyDescent="0.35">
      <c r="A230" t="s">
        <v>284</v>
      </c>
      <c r="K230">
        <f t="shared" si="9"/>
        <v>0</v>
      </c>
      <c r="P230" s="42"/>
    </row>
    <row r="231" spans="1:21" x14ac:dyDescent="0.35">
      <c r="A231" s="2">
        <v>42440</v>
      </c>
      <c r="B231" s="8">
        <v>0</v>
      </c>
      <c r="C231" s="8">
        <v>3</v>
      </c>
      <c r="D231" s="8">
        <v>16.666666666666664</v>
      </c>
      <c r="E231" s="8">
        <v>30</v>
      </c>
      <c r="F231" s="8">
        <v>16.666666666666664</v>
      </c>
      <c r="G231" s="8">
        <v>33.333333333333329</v>
      </c>
      <c r="H231" s="8">
        <v>0</v>
      </c>
      <c r="I231" s="8">
        <v>0</v>
      </c>
      <c r="J231" s="8">
        <v>0</v>
      </c>
      <c r="K231" s="8">
        <f t="shared" si="9"/>
        <v>99.666666666666657</v>
      </c>
      <c r="M231">
        <v>30</v>
      </c>
      <c r="N231" s="7">
        <v>73.7</v>
      </c>
      <c r="O231" s="8">
        <v>348.93103448275861</v>
      </c>
      <c r="P231" s="42">
        <v>1.0165201485003152</v>
      </c>
    </row>
    <row r="232" spans="1:21" x14ac:dyDescent="0.35">
      <c r="A232" s="2">
        <v>42447</v>
      </c>
      <c r="B232" s="8">
        <v>0</v>
      </c>
      <c r="C232" s="8">
        <v>5.8823529411764701</v>
      </c>
      <c r="D232" s="8">
        <v>23.52941176470588</v>
      </c>
      <c r="E232" s="8">
        <v>11.76470588235294</v>
      </c>
      <c r="F232" s="8">
        <v>41.17647058823529</v>
      </c>
      <c r="G232" s="8">
        <v>17.647058823529413</v>
      </c>
      <c r="H232" s="8">
        <v>0</v>
      </c>
      <c r="I232" s="8">
        <v>0</v>
      </c>
      <c r="J232" s="8">
        <v>0</v>
      </c>
      <c r="K232">
        <f t="shared" si="9"/>
        <v>100</v>
      </c>
      <c r="M232">
        <v>17</v>
      </c>
      <c r="N232" s="7">
        <v>71.705882352941174</v>
      </c>
      <c r="O232" s="8">
        <v>311.88235294117646</v>
      </c>
      <c r="P232" s="42">
        <v>0.98412309818301036</v>
      </c>
    </row>
    <row r="233" spans="1:21" x14ac:dyDescent="0.35">
      <c r="A233" s="13">
        <v>42454</v>
      </c>
      <c r="B233" s="8">
        <v>0</v>
      </c>
      <c r="C233" s="8">
        <v>9.6153846153846168</v>
      </c>
      <c r="D233" s="8">
        <v>5.7692307692307692</v>
      </c>
      <c r="E233" s="8">
        <v>13.461538461538462</v>
      </c>
      <c r="F233" s="8">
        <v>38.461538461538467</v>
      </c>
      <c r="G233" s="8">
        <v>28.846153846153843</v>
      </c>
      <c r="H233" s="8">
        <v>3.8461538461538463</v>
      </c>
      <c r="I233" s="8">
        <v>0</v>
      </c>
      <c r="J233" s="8">
        <v>0</v>
      </c>
      <c r="K233">
        <f t="shared" si="9"/>
        <v>100</v>
      </c>
      <c r="M233">
        <v>52</v>
      </c>
      <c r="N233" s="7">
        <v>72.634615384615387</v>
      </c>
      <c r="O233" s="8">
        <v>339.03846153846155</v>
      </c>
      <c r="P233" s="42">
        <v>1.0352939231937621</v>
      </c>
    </row>
    <row r="234" spans="1:21" x14ac:dyDescent="0.35">
      <c r="A234" s="2">
        <v>42461</v>
      </c>
      <c r="B234" s="8">
        <v>0</v>
      </c>
      <c r="C234" s="8">
        <v>6.25</v>
      </c>
      <c r="D234" s="8">
        <v>18.75</v>
      </c>
      <c r="E234" s="8">
        <v>6.25</v>
      </c>
      <c r="F234" s="8">
        <v>18.75</v>
      </c>
      <c r="G234" s="8">
        <v>43.75</v>
      </c>
      <c r="H234" s="8">
        <v>6.25</v>
      </c>
      <c r="I234" s="8">
        <v>0</v>
      </c>
      <c r="J234" s="8">
        <v>0</v>
      </c>
      <c r="K234">
        <f t="shared" si="9"/>
        <v>100</v>
      </c>
      <c r="M234">
        <v>16</v>
      </c>
      <c r="N234" s="7">
        <v>72.8125</v>
      </c>
      <c r="O234" s="8">
        <v>335.625</v>
      </c>
      <c r="P234" s="42">
        <v>1.0096744294139668</v>
      </c>
    </row>
    <row r="235" spans="1:21" x14ac:dyDescent="0.35">
      <c r="A235" s="2">
        <v>42468</v>
      </c>
      <c r="J235" s="8"/>
      <c r="K235">
        <f t="shared" si="9"/>
        <v>0</v>
      </c>
      <c r="M235">
        <v>2</v>
      </c>
      <c r="N235" s="7"/>
      <c r="P235" s="42"/>
    </row>
    <row r="236" spans="1:21" x14ac:dyDescent="0.35">
      <c r="A236" s="2">
        <v>42475</v>
      </c>
      <c r="B236" s="8">
        <v>0</v>
      </c>
      <c r="C236" s="8">
        <v>0</v>
      </c>
      <c r="D236" s="8">
        <v>0</v>
      </c>
      <c r="E236" s="8">
        <v>0</v>
      </c>
      <c r="F236" s="8">
        <v>15.384615384615385</v>
      </c>
      <c r="G236" s="8">
        <v>84.615384615384613</v>
      </c>
      <c r="H236" s="8">
        <v>0</v>
      </c>
      <c r="I236" s="8">
        <v>0</v>
      </c>
      <c r="J236" s="8">
        <v>0</v>
      </c>
      <c r="K236">
        <f t="shared" si="9"/>
        <v>100</v>
      </c>
      <c r="M236">
        <v>13</v>
      </c>
      <c r="N236" s="7">
        <v>71.307692307692307</v>
      </c>
      <c r="O236" s="8">
        <v>281.30769230769232</v>
      </c>
      <c r="P236" s="42">
        <v>0.906564055600241</v>
      </c>
    </row>
    <row r="237" spans="1:21" x14ac:dyDescent="0.35">
      <c r="A237" s="2">
        <v>42482</v>
      </c>
      <c r="J237" s="8"/>
      <c r="K237">
        <f t="shared" si="9"/>
        <v>0</v>
      </c>
      <c r="M237">
        <v>2</v>
      </c>
      <c r="P237" s="42"/>
    </row>
    <row r="238" spans="1:21" x14ac:dyDescent="0.35">
      <c r="A238" s="2">
        <v>42489</v>
      </c>
      <c r="J238" s="8"/>
      <c r="K238">
        <f t="shared" si="9"/>
        <v>0</v>
      </c>
      <c r="M238">
        <v>0</v>
      </c>
      <c r="P238" s="42"/>
    </row>
    <row r="239" spans="1:21" x14ac:dyDescent="0.35">
      <c r="A239" s="2">
        <v>42494</v>
      </c>
      <c r="J239" s="8"/>
      <c r="P239" s="42"/>
    </row>
    <row r="240" spans="1:21" x14ac:dyDescent="0.35">
      <c r="A240" s="2">
        <v>42503</v>
      </c>
      <c r="J240" s="8"/>
      <c r="M240">
        <f>SUM(M231:M238)</f>
        <v>132</v>
      </c>
      <c r="P240" s="42"/>
    </row>
    <row r="241" spans="1:16" x14ac:dyDescent="0.35">
      <c r="A241" s="2">
        <v>42510</v>
      </c>
      <c r="J241" s="8"/>
      <c r="P241" s="42"/>
    </row>
    <row r="242" spans="1:16" x14ac:dyDescent="0.35">
      <c r="A242" s="2">
        <v>42517</v>
      </c>
      <c r="J242" s="8"/>
      <c r="P242" s="42"/>
    </row>
    <row r="243" spans="1:16" x14ac:dyDescent="0.35">
      <c r="J243" s="8"/>
      <c r="K243">
        <f t="shared" si="9"/>
        <v>0</v>
      </c>
      <c r="P243" s="42"/>
    </row>
    <row r="244" spans="1:16" x14ac:dyDescent="0.35">
      <c r="A244" s="2">
        <v>42798</v>
      </c>
      <c r="J244" s="8"/>
      <c r="K244">
        <f t="shared" si="9"/>
        <v>0</v>
      </c>
      <c r="M244">
        <v>0</v>
      </c>
      <c r="P244" s="42"/>
    </row>
    <row r="245" spans="1:16" x14ac:dyDescent="0.35">
      <c r="A245" s="2">
        <v>42804</v>
      </c>
      <c r="B245" s="8">
        <v>5.5555555555555554</v>
      </c>
      <c r="C245" s="8">
        <v>63.888888888888886</v>
      </c>
      <c r="D245" s="8">
        <v>25</v>
      </c>
      <c r="E245" s="8">
        <v>0</v>
      </c>
      <c r="F245" s="8">
        <v>5.5555555555555554</v>
      </c>
      <c r="G245" s="8">
        <v>0</v>
      </c>
      <c r="H245" s="8">
        <v>0</v>
      </c>
      <c r="I245" s="8">
        <v>0</v>
      </c>
      <c r="J245" s="8">
        <v>0</v>
      </c>
      <c r="K245">
        <f t="shared" ref="K245:K271" si="20">SUM(B245:J245)</f>
        <v>100</v>
      </c>
      <c r="M245">
        <v>36</v>
      </c>
      <c r="N245" s="7">
        <v>70.083333333333329</v>
      </c>
      <c r="O245" s="8">
        <v>290.66666666666669</v>
      </c>
      <c r="P245" s="42">
        <v>0.9863528274482215</v>
      </c>
    </row>
    <row r="246" spans="1:16" x14ac:dyDescent="0.35">
      <c r="A246" s="2">
        <v>42811</v>
      </c>
      <c r="B246" s="8">
        <v>0</v>
      </c>
      <c r="C246" s="8">
        <v>40</v>
      </c>
      <c r="D246" s="8">
        <v>18</v>
      </c>
      <c r="E246" s="8">
        <v>10</v>
      </c>
      <c r="F246" s="8">
        <v>30</v>
      </c>
      <c r="G246" s="8">
        <v>2</v>
      </c>
      <c r="H246" s="8">
        <v>0</v>
      </c>
      <c r="I246" s="8">
        <v>0</v>
      </c>
      <c r="J246" s="8">
        <v>0</v>
      </c>
      <c r="K246">
        <f t="shared" si="20"/>
        <v>100</v>
      </c>
      <c r="M246">
        <v>134</v>
      </c>
      <c r="N246" s="7">
        <v>70.400000000000006</v>
      </c>
      <c r="O246" s="8">
        <v>304.44</v>
      </c>
      <c r="P246" s="42">
        <v>1.0224832461299236</v>
      </c>
    </row>
    <row r="247" spans="1:16" x14ac:dyDescent="0.35">
      <c r="A247" s="2">
        <v>42818</v>
      </c>
      <c r="B247" s="8">
        <v>0</v>
      </c>
      <c r="C247" s="8">
        <v>5.8823529411764701</v>
      </c>
      <c r="D247" s="8">
        <v>9.8039215686274517</v>
      </c>
      <c r="E247" s="8">
        <v>5.8823529411764701</v>
      </c>
      <c r="F247" s="8">
        <v>50.980392156862742</v>
      </c>
      <c r="G247" s="8">
        <v>27.450980392156865</v>
      </c>
      <c r="H247" s="8">
        <v>0</v>
      </c>
      <c r="I247" s="8">
        <v>0</v>
      </c>
      <c r="J247" s="8">
        <v>0</v>
      </c>
      <c r="K247">
        <f t="shared" si="20"/>
        <v>100</v>
      </c>
      <c r="M247">
        <v>63</v>
      </c>
      <c r="N247" s="7">
        <v>69.509803921568633</v>
      </c>
      <c r="O247" s="8">
        <v>279.03921568627453</v>
      </c>
      <c r="P247" s="42">
        <v>0.96972271995340631</v>
      </c>
    </row>
    <row r="248" spans="1:16" x14ac:dyDescent="0.35">
      <c r="A248" s="2">
        <v>42825</v>
      </c>
      <c r="B248" s="8">
        <v>0</v>
      </c>
      <c r="C248" s="8">
        <v>8.3333333333333321</v>
      </c>
      <c r="D248" s="8">
        <v>19.444444444444446</v>
      </c>
      <c r="E248" s="8">
        <v>16.666666666666664</v>
      </c>
      <c r="F248" s="8">
        <v>36.111111111111107</v>
      </c>
      <c r="G248" s="8">
        <v>13.888888888888889</v>
      </c>
      <c r="H248" s="8">
        <v>5.5555555555555554</v>
      </c>
      <c r="I248" s="8">
        <v>0</v>
      </c>
      <c r="J248" s="8">
        <v>0</v>
      </c>
      <c r="K248">
        <f t="shared" si="20"/>
        <v>99.999999999999986</v>
      </c>
      <c r="M248">
        <v>36</v>
      </c>
      <c r="N248" s="7">
        <v>69.666666666666671</v>
      </c>
      <c r="O248" s="8">
        <v>287.83333333333331</v>
      </c>
      <c r="P248" s="42">
        <v>0.99582076365575112</v>
      </c>
    </row>
    <row r="249" spans="1:16" x14ac:dyDescent="0.35">
      <c r="A249" s="2">
        <v>42832</v>
      </c>
      <c r="B249">
        <v>0</v>
      </c>
      <c r="C249">
        <v>5</v>
      </c>
      <c r="D249">
        <v>0</v>
      </c>
      <c r="E249">
        <v>10</v>
      </c>
      <c r="F249">
        <v>35</v>
      </c>
      <c r="G249">
        <v>45</v>
      </c>
      <c r="H249">
        <v>5</v>
      </c>
      <c r="I249">
        <v>0</v>
      </c>
      <c r="J249" s="8">
        <v>0</v>
      </c>
      <c r="K249">
        <f t="shared" si="20"/>
        <v>100</v>
      </c>
      <c r="M249">
        <v>20</v>
      </c>
      <c r="N249" s="7">
        <v>70.400000000000006</v>
      </c>
      <c r="O249" s="8">
        <v>288.3</v>
      </c>
      <c r="P249" s="42">
        <v>0.96592790136500262</v>
      </c>
    </row>
    <row r="250" spans="1:16" x14ac:dyDescent="0.35">
      <c r="A250" s="2">
        <v>42840</v>
      </c>
      <c r="B250" s="8">
        <v>0</v>
      </c>
      <c r="C250" s="8">
        <v>0</v>
      </c>
      <c r="D250" s="8">
        <v>12.5</v>
      </c>
      <c r="E250" s="8">
        <v>0</v>
      </c>
      <c r="F250" s="8">
        <v>0</v>
      </c>
      <c r="G250" s="8">
        <v>50</v>
      </c>
      <c r="H250" s="8">
        <v>37.5</v>
      </c>
      <c r="I250" s="8">
        <v>0</v>
      </c>
      <c r="J250" s="8">
        <v>0</v>
      </c>
      <c r="K250">
        <f t="shared" si="20"/>
        <v>100</v>
      </c>
      <c r="M250">
        <v>8</v>
      </c>
      <c r="N250" s="7">
        <v>66.75</v>
      </c>
      <c r="O250" s="8">
        <v>293.875</v>
      </c>
      <c r="P250" s="42">
        <v>1.1604370268477049</v>
      </c>
    </row>
    <row r="251" spans="1:16" x14ac:dyDescent="0.35">
      <c r="A251" s="2">
        <v>42847</v>
      </c>
      <c r="M251">
        <v>4</v>
      </c>
      <c r="N251" s="7"/>
      <c r="O251" s="8"/>
      <c r="P251" s="42">
        <v>0.9677130163451293</v>
      </c>
    </row>
    <row r="252" spans="1:16" x14ac:dyDescent="0.35">
      <c r="A252" s="2">
        <v>42853</v>
      </c>
      <c r="M252">
        <f>SUM(M244:M251)</f>
        <v>301</v>
      </c>
      <c r="N252" s="7"/>
      <c r="O252" s="8"/>
    </row>
    <row r="253" spans="1:16" x14ac:dyDescent="0.35">
      <c r="A253" s="2">
        <v>42860</v>
      </c>
      <c r="N253" s="7"/>
      <c r="O253" s="8"/>
    </row>
    <row r="254" spans="1:16" x14ac:dyDescent="0.35">
      <c r="A254" s="2">
        <v>42867</v>
      </c>
    </row>
    <row r="255" spans="1:16" x14ac:dyDescent="0.35">
      <c r="A255" s="2">
        <v>42874</v>
      </c>
    </row>
    <row r="256" spans="1:16" x14ac:dyDescent="0.35">
      <c r="A256" s="2">
        <v>42879</v>
      </c>
    </row>
    <row r="257" spans="1:18" x14ac:dyDescent="0.35">
      <c r="A257" s="2"/>
    </row>
    <row r="258" spans="1:18" x14ac:dyDescent="0.35">
      <c r="A258" s="2">
        <v>43178</v>
      </c>
      <c r="B258" s="8">
        <v>0</v>
      </c>
      <c r="C258" s="8">
        <v>52.941176470588239</v>
      </c>
      <c r="D258" s="8">
        <v>11.76470588235294</v>
      </c>
      <c r="E258" s="8">
        <v>11.76470588235294</v>
      </c>
      <c r="F258" s="8">
        <v>23.52941176470588</v>
      </c>
      <c r="G258" s="8">
        <v>0</v>
      </c>
      <c r="H258" s="8">
        <v>0</v>
      </c>
      <c r="I258" s="8">
        <v>0</v>
      </c>
      <c r="J258" s="8">
        <v>0</v>
      </c>
      <c r="K258">
        <f t="shared" si="20"/>
        <v>100</v>
      </c>
      <c r="M258" s="8">
        <v>17</v>
      </c>
      <c r="N258" s="7">
        <v>70.82352941176471</v>
      </c>
      <c r="O258" s="8">
        <v>346.70588235294116</v>
      </c>
      <c r="P258" s="42">
        <v>1.1394403266582962</v>
      </c>
    </row>
    <row r="259" spans="1:18" x14ac:dyDescent="0.35">
      <c r="A259" s="2">
        <v>43185</v>
      </c>
      <c r="B259" s="8">
        <v>1.9607843137254901</v>
      </c>
      <c r="C259" s="8">
        <v>54.901960784313729</v>
      </c>
      <c r="D259" s="8">
        <v>13.725490196078432</v>
      </c>
      <c r="E259" s="8">
        <v>9.8039215686274517</v>
      </c>
      <c r="F259" s="8">
        <v>15.686274509803921</v>
      </c>
      <c r="G259" s="8">
        <v>3.9215686274509802</v>
      </c>
      <c r="H259" s="8">
        <v>0</v>
      </c>
      <c r="I259" s="8">
        <v>0</v>
      </c>
      <c r="J259" s="8">
        <v>0</v>
      </c>
      <c r="K259">
        <f t="shared" si="20"/>
        <v>100.00000000000001</v>
      </c>
      <c r="M259" s="8">
        <v>307</v>
      </c>
      <c r="N259" s="7">
        <v>71</v>
      </c>
      <c r="O259" s="8">
        <v>312.69230769230768</v>
      </c>
      <c r="P259" s="42">
        <v>1.0179061094366519</v>
      </c>
      <c r="R259">
        <f>M266/M240</f>
        <v>7.7651515151515156</v>
      </c>
    </row>
    <row r="260" spans="1:18" x14ac:dyDescent="0.35">
      <c r="A260" s="2">
        <v>43193</v>
      </c>
      <c r="B260" s="8">
        <v>0</v>
      </c>
      <c r="C260" s="8">
        <v>24.528301886792452</v>
      </c>
      <c r="D260" s="8">
        <v>22.641509433962266</v>
      </c>
      <c r="E260" s="8">
        <v>1.8867924528301887</v>
      </c>
      <c r="F260" s="8">
        <v>33.962264150943398</v>
      </c>
      <c r="G260" s="8">
        <v>13.20754716981132</v>
      </c>
      <c r="H260" s="8">
        <v>3.7735849056603774</v>
      </c>
      <c r="I260" s="8">
        <v>0</v>
      </c>
      <c r="J260" s="8">
        <v>0</v>
      </c>
      <c r="K260">
        <f t="shared" si="20"/>
        <v>100</v>
      </c>
      <c r="M260" s="8">
        <v>206</v>
      </c>
      <c r="N260" s="7">
        <v>70.716981132075475</v>
      </c>
      <c r="O260" s="8">
        <v>305.24528301886795</v>
      </c>
      <c r="P260" s="42">
        <v>1.0074991052310371</v>
      </c>
    </row>
    <row r="261" spans="1:18" x14ac:dyDescent="0.35">
      <c r="A261" s="2">
        <v>43199</v>
      </c>
      <c r="B261" s="8">
        <v>0</v>
      </c>
      <c r="C261" s="8">
        <v>5.7692307692307692</v>
      </c>
      <c r="D261" s="8">
        <v>19.230769230769234</v>
      </c>
      <c r="E261" s="8">
        <v>7.6923076923076925</v>
      </c>
      <c r="F261" s="8">
        <v>23.076923076923077</v>
      </c>
      <c r="G261" s="8">
        <v>40.384615384615387</v>
      </c>
      <c r="H261" s="8">
        <v>3.8461538461538463</v>
      </c>
      <c r="I261" s="8">
        <v>0</v>
      </c>
      <c r="J261" s="8">
        <v>0</v>
      </c>
      <c r="K261">
        <f t="shared" si="20"/>
        <v>100</v>
      </c>
      <c r="M261" s="8">
        <v>98</v>
      </c>
      <c r="N261" s="7">
        <v>71.115384615384613</v>
      </c>
      <c r="O261" s="8">
        <v>294.17307692307691</v>
      </c>
      <c r="P261" s="42">
        <v>0.95570162043249185</v>
      </c>
    </row>
    <row r="262" spans="1:18" x14ac:dyDescent="0.35">
      <c r="A262" s="2">
        <v>43207</v>
      </c>
      <c r="B262" s="8">
        <v>0</v>
      </c>
      <c r="C262" s="8">
        <v>3.9215686274509802</v>
      </c>
      <c r="D262" s="8">
        <v>5.8823529411764701</v>
      </c>
      <c r="E262" s="8">
        <v>9.8039215686274517</v>
      </c>
      <c r="F262" s="8">
        <v>23.52941176470588</v>
      </c>
      <c r="G262" s="8">
        <v>35.294117647058826</v>
      </c>
      <c r="H262" s="8">
        <v>21.568627450980394</v>
      </c>
      <c r="I262" s="8">
        <v>0</v>
      </c>
      <c r="J262" s="8">
        <v>0</v>
      </c>
      <c r="K262">
        <f t="shared" si="20"/>
        <v>100</v>
      </c>
      <c r="M262" s="8">
        <v>176</v>
      </c>
      <c r="N262" s="7">
        <v>68.745098039215691</v>
      </c>
      <c r="O262" s="8">
        <v>271.31372549019608</v>
      </c>
      <c r="P262" s="42">
        <v>0.97095957393785437</v>
      </c>
    </row>
    <row r="263" spans="1:18" x14ac:dyDescent="0.35">
      <c r="A263" s="2">
        <v>43214</v>
      </c>
      <c r="B263">
        <v>0</v>
      </c>
      <c r="C263">
        <v>0</v>
      </c>
      <c r="D263">
        <v>0</v>
      </c>
      <c r="E263" s="8">
        <v>5.8823529411764701</v>
      </c>
      <c r="F263" s="8">
        <v>17.647058823529413</v>
      </c>
      <c r="G263" s="8">
        <v>37.254901960784316</v>
      </c>
      <c r="H263" s="8">
        <v>39.215686274509807</v>
      </c>
      <c r="I263">
        <v>0</v>
      </c>
      <c r="J263">
        <v>0</v>
      </c>
      <c r="K263">
        <f t="shared" si="20"/>
        <v>100</v>
      </c>
      <c r="M263" s="8">
        <v>123</v>
      </c>
      <c r="N263" s="7">
        <v>69.980392156862749</v>
      </c>
      <c r="O263" s="8">
        <v>266.94117647058823</v>
      </c>
      <c r="P263" s="42">
        <v>0.90713962231381917</v>
      </c>
    </row>
    <row r="264" spans="1:18" x14ac:dyDescent="0.35">
      <c r="A264" s="2">
        <v>43222</v>
      </c>
      <c r="B264">
        <v>0</v>
      </c>
      <c r="C264">
        <v>0</v>
      </c>
      <c r="D264" s="8">
        <v>10.344827586206897</v>
      </c>
      <c r="E264" s="8">
        <v>0</v>
      </c>
      <c r="F264" s="8">
        <v>22.413793103448278</v>
      </c>
      <c r="G264" s="8">
        <v>34.482758620689658</v>
      </c>
      <c r="H264" s="8">
        <v>31.03448275862069</v>
      </c>
      <c r="I264" s="8">
        <v>1.7241379310344827</v>
      </c>
      <c r="J264">
        <v>0</v>
      </c>
      <c r="K264">
        <f t="shared" si="20"/>
        <v>100</v>
      </c>
      <c r="M264" s="8">
        <v>60</v>
      </c>
      <c r="N264" s="7">
        <v>69.275862068965523</v>
      </c>
      <c r="O264" s="8">
        <v>278.5344827586207</v>
      </c>
      <c r="P264" s="42">
        <v>0.98170014169358155</v>
      </c>
    </row>
    <row r="265" spans="1:18" x14ac:dyDescent="0.35">
      <c r="A265" s="2">
        <v>43235</v>
      </c>
      <c r="B265" s="8">
        <v>0</v>
      </c>
      <c r="C265" s="8">
        <v>0</v>
      </c>
      <c r="D265" s="8">
        <v>0</v>
      </c>
      <c r="E265" s="8">
        <v>2.6315789473684208</v>
      </c>
      <c r="F265" s="8">
        <v>0</v>
      </c>
      <c r="G265" s="8">
        <v>18.421052631578945</v>
      </c>
      <c r="H265" s="8">
        <v>36.84210526315789</v>
      </c>
      <c r="I265" s="8">
        <v>26.315789473684209</v>
      </c>
      <c r="J265" s="8">
        <v>15.789473684210526</v>
      </c>
      <c r="K265">
        <f t="shared" si="20"/>
        <v>99.999999999999986</v>
      </c>
      <c r="M265" s="8">
        <v>38</v>
      </c>
      <c r="N265" s="7">
        <v>69.263157894736835</v>
      </c>
      <c r="O265" s="8">
        <v>257.73684210526318</v>
      </c>
      <c r="P265" s="42">
        <v>0.91378742836792448</v>
      </c>
    </row>
    <row r="266" spans="1:18" x14ac:dyDescent="0.35">
      <c r="A266" s="2"/>
      <c r="M266" s="8">
        <f>SUM(M258:M265)</f>
        <v>1025</v>
      </c>
    </row>
    <row r="267" spans="1:18" x14ac:dyDescent="0.35">
      <c r="A267" s="2"/>
    </row>
    <row r="268" spans="1:18" x14ac:dyDescent="0.35">
      <c r="A268" s="2"/>
    </row>
    <row r="269" spans="1:18" x14ac:dyDescent="0.35">
      <c r="A269" s="45" t="s">
        <v>936</v>
      </c>
    </row>
    <row r="270" spans="1:18" x14ac:dyDescent="0.35">
      <c r="A270" s="2">
        <v>43185</v>
      </c>
      <c r="B270" s="8">
        <v>0</v>
      </c>
      <c r="C270" s="8">
        <v>80</v>
      </c>
      <c r="D270" s="8">
        <v>16</v>
      </c>
      <c r="E270" s="8">
        <v>0</v>
      </c>
      <c r="F270" s="8">
        <v>2</v>
      </c>
      <c r="G270" s="8">
        <v>2</v>
      </c>
      <c r="H270" s="8">
        <v>0</v>
      </c>
      <c r="I270" s="8">
        <v>0</v>
      </c>
      <c r="J270" s="8">
        <v>0</v>
      </c>
      <c r="K270">
        <f t="shared" si="20"/>
        <v>100</v>
      </c>
      <c r="N270" s="7">
        <v>71.62</v>
      </c>
      <c r="O270" s="8">
        <v>316.27999999999997</v>
      </c>
      <c r="P270" s="42">
        <v>1.0188251115025031</v>
      </c>
    </row>
    <row r="271" spans="1:18" x14ac:dyDescent="0.35">
      <c r="A271" s="2">
        <v>43200</v>
      </c>
      <c r="B271">
        <v>0</v>
      </c>
      <c r="C271" s="8">
        <v>44.554455445544555</v>
      </c>
      <c r="D271" s="8">
        <v>28.71287128712871</v>
      </c>
      <c r="E271" s="8">
        <v>2.9702970297029703</v>
      </c>
      <c r="F271" s="8">
        <v>16.831683168316832</v>
      </c>
      <c r="G271" s="8">
        <v>6.9306930693069315</v>
      </c>
      <c r="H271">
        <v>0</v>
      </c>
      <c r="I271">
        <v>0</v>
      </c>
      <c r="J271">
        <v>0</v>
      </c>
      <c r="K271">
        <f t="shared" si="20"/>
        <v>100</v>
      </c>
      <c r="N271" s="7">
        <v>69.683168316831683</v>
      </c>
      <c r="O271" s="8">
        <v>281.48514851485146</v>
      </c>
      <c r="P271" s="42">
        <v>0.97344109433206605</v>
      </c>
    </row>
    <row r="272" spans="1:18" x14ac:dyDescent="0.35">
      <c r="A272" s="2"/>
    </row>
    <row r="273" spans="1:18" x14ac:dyDescent="0.35">
      <c r="A273" s="2"/>
    </row>
    <row r="274" spans="1:18" x14ac:dyDescent="0.35">
      <c r="A274" s="2"/>
    </row>
    <row r="275" spans="1:18" x14ac:dyDescent="0.35">
      <c r="A275" s="2"/>
    </row>
    <row r="276" spans="1:18" x14ac:dyDescent="0.35">
      <c r="A276" s="2"/>
    </row>
    <row r="277" spans="1:18" x14ac:dyDescent="0.35">
      <c r="A277" s="45" t="s">
        <v>370</v>
      </c>
    </row>
    <row r="278" spans="1:18" x14ac:dyDescent="0.35">
      <c r="B278" t="s">
        <v>107</v>
      </c>
      <c r="P278" t="s">
        <v>120</v>
      </c>
    </row>
    <row r="279" spans="1:18" x14ac:dyDescent="0.35">
      <c r="A279" t="s">
        <v>949</v>
      </c>
      <c r="B279" s="45">
        <v>2016</v>
      </c>
      <c r="C279" s="45">
        <v>2017</v>
      </c>
      <c r="D279" s="45">
        <v>2018</v>
      </c>
      <c r="P279" s="45">
        <v>2016</v>
      </c>
      <c r="Q279" s="45">
        <v>2017</v>
      </c>
      <c r="R279" s="45">
        <v>2018</v>
      </c>
    </row>
    <row r="280" spans="1:18" x14ac:dyDescent="0.35">
      <c r="A280">
        <v>8</v>
      </c>
      <c r="B280" s="70"/>
      <c r="C280" s="70">
        <v>0</v>
      </c>
      <c r="D280" s="45"/>
      <c r="P280" s="45"/>
      <c r="Q280" s="70">
        <v>1</v>
      </c>
    </row>
    <row r="281" spans="1:18" x14ac:dyDescent="0.35">
      <c r="A281">
        <v>9</v>
      </c>
      <c r="B281" s="70">
        <v>5</v>
      </c>
      <c r="C281" s="70">
        <v>5</v>
      </c>
      <c r="D281" s="45"/>
      <c r="P281" s="45"/>
      <c r="Q281" s="70">
        <v>2</v>
      </c>
    </row>
    <row r="282" spans="1:18" x14ac:dyDescent="0.35">
      <c r="A282">
        <v>10</v>
      </c>
      <c r="B282">
        <v>56</v>
      </c>
      <c r="C282">
        <v>34</v>
      </c>
      <c r="D282">
        <v>0</v>
      </c>
      <c r="P282">
        <v>0</v>
      </c>
      <c r="Q282">
        <v>1</v>
      </c>
      <c r="R282">
        <v>0</v>
      </c>
    </row>
    <row r="283" spans="1:18" x14ac:dyDescent="0.35">
      <c r="A283">
        <v>11</v>
      </c>
      <c r="B283">
        <v>1324</v>
      </c>
      <c r="C283">
        <v>3986</v>
      </c>
      <c r="D283">
        <v>0</v>
      </c>
      <c r="P283">
        <v>1</v>
      </c>
      <c r="Q283">
        <v>38</v>
      </c>
      <c r="R283">
        <v>0</v>
      </c>
    </row>
    <row r="284" spans="1:18" x14ac:dyDescent="0.35">
      <c r="A284">
        <v>12</v>
      </c>
      <c r="B284">
        <v>3114</v>
      </c>
      <c r="C284">
        <v>14583</v>
      </c>
      <c r="D284">
        <v>1</v>
      </c>
      <c r="P284">
        <v>8</v>
      </c>
      <c r="Q284">
        <v>46</v>
      </c>
      <c r="R284" s="8">
        <v>1</v>
      </c>
    </row>
    <row r="285" spans="1:18" x14ac:dyDescent="0.35">
      <c r="A285">
        <v>13</v>
      </c>
      <c r="B285">
        <v>11329</v>
      </c>
      <c r="C285">
        <v>30841</v>
      </c>
      <c r="D285">
        <v>435</v>
      </c>
      <c r="P285">
        <v>77</v>
      </c>
      <c r="Q285">
        <v>22</v>
      </c>
      <c r="R285" s="8">
        <v>15</v>
      </c>
    </row>
    <row r="286" spans="1:18" x14ac:dyDescent="0.35">
      <c r="A286">
        <v>14</v>
      </c>
      <c r="B286">
        <v>3116</v>
      </c>
      <c r="C286">
        <v>7588</v>
      </c>
      <c r="D286">
        <v>416</v>
      </c>
      <c r="P286">
        <v>84</v>
      </c>
      <c r="Q286">
        <v>23</v>
      </c>
      <c r="R286" s="8">
        <v>4</v>
      </c>
    </row>
    <row r="287" spans="1:18" x14ac:dyDescent="0.35">
      <c r="A287">
        <v>15</v>
      </c>
      <c r="B287">
        <v>2222</v>
      </c>
      <c r="C287">
        <v>4722</v>
      </c>
      <c r="D287">
        <v>1807</v>
      </c>
      <c r="P287">
        <v>69</v>
      </c>
      <c r="Q287">
        <v>12</v>
      </c>
      <c r="R287" s="8">
        <v>6</v>
      </c>
    </row>
    <row r="288" spans="1:18" x14ac:dyDescent="0.35">
      <c r="A288">
        <v>16</v>
      </c>
      <c r="B288">
        <v>1134</v>
      </c>
      <c r="C288">
        <v>2151</v>
      </c>
      <c r="D288">
        <v>4187</v>
      </c>
      <c r="P288">
        <v>80</v>
      </c>
      <c r="Q288">
        <v>11</v>
      </c>
      <c r="R288" s="8">
        <v>4</v>
      </c>
    </row>
    <row r="289" spans="1:19" x14ac:dyDescent="0.35">
      <c r="A289">
        <v>17</v>
      </c>
      <c r="B289">
        <v>296</v>
      </c>
      <c r="C289">
        <v>2090</v>
      </c>
      <c r="D289">
        <v>16893</v>
      </c>
      <c r="P289">
        <v>19</v>
      </c>
      <c r="Q289">
        <v>20</v>
      </c>
      <c r="R289" s="8">
        <v>12</v>
      </c>
    </row>
    <row r="290" spans="1:19" x14ac:dyDescent="0.35">
      <c r="A290">
        <v>18</v>
      </c>
      <c r="B290">
        <v>145</v>
      </c>
      <c r="C290">
        <v>470</v>
      </c>
      <c r="D290">
        <v>8559</v>
      </c>
      <c r="P290">
        <v>57</v>
      </c>
      <c r="Q290">
        <v>15</v>
      </c>
      <c r="R290" s="8">
        <v>17</v>
      </c>
    </row>
    <row r="291" spans="1:19" x14ac:dyDescent="0.35">
      <c r="A291">
        <v>19</v>
      </c>
      <c r="B291">
        <v>556</v>
      </c>
      <c r="C291">
        <v>222</v>
      </c>
      <c r="D291">
        <v>423</v>
      </c>
      <c r="P291">
        <v>89</v>
      </c>
      <c r="Q291">
        <v>8</v>
      </c>
      <c r="R291" s="8">
        <v>0</v>
      </c>
    </row>
    <row r="292" spans="1:19" x14ac:dyDescent="0.35">
      <c r="A292">
        <v>20</v>
      </c>
      <c r="B292">
        <v>187</v>
      </c>
      <c r="C292">
        <v>183</v>
      </c>
      <c r="D292">
        <v>7471</v>
      </c>
      <c r="P292">
        <v>18</v>
      </c>
      <c r="Q292">
        <v>15</v>
      </c>
      <c r="R292" s="8">
        <v>8</v>
      </c>
    </row>
    <row r="293" spans="1:19" x14ac:dyDescent="0.35">
      <c r="A293">
        <v>21</v>
      </c>
      <c r="B293">
        <v>193</v>
      </c>
      <c r="C293">
        <v>88</v>
      </c>
      <c r="D293">
        <v>2067</v>
      </c>
      <c r="P293">
        <v>13</v>
      </c>
      <c r="Q293">
        <v>8</v>
      </c>
      <c r="R293" s="8">
        <v>5</v>
      </c>
    </row>
    <row r="294" spans="1:19" x14ac:dyDescent="0.35">
      <c r="A294">
        <v>22</v>
      </c>
      <c r="D294">
        <v>158</v>
      </c>
      <c r="R294" s="8">
        <v>2</v>
      </c>
    </row>
    <row r="295" spans="1:19" x14ac:dyDescent="0.35">
      <c r="A295" s="45"/>
      <c r="B295">
        <f>SUM(B280:B293)</f>
        <v>23677</v>
      </c>
      <c r="C295">
        <f>SUM(C280:C293)</f>
        <v>66963</v>
      </c>
      <c r="D295">
        <f>SUM(D280:D294)</f>
        <v>42417</v>
      </c>
      <c r="E295" s="42">
        <f>C295/B295</f>
        <v>2.8281876926975547</v>
      </c>
    </row>
    <row r="296" spans="1:19" x14ac:dyDescent="0.35">
      <c r="A296" s="45" t="s">
        <v>276</v>
      </c>
      <c r="P296">
        <f>SUM(P280:P293)</f>
        <v>515</v>
      </c>
      <c r="Q296">
        <f>SUM(Q280:Q293)</f>
        <v>222</v>
      </c>
      <c r="R296">
        <f>SUM(R280:R293)</f>
        <v>72</v>
      </c>
      <c r="S296" s="42">
        <f>Q296/P296</f>
        <v>0.43106796116504853</v>
      </c>
    </row>
    <row r="297" spans="1:19" x14ac:dyDescent="0.35">
      <c r="B297" t="s">
        <v>107</v>
      </c>
    </row>
    <row r="298" spans="1:19" x14ac:dyDescent="0.35">
      <c r="A298" t="s">
        <v>949</v>
      </c>
      <c r="B298" s="45">
        <v>2016</v>
      </c>
      <c r="C298" s="45">
        <v>2017</v>
      </c>
      <c r="D298" s="45">
        <v>2018</v>
      </c>
    </row>
    <row r="299" spans="1:19" x14ac:dyDescent="0.35">
      <c r="A299">
        <v>8</v>
      </c>
      <c r="B299" s="45"/>
      <c r="C299" s="45"/>
    </row>
    <row r="300" spans="1:19" x14ac:dyDescent="0.35">
      <c r="A300">
        <v>9</v>
      </c>
      <c r="C300">
        <v>0</v>
      </c>
    </row>
    <row r="301" spans="1:19" x14ac:dyDescent="0.35">
      <c r="A301">
        <v>10</v>
      </c>
      <c r="B301">
        <v>30</v>
      </c>
      <c r="C301">
        <v>36</v>
      </c>
    </row>
    <row r="302" spans="1:19" x14ac:dyDescent="0.35">
      <c r="A302">
        <v>11</v>
      </c>
      <c r="B302">
        <v>17</v>
      </c>
      <c r="C302">
        <v>134</v>
      </c>
    </row>
    <row r="303" spans="1:19" x14ac:dyDescent="0.35">
      <c r="A303">
        <v>12</v>
      </c>
      <c r="B303">
        <v>52</v>
      </c>
      <c r="C303">
        <v>63</v>
      </c>
      <c r="D303">
        <v>17</v>
      </c>
    </row>
    <row r="304" spans="1:19" x14ac:dyDescent="0.35">
      <c r="A304">
        <v>13</v>
      </c>
      <c r="B304">
        <v>16</v>
      </c>
      <c r="C304">
        <v>36</v>
      </c>
      <c r="D304">
        <v>307</v>
      </c>
    </row>
    <row r="305" spans="1:18" x14ac:dyDescent="0.35">
      <c r="A305">
        <v>14</v>
      </c>
      <c r="B305">
        <v>2</v>
      </c>
      <c r="C305">
        <v>20</v>
      </c>
      <c r="D305">
        <v>206</v>
      </c>
    </row>
    <row r="306" spans="1:18" x14ac:dyDescent="0.35">
      <c r="A306">
        <v>15</v>
      </c>
      <c r="B306">
        <v>13</v>
      </c>
      <c r="C306">
        <v>8</v>
      </c>
      <c r="D306">
        <v>98</v>
      </c>
    </row>
    <row r="307" spans="1:18" x14ac:dyDescent="0.35">
      <c r="A307">
        <v>16</v>
      </c>
      <c r="B307">
        <v>2</v>
      </c>
      <c r="C307">
        <v>4</v>
      </c>
      <c r="D307">
        <v>176</v>
      </c>
    </row>
    <row r="308" spans="1:18" x14ac:dyDescent="0.35">
      <c r="A308">
        <v>17</v>
      </c>
      <c r="B308">
        <v>0</v>
      </c>
      <c r="D308">
        <v>123</v>
      </c>
    </row>
    <row r="309" spans="1:18" x14ac:dyDescent="0.35">
      <c r="A309">
        <v>18</v>
      </c>
      <c r="D309">
        <v>60</v>
      </c>
    </row>
    <row r="310" spans="1:18" x14ac:dyDescent="0.35">
      <c r="A310">
        <v>19</v>
      </c>
    </row>
    <row r="311" spans="1:18" x14ac:dyDescent="0.35">
      <c r="A311">
        <v>20</v>
      </c>
      <c r="D311">
        <v>38</v>
      </c>
    </row>
    <row r="312" spans="1:18" x14ac:dyDescent="0.35">
      <c r="A312">
        <v>21</v>
      </c>
    </row>
    <row r="313" spans="1:18" x14ac:dyDescent="0.35">
      <c r="A313">
        <v>22</v>
      </c>
    </row>
    <row r="314" spans="1:18" x14ac:dyDescent="0.35">
      <c r="B314">
        <f>SUM(B301:B308)</f>
        <v>132</v>
      </c>
      <c r="C314">
        <f>SUM(C301:C308)</f>
        <v>301</v>
      </c>
      <c r="D314">
        <f>SUM(D301:D311)</f>
        <v>1025</v>
      </c>
    </row>
    <row r="316" spans="1:18" x14ac:dyDescent="0.35">
      <c r="A316" s="45" t="s">
        <v>371</v>
      </c>
    </row>
    <row r="317" spans="1:18" x14ac:dyDescent="0.35">
      <c r="B317" t="s">
        <v>107</v>
      </c>
      <c r="P317" t="s">
        <v>120</v>
      </c>
    </row>
    <row r="318" spans="1:18" x14ac:dyDescent="0.35">
      <c r="A318" t="s">
        <v>949</v>
      </c>
      <c r="B318" s="45">
        <v>2016</v>
      </c>
      <c r="C318" s="45">
        <v>2017</v>
      </c>
      <c r="D318" s="45">
        <v>2018</v>
      </c>
      <c r="P318" s="45">
        <v>2016</v>
      </c>
      <c r="Q318" s="45">
        <v>2017</v>
      </c>
      <c r="R318" s="45">
        <v>2018</v>
      </c>
    </row>
    <row r="319" spans="1:18" x14ac:dyDescent="0.35">
      <c r="A319">
        <v>8</v>
      </c>
      <c r="B319" s="45"/>
      <c r="C319" s="45"/>
      <c r="P319" s="45"/>
      <c r="Q319" s="70"/>
    </row>
    <row r="320" spans="1:18" x14ac:dyDescent="0.35">
      <c r="A320">
        <v>9</v>
      </c>
      <c r="B320" s="45"/>
      <c r="C320" s="45"/>
      <c r="P320" s="45"/>
      <c r="Q320" s="70">
        <v>0</v>
      </c>
    </row>
    <row r="321" spans="1:19" x14ac:dyDescent="0.35">
      <c r="A321">
        <v>10</v>
      </c>
      <c r="B321">
        <v>0</v>
      </c>
      <c r="C321">
        <v>0</v>
      </c>
      <c r="D321">
        <v>0</v>
      </c>
      <c r="P321">
        <v>0</v>
      </c>
      <c r="Q321">
        <v>0</v>
      </c>
      <c r="R321">
        <v>0</v>
      </c>
    </row>
    <row r="322" spans="1:19" x14ac:dyDescent="0.35">
      <c r="A322">
        <v>11</v>
      </c>
      <c r="B322">
        <v>13</v>
      </c>
      <c r="C322">
        <v>12</v>
      </c>
      <c r="D322">
        <v>0</v>
      </c>
      <c r="P322">
        <v>0</v>
      </c>
      <c r="Q322">
        <v>2</v>
      </c>
      <c r="R322">
        <v>0</v>
      </c>
    </row>
    <row r="323" spans="1:19" x14ac:dyDescent="0.35">
      <c r="A323">
        <v>12</v>
      </c>
      <c r="B323">
        <v>90</v>
      </c>
      <c r="C323">
        <v>44</v>
      </c>
      <c r="D323">
        <v>2</v>
      </c>
      <c r="P323">
        <v>0</v>
      </c>
      <c r="Q323">
        <v>1</v>
      </c>
      <c r="R323">
        <v>3</v>
      </c>
    </row>
    <row r="324" spans="1:19" x14ac:dyDescent="0.35">
      <c r="A324">
        <v>13</v>
      </c>
      <c r="B324">
        <v>7</v>
      </c>
      <c r="C324">
        <v>68</v>
      </c>
      <c r="D324">
        <v>26</v>
      </c>
      <c r="P324">
        <v>2</v>
      </c>
      <c r="Q324">
        <v>5</v>
      </c>
      <c r="R324">
        <v>1</v>
      </c>
    </row>
    <row r="325" spans="1:19" x14ac:dyDescent="0.35">
      <c r="A325">
        <v>14</v>
      </c>
      <c r="B325">
        <v>3</v>
      </c>
      <c r="C325">
        <v>33</v>
      </c>
      <c r="D325">
        <v>9</v>
      </c>
      <c r="P325">
        <v>13</v>
      </c>
      <c r="Q325">
        <v>9</v>
      </c>
      <c r="R325">
        <v>3</v>
      </c>
    </row>
    <row r="326" spans="1:19" x14ac:dyDescent="0.35">
      <c r="A326">
        <v>15</v>
      </c>
      <c r="B326">
        <v>24</v>
      </c>
      <c r="C326">
        <v>71</v>
      </c>
      <c r="D326">
        <v>16</v>
      </c>
      <c r="P326">
        <v>14</v>
      </c>
      <c r="Q326">
        <v>28</v>
      </c>
      <c r="R326">
        <v>5</v>
      </c>
    </row>
    <row r="327" spans="1:19" x14ac:dyDescent="0.35">
      <c r="A327">
        <v>16</v>
      </c>
      <c r="B327">
        <v>13</v>
      </c>
      <c r="C327">
        <v>61</v>
      </c>
      <c r="D327">
        <v>78</v>
      </c>
      <c r="P327">
        <v>22</v>
      </c>
      <c r="Q327">
        <v>15</v>
      </c>
      <c r="R327">
        <v>7</v>
      </c>
    </row>
    <row r="328" spans="1:19" x14ac:dyDescent="0.35">
      <c r="A328">
        <v>17</v>
      </c>
      <c r="B328">
        <v>10</v>
      </c>
      <c r="C328">
        <v>46</v>
      </c>
      <c r="D328">
        <v>282</v>
      </c>
      <c r="P328">
        <v>9</v>
      </c>
      <c r="Q328">
        <v>4</v>
      </c>
      <c r="R328">
        <v>8</v>
      </c>
    </row>
    <row r="329" spans="1:19" x14ac:dyDescent="0.35">
      <c r="A329">
        <v>18</v>
      </c>
      <c r="B329">
        <v>8</v>
      </c>
      <c r="C329">
        <v>71</v>
      </c>
      <c r="D329">
        <v>184</v>
      </c>
      <c r="P329">
        <v>11</v>
      </c>
      <c r="Q329">
        <v>13</v>
      </c>
      <c r="R329">
        <v>4</v>
      </c>
    </row>
    <row r="330" spans="1:19" x14ac:dyDescent="0.35">
      <c r="A330">
        <v>19</v>
      </c>
      <c r="B330">
        <v>103</v>
      </c>
      <c r="C330">
        <v>76</v>
      </c>
      <c r="D330">
        <v>74</v>
      </c>
      <c r="P330">
        <v>35</v>
      </c>
      <c r="Q330">
        <v>13</v>
      </c>
      <c r="R330">
        <v>9</v>
      </c>
    </row>
    <row r="331" spans="1:19" x14ac:dyDescent="0.35">
      <c r="A331">
        <v>20</v>
      </c>
      <c r="B331">
        <v>125</v>
      </c>
      <c r="C331">
        <v>63</v>
      </c>
      <c r="D331">
        <v>390</v>
      </c>
      <c r="P331">
        <v>30</v>
      </c>
      <c r="Q331">
        <v>13</v>
      </c>
      <c r="R331">
        <v>21</v>
      </c>
    </row>
    <row r="332" spans="1:19" x14ac:dyDescent="0.35">
      <c r="A332">
        <v>21</v>
      </c>
      <c r="B332">
        <v>87</v>
      </c>
      <c r="C332">
        <v>138</v>
      </c>
      <c r="D332">
        <v>623</v>
      </c>
      <c r="P332">
        <v>23</v>
      </c>
      <c r="Q332">
        <v>29</v>
      </c>
      <c r="R332">
        <v>7</v>
      </c>
    </row>
    <row r="333" spans="1:19" x14ac:dyDescent="0.35">
      <c r="A333">
        <v>22</v>
      </c>
      <c r="D333">
        <v>201</v>
      </c>
    </row>
    <row r="334" spans="1:19" x14ac:dyDescent="0.35">
      <c r="P334">
        <f>SUM(P321:P332)</f>
        <v>159</v>
      </c>
      <c r="Q334">
        <f>SUM(Q321:Q332)</f>
        <v>132</v>
      </c>
      <c r="R334">
        <f>SUM(R321:R332)</f>
        <v>68</v>
      </c>
      <c r="S334" s="42">
        <f>Q334/P334</f>
        <v>0.83018867924528306</v>
      </c>
    </row>
    <row r="335" spans="1:19" x14ac:dyDescent="0.35">
      <c r="B335">
        <f>SUM(B321:B332)</f>
        <v>483</v>
      </c>
      <c r="C335">
        <f>SUM(C321:C332)</f>
        <v>683</v>
      </c>
      <c r="D335">
        <f>SUM(D321:D333)</f>
        <v>1885</v>
      </c>
      <c r="E335" s="42">
        <f>C335/B335</f>
        <v>1.4140786749482401</v>
      </c>
      <c r="S335" s="42"/>
    </row>
    <row r="336" spans="1:19" x14ac:dyDescent="0.35">
      <c r="S336" s="42"/>
    </row>
    <row r="338" spans="1:17" x14ac:dyDescent="0.35">
      <c r="A338" t="s">
        <v>596</v>
      </c>
    </row>
    <row r="339" spans="1:17" x14ac:dyDescent="0.35">
      <c r="B339" t="s">
        <v>370</v>
      </c>
      <c r="C339" t="s">
        <v>371</v>
      </c>
      <c r="D339" t="s">
        <v>276</v>
      </c>
    </row>
    <row r="340" spans="1:17" x14ac:dyDescent="0.35">
      <c r="A340" s="2">
        <v>42804</v>
      </c>
      <c r="B340">
        <v>0</v>
      </c>
      <c r="P340">
        <f>P334+P296</f>
        <v>674</v>
      </c>
      <c r="Q340">
        <f>Q334+Q296</f>
        <v>354</v>
      </c>
    </row>
    <row r="341" spans="1:17" x14ac:dyDescent="0.35">
      <c r="A341" s="2">
        <v>42807</v>
      </c>
      <c r="B341">
        <v>0</v>
      </c>
    </row>
    <row r="342" spans="1:17" x14ac:dyDescent="0.35">
      <c r="A342" s="2">
        <v>42811</v>
      </c>
      <c r="B342" s="8">
        <f>3/108*100</f>
        <v>2.7777777777777777</v>
      </c>
      <c r="C342" s="8"/>
      <c r="D342" s="8"/>
    </row>
    <row r="343" spans="1:17" x14ac:dyDescent="0.35">
      <c r="A343" s="2">
        <v>42814</v>
      </c>
      <c r="B343" s="8">
        <v>0</v>
      </c>
      <c r="C343" s="8">
        <v>0</v>
      </c>
      <c r="D343" s="8">
        <v>0</v>
      </c>
    </row>
    <row r="344" spans="1:17" x14ac:dyDescent="0.35">
      <c r="A344" s="2">
        <v>42818</v>
      </c>
      <c r="B344" s="8">
        <v>3</v>
      </c>
      <c r="C344" s="8">
        <v>0</v>
      </c>
      <c r="D344" s="8">
        <f>9/51*100</f>
        <v>17.647058823529413</v>
      </c>
    </row>
    <row r="345" spans="1:17" x14ac:dyDescent="0.35">
      <c r="A345" s="13">
        <v>42821</v>
      </c>
      <c r="B345" s="8">
        <v>0</v>
      </c>
      <c r="C345" s="8"/>
      <c r="D345" s="8"/>
    </row>
    <row r="346" spans="1:17" x14ac:dyDescent="0.35">
      <c r="A346" s="2">
        <v>42825</v>
      </c>
      <c r="B346" s="8">
        <v>10</v>
      </c>
      <c r="C346" s="8">
        <f>42/68*100</f>
        <v>61.764705882352942</v>
      </c>
      <c r="D346" s="8">
        <f>13/36*100</f>
        <v>36.111111111111107</v>
      </c>
    </row>
    <row r="347" spans="1:17" x14ac:dyDescent="0.35">
      <c r="A347" s="2">
        <v>42828</v>
      </c>
      <c r="B347" s="8">
        <f>46/101*100</f>
        <v>45.544554455445549</v>
      </c>
      <c r="C347" s="8"/>
      <c r="D347" s="8"/>
    </row>
    <row r="348" spans="1:17" x14ac:dyDescent="0.35">
      <c r="A348" s="2">
        <v>42832</v>
      </c>
      <c r="B348" s="8">
        <f>22/101*100</f>
        <v>21.782178217821784</v>
      </c>
      <c r="C348" s="8">
        <f>28/33*100</f>
        <v>84.848484848484844</v>
      </c>
      <c r="D348" s="8">
        <f>17/20*100</f>
        <v>85</v>
      </c>
    </row>
    <row r="349" spans="1:17" x14ac:dyDescent="0.35">
      <c r="A349" s="2">
        <v>42839</v>
      </c>
      <c r="B349" s="8">
        <v>83</v>
      </c>
      <c r="C349" s="8">
        <f>63/71*100</f>
        <v>88.732394366197184</v>
      </c>
      <c r="D349" s="8">
        <f>6/8*100</f>
        <v>75</v>
      </c>
    </row>
    <row r="350" spans="1:17" x14ac:dyDescent="0.35">
      <c r="A350" s="2">
        <v>42846</v>
      </c>
      <c r="B350" s="8">
        <f>81/103*100</f>
        <v>78.640776699029118</v>
      </c>
      <c r="C350" s="8">
        <f>52/61*100</f>
        <v>85.245901639344254</v>
      </c>
      <c r="D350" s="8">
        <v>100</v>
      </c>
      <c r="H350" s="2">
        <v>42795</v>
      </c>
      <c r="K350" s="2">
        <v>42430</v>
      </c>
    </row>
    <row r="351" spans="1:17" x14ac:dyDescent="0.35">
      <c r="A351" s="2">
        <v>42853</v>
      </c>
      <c r="B351" s="8">
        <v>98</v>
      </c>
      <c r="C351" s="8">
        <v>100</v>
      </c>
      <c r="D351" s="8"/>
      <c r="H351" s="2">
        <v>42797</v>
      </c>
      <c r="I351">
        <v>5</v>
      </c>
      <c r="K351" s="2">
        <v>42433</v>
      </c>
      <c r="L351">
        <v>5</v>
      </c>
    </row>
    <row r="352" spans="1:17" x14ac:dyDescent="0.35">
      <c r="A352" s="2">
        <v>42860</v>
      </c>
      <c r="B352" s="8">
        <v>97</v>
      </c>
      <c r="C352" s="8">
        <v>100</v>
      </c>
      <c r="D352" s="8"/>
      <c r="H352" s="2">
        <v>42804</v>
      </c>
      <c r="I352">
        <v>34</v>
      </c>
      <c r="K352" s="57">
        <v>42440</v>
      </c>
      <c r="L352">
        <v>56</v>
      </c>
    </row>
    <row r="353" spans="1:12" x14ac:dyDescent="0.35">
      <c r="A353" s="2">
        <v>42867</v>
      </c>
      <c r="B353" s="8">
        <v>99</v>
      </c>
      <c r="C353" s="8">
        <v>100</v>
      </c>
      <c r="D353" s="8"/>
      <c r="H353" s="2">
        <v>42811</v>
      </c>
      <c r="I353">
        <v>3986</v>
      </c>
      <c r="K353" s="57">
        <v>42447</v>
      </c>
      <c r="L353">
        <v>1324</v>
      </c>
    </row>
    <row r="354" spans="1:12" x14ac:dyDescent="0.35">
      <c r="A354" s="2">
        <v>42874</v>
      </c>
      <c r="B354" s="8">
        <v>100</v>
      </c>
      <c r="C354" s="8">
        <v>100</v>
      </c>
      <c r="D354" s="8"/>
      <c r="H354" s="2">
        <v>42818</v>
      </c>
      <c r="I354">
        <v>14583</v>
      </c>
      <c r="K354" s="58">
        <v>42454</v>
      </c>
      <c r="L354">
        <v>3114</v>
      </c>
    </row>
    <row r="355" spans="1:12" x14ac:dyDescent="0.35">
      <c r="A355" s="2">
        <v>42879</v>
      </c>
      <c r="B355" s="8">
        <v>100</v>
      </c>
      <c r="C355" s="8">
        <v>100</v>
      </c>
      <c r="D355" s="8"/>
      <c r="H355" s="2">
        <v>42825</v>
      </c>
      <c r="I355">
        <v>30841</v>
      </c>
      <c r="K355" s="57">
        <v>42461</v>
      </c>
      <c r="L355">
        <v>11329</v>
      </c>
    </row>
    <row r="356" spans="1:12" x14ac:dyDescent="0.35">
      <c r="H356" s="2">
        <v>42832</v>
      </c>
      <c r="I356">
        <v>7588</v>
      </c>
      <c r="K356" s="57">
        <v>42468</v>
      </c>
      <c r="L356">
        <v>3116</v>
      </c>
    </row>
    <row r="357" spans="1:12" x14ac:dyDescent="0.35">
      <c r="H357" s="2">
        <v>42839</v>
      </c>
      <c r="I357">
        <v>4722</v>
      </c>
      <c r="K357" s="57">
        <v>42475</v>
      </c>
      <c r="L357">
        <v>2222</v>
      </c>
    </row>
    <row r="358" spans="1:12" x14ac:dyDescent="0.35">
      <c r="H358" s="2">
        <v>42846</v>
      </c>
      <c r="I358">
        <v>2151</v>
      </c>
      <c r="K358" s="57">
        <v>42482</v>
      </c>
      <c r="L358">
        <v>1134</v>
      </c>
    </row>
    <row r="359" spans="1:12" x14ac:dyDescent="0.35">
      <c r="H359" s="2">
        <v>42853</v>
      </c>
      <c r="I359">
        <v>2090</v>
      </c>
      <c r="K359" s="57">
        <v>42489</v>
      </c>
      <c r="L359">
        <v>296</v>
      </c>
    </row>
    <row r="360" spans="1:12" x14ac:dyDescent="0.35">
      <c r="H360" s="2">
        <v>42860</v>
      </c>
      <c r="I360">
        <v>470</v>
      </c>
      <c r="K360" s="57">
        <v>42494</v>
      </c>
      <c r="L360">
        <v>145</v>
      </c>
    </row>
    <row r="361" spans="1:12" x14ac:dyDescent="0.35">
      <c r="H361" s="2">
        <v>42867</v>
      </c>
      <c r="I361">
        <v>222</v>
      </c>
      <c r="K361" s="57">
        <v>42503</v>
      </c>
      <c r="L361">
        <v>556</v>
      </c>
    </row>
    <row r="362" spans="1:12" x14ac:dyDescent="0.35">
      <c r="H362" s="2">
        <v>42874</v>
      </c>
      <c r="I362">
        <v>183</v>
      </c>
      <c r="K362" s="57">
        <v>42510</v>
      </c>
      <c r="L362">
        <v>187</v>
      </c>
    </row>
    <row r="363" spans="1:12" x14ac:dyDescent="0.35">
      <c r="H363" s="2">
        <v>42879</v>
      </c>
      <c r="I363">
        <v>88</v>
      </c>
      <c r="K363" s="57">
        <v>42517</v>
      </c>
      <c r="L363">
        <v>192</v>
      </c>
    </row>
    <row r="364" spans="1:12" x14ac:dyDescent="0.35">
      <c r="H364" s="2">
        <v>42886</v>
      </c>
      <c r="K364" s="2">
        <v>42521</v>
      </c>
    </row>
    <row r="382" spans="1:6" x14ac:dyDescent="0.35">
      <c r="B382" t="s">
        <v>170</v>
      </c>
      <c r="E382" t="s">
        <v>167</v>
      </c>
    </row>
    <row r="383" spans="1:6" x14ac:dyDescent="0.35">
      <c r="B383" t="s">
        <v>604</v>
      </c>
      <c r="C383" t="s">
        <v>605</v>
      </c>
      <c r="E383" t="s">
        <v>604</v>
      </c>
      <c r="F383" t="s">
        <v>605</v>
      </c>
    </row>
    <row r="384" spans="1:6" x14ac:dyDescent="0.35">
      <c r="A384" s="2">
        <v>42790</v>
      </c>
      <c r="B384">
        <v>0</v>
      </c>
      <c r="C384">
        <v>0</v>
      </c>
      <c r="E384">
        <v>0</v>
      </c>
      <c r="F384">
        <v>1</v>
      </c>
    </row>
    <row r="385" spans="1:6" x14ac:dyDescent="0.35">
      <c r="A385" s="2">
        <v>42797</v>
      </c>
      <c r="B385">
        <v>0</v>
      </c>
      <c r="C385">
        <v>5</v>
      </c>
      <c r="E385">
        <v>2</v>
      </c>
      <c r="F385">
        <v>0</v>
      </c>
    </row>
    <row r="386" spans="1:6" x14ac:dyDescent="0.35">
      <c r="A386" s="2">
        <v>42804</v>
      </c>
      <c r="B386">
        <v>24</v>
      </c>
      <c r="C386" s="8">
        <v>10</v>
      </c>
      <c r="E386">
        <v>0</v>
      </c>
      <c r="F386">
        <v>1</v>
      </c>
    </row>
    <row r="387" spans="1:6" x14ac:dyDescent="0.35">
      <c r="A387" s="2">
        <v>42811</v>
      </c>
      <c r="B387">
        <v>2194</v>
      </c>
      <c r="C387">
        <v>1792</v>
      </c>
      <c r="E387">
        <v>24</v>
      </c>
      <c r="F387">
        <v>14</v>
      </c>
    </row>
    <row r="388" spans="1:6" x14ac:dyDescent="0.35">
      <c r="A388" s="2">
        <v>42818</v>
      </c>
      <c r="B388">
        <v>8747</v>
      </c>
      <c r="C388">
        <v>5836</v>
      </c>
      <c r="E388">
        <v>29</v>
      </c>
      <c r="F388">
        <v>17</v>
      </c>
    </row>
    <row r="389" spans="1:6" x14ac:dyDescent="0.35">
      <c r="A389" s="2">
        <v>42825</v>
      </c>
      <c r="B389" s="8">
        <v>20807</v>
      </c>
      <c r="C389" s="8">
        <v>10034</v>
      </c>
      <c r="D389" s="8"/>
      <c r="E389" s="8">
        <v>10</v>
      </c>
      <c r="F389" s="8">
        <v>12</v>
      </c>
    </row>
    <row r="390" spans="1:6" x14ac:dyDescent="0.35">
      <c r="A390" s="2">
        <v>42832</v>
      </c>
      <c r="B390" s="8">
        <v>4284</v>
      </c>
      <c r="C390" s="8">
        <v>3304</v>
      </c>
      <c r="D390" s="8"/>
      <c r="E390" s="8">
        <v>15</v>
      </c>
      <c r="F390" s="8">
        <v>8</v>
      </c>
    </row>
    <row r="391" spans="1:6" x14ac:dyDescent="0.35">
      <c r="A391" s="2">
        <v>42839</v>
      </c>
      <c r="B391" s="8">
        <v>1501</v>
      </c>
      <c r="C391" s="8">
        <v>3221</v>
      </c>
      <c r="E391">
        <v>7</v>
      </c>
      <c r="F391">
        <v>5</v>
      </c>
    </row>
    <row r="392" spans="1:6" x14ac:dyDescent="0.35">
      <c r="A392" s="2">
        <v>42846</v>
      </c>
      <c r="B392" s="8">
        <v>808</v>
      </c>
      <c r="C392" s="8">
        <v>1343</v>
      </c>
      <c r="E392">
        <v>6</v>
      </c>
      <c r="F392">
        <v>5</v>
      </c>
    </row>
    <row r="393" spans="1:6" x14ac:dyDescent="0.35">
      <c r="A393" s="2">
        <v>42853</v>
      </c>
      <c r="B393" s="8">
        <v>1472</v>
      </c>
      <c r="C393" s="8">
        <v>618</v>
      </c>
      <c r="E393">
        <v>11</v>
      </c>
      <c r="F393">
        <v>9</v>
      </c>
    </row>
    <row r="394" spans="1:6" x14ac:dyDescent="0.35">
      <c r="A394" s="2">
        <v>42860</v>
      </c>
      <c r="B394" s="8">
        <v>64</v>
      </c>
      <c r="C394" s="8">
        <v>406</v>
      </c>
      <c r="E394">
        <v>7</v>
      </c>
      <c r="F394">
        <v>8</v>
      </c>
    </row>
    <row r="395" spans="1:6" x14ac:dyDescent="0.35">
      <c r="A395" s="2">
        <v>42867</v>
      </c>
      <c r="B395" s="8">
        <v>36</v>
      </c>
      <c r="C395" s="8">
        <v>186</v>
      </c>
      <c r="E395">
        <v>5</v>
      </c>
      <c r="F395">
        <v>3</v>
      </c>
    </row>
    <row r="396" spans="1:6" x14ac:dyDescent="0.35">
      <c r="A396" s="2">
        <v>42874</v>
      </c>
      <c r="B396" s="8">
        <v>127</v>
      </c>
      <c r="C396" s="8">
        <v>56</v>
      </c>
      <c r="E396">
        <v>10</v>
      </c>
      <c r="F396">
        <v>5</v>
      </c>
    </row>
    <row r="397" spans="1:6" x14ac:dyDescent="0.35">
      <c r="A397" s="2">
        <v>42879</v>
      </c>
      <c r="B397" s="8">
        <v>45</v>
      </c>
      <c r="C397" s="8">
        <v>43</v>
      </c>
      <c r="E397">
        <v>3</v>
      </c>
      <c r="F397">
        <v>5</v>
      </c>
    </row>
    <row r="399" spans="1:6" x14ac:dyDescent="0.35">
      <c r="B399">
        <f>SUM(B384:B397)</f>
        <v>40109</v>
      </c>
      <c r="C399">
        <f>SUM(C384:C397)</f>
        <v>26854</v>
      </c>
      <c r="D399">
        <f>SUM(B399:C399)</f>
        <v>66963</v>
      </c>
      <c r="E399">
        <f t="shared" ref="E399:F399" si="21">SUM(E384:E397)</f>
        <v>129</v>
      </c>
      <c r="F399">
        <f t="shared" si="21"/>
        <v>93</v>
      </c>
    </row>
    <row r="401" spans="1:13" x14ac:dyDescent="0.35">
      <c r="E401">
        <f>E399+F399</f>
        <v>222</v>
      </c>
    </row>
    <row r="403" spans="1:13" x14ac:dyDescent="0.35">
      <c r="B403" t="s">
        <v>170</v>
      </c>
      <c r="E403" t="s">
        <v>167</v>
      </c>
    </row>
    <row r="404" spans="1:13" x14ac:dyDescent="0.35">
      <c r="B404" t="s">
        <v>604</v>
      </c>
      <c r="C404" t="s">
        <v>605</v>
      </c>
      <c r="E404" t="s">
        <v>604</v>
      </c>
      <c r="F404" t="s">
        <v>605</v>
      </c>
    </row>
    <row r="405" spans="1:13" x14ac:dyDescent="0.35">
      <c r="A405" s="2">
        <v>43178</v>
      </c>
      <c r="B405">
        <v>0</v>
      </c>
      <c r="C405">
        <v>1</v>
      </c>
      <c r="D405">
        <f>SUM(B405:C405)</f>
        <v>1</v>
      </c>
      <c r="E405">
        <v>0</v>
      </c>
      <c r="F405">
        <v>1</v>
      </c>
      <c r="I405" s="57"/>
      <c r="J405" s="8"/>
    </row>
    <row r="406" spans="1:13" x14ac:dyDescent="0.35">
      <c r="A406" s="2">
        <v>43185</v>
      </c>
      <c r="B406">
        <v>252</v>
      </c>
      <c r="C406">
        <v>183</v>
      </c>
      <c r="D406">
        <f t="shared" ref="D406:D415" si="22">SUM(B406:C406)</f>
        <v>435</v>
      </c>
      <c r="E406">
        <v>4</v>
      </c>
      <c r="F406">
        <v>11</v>
      </c>
      <c r="I406" s="57"/>
      <c r="J406" s="8"/>
    </row>
    <row r="407" spans="1:13" x14ac:dyDescent="0.35">
      <c r="A407" s="2">
        <v>43193</v>
      </c>
      <c r="B407">
        <v>147</v>
      </c>
      <c r="C407">
        <v>148</v>
      </c>
      <c r="D407">
        <f t="shared" si="22"/>
        <v>295</v>
      </c>
      <c r="E407">
        <v>0</v>
      </c>
      <c r="F407">
        <v>4</v>
      </c>
      <c r="I407" s="57"/>
      <c r="J407" s="8"/>
    </row>
    <row r="408" spans="1:13" x14ac:dyDescent="0.35">
      <c r="A408" s="2">
        <v>43199</v>
      </c>
      <c r="B408">
        <v>113</v>
      </c>
      <c r="C408">
        <v>241</v>
      </c>
      <c r="D408">
        <f t="shared" si="22"/>
        <v>354</v>
      </c>
      <c r="E408">
        <v>0</v>
      </c>
      <c r="F408">
        <v>5</v>
      </c>
      <c r="I408" s="57"/>
      <c r="J408" s="8"/>
    </row>
    <row r="409" spans="1:13" x14ac:dyDescent="0.35">
      <c r="A409" s="2">
        <v>43206</v>
      </c>
      <c r="B409">
        <v>2371</v>
      </c>
      <c r="C409">
        <v>3391</v>
      </c>
      <c r="D409">
        <f t="shared" si="22"/>
        <v>5762</v>
      </c>
      <c r="E409">
        <v>1</v>
      </c>
      <c r="F409">
        <v>3</v>
      </c>
      <c r="I409" s="57"/>
      <c r="J409" s="8"/>
    </row>
    <row r="410" spans="1:13" x14ac:dyDescent="0.35">
      <c r="A410" s="2">
        <v>43213</v>
      </c>
      <c r="B410">
        <v>7805</v>
      </c>
      <c r="C410">
        <v>6232</v>
      </c>
      <c r="D410">
        <f t="shared" si="22"/>
        <v>14037</v>
      </c>
      <c r="E410">
        <v>4</v>
      </c>
      <c r="F410">
        <v>8</v>
      </c>
      <c r="I410" s="57"/>
      <c r="J410" s="8"/>
      <c r="M410" s="8"/>
    </row>
    <row r="411" spans="1:13" x14ac:dyDescent="0.35">
      <c r="A411" s="2">
        <v>43222</v>
      </c>
      <c r="B411">
        <v>2834</v>
      </c>
      <c r="C411">
        <v>8581</v>
      </c>
      <c r="D411">
        <f t="shared" si="22"/>
        <v>11415</v>
      </c>
      <c r="E411">
        <v>6</v>
      </c>
      <c r="F411">
        <v>11</v>
      </c>
      <c r="I411" s="57"/>
      <c r="J411" s="8"/>
    </row>
    <row r="412" spans="1:13" x14ac:dyDescent="0.35">
      <c r="A412" s="2">
        <v>43227</v>
      </c>
      <c r="B412" s="8">
        <v>110</v>
      </c>
      <c r="C412" s="8">
        <v>313</v>
      </c>
      <c r="D412">
        <f t="shared" si="22"/>
        <v>423</v>
      </c>
      <c r="E412">
        <v>0</v>
      </c>
      <c r="F412">
        <v>0</v>
      </c>
      <c r="I412" s="57"/>
      <c r="J412" s="8"/>
    </row>
    <row r="413" spans="1:13" x14ac:dyDescent="0.35">
      <c r="A413" s="2">
        <v>43234</v>
      </c>
      <c r="B413" s="8">
        <v>2250</v>
      </c>
      <c r="C413" s="8">
        <v>5221</v>
      </c>
      <c r="D413">
        <f t="shared" si="22"/>
        <v>7471</v>
      </c>
      <c r="E413">
        <v>8</v>
      </c>
      <c r="F413">
        <v>0</v>
      </c>
      <c r="I413" s="57"/>
      <c r="J413" s="8"/>
    </row>
    <row r="414" spans="1:13" x14ac:dyDescent="0.35">
      <c r="A414" s="2">
        <v>43242</v>
      </c>
      <c r="B414" s="8">
        <v>532</v>
      </c>
      <c r="C414" s="8">
        <v>1535</v>
      </c>
      <c r="D414">
        <f t="shared" si="22"/>
        <v>2067</v>
      </c>
      <c r="E414">
        <v>2</v>
      </c>
      <c r="F414">
        <v>3</v>
      </c>
      <c r="I414" s="57"/>
      <c r="J414" s="8"/>
      <c r="M414" s="8"/>
    </row>
    <row r="415" spans="1:13" x14ac:dyDescent="0.35">
      <c r="A415" s="2">
        <v>43248</v>
      </c>
      <c r="B415" s="34">
        <v>72</v>
      </c>
      <c r="C415" s="8">
        <v>86</v>
      </c>
      <c r="D415">
        <f t="shared" si="22"/>
        <v>158</v>
      </c>
      <c r="E415" s="5">
        <v>1</v>
      </c>
      <c r="F415">
        <v>1</v>
      </c>
      <c r="I415" s="57"/>
      <c r="J415" s="8"/>
    </row>
    <row r="416" spans="1:13" x14ac:dyDescent="0.35">
      <c r="I416" s="57"/>
      <c r="J416" s="8"/>
      <c r="M416" s="8"/>
    </row>
    <row r="417" spans="2:13" x14ac:dyDescent="0.35">
      <c r="B417">
        <f>SUM(B405:B415)</f>
        <v>16486</v>
      </c>
      <c r="C417">
        <f>SUM(C405:C415)</f>
        <v>25932</v>
      </c>
      <c r="D417">
        <f>SUM(D405:D415)</f>
        <v>42418</v>
      </c>
      <c r="E417">
        <f t="shared" ref="E417:F417" si="23">SUM(E405:E415)</f>
        <v>26</v>
      </c>
      <c r="F417">
        <f t="shared" si="23"/>
        <v>47</v>
      </c>
      <c r="I417" s="57"/>
      <c r="J417" s="8"/>
    </row>
    <row r="418" spans="2:13" x14ac:dyDescent="0.35">
      <c r="I418" s="57"/>
      <c r="J418" s="8"/>
    </row>
    <row r="419" spans="2:13" x14ac:dyDescent="0.35">
      <c r="F419">
        <f>SUM(E417:F417)</f>
        <v>73</v>
      </c>
      <c r="I419" s="57"/>
      <c r="J419" s="8"/>
    </row>
    <row r="420" spans="2:13" x14ac:dyDescent="0.35">
      <c r="I420" s="57"/>
      <c r="J420" s="8"/>
    </row>
    <row r="421" spans="2:13" x14ac:dyDescent="0.35">
      <c r="D421">
        <f>D399/D417</f>
        <v>1.5786458578905183</v>
      </c>
      <c r="I421" s="57"/>
      <c r="J421" s="8"/>
      <c r="M421" s="8"/>
    </row>
    <row r="422" spans="2:13" x14ac:dyDescent="0.35">
      <c r="I422" s="57"/>
      <c r="J422" s="8"/>
    </row>
    <row r="423" spans="2:13" x14ac:dyDescent="0.35">
      <c r="I423" s="58"/>
      <c r="J423" s="8"/>
    </row>
    <row r="424" spans="2:13" x14ac:dyDescent="0.35">
      <c r="I424" s="58"/>
      <c r="J424" s="8"/>
    </row>
    <row r="425" spans="2:13" x14ac:dyDescent="0.35">
      <c r="I425" s="58"/>
      <c r="J425" s="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"/>
  <sheetViews>
    <sheetView workbookViewId="0">
      <selection activeCell="A19" sqref="A19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>
        <v>2016</v>
      </c>
    </row>
    <row r="3" spans="1:1" x14ac:dyDescent="0.35">
      <c r="A3" t="s">
        <v>83</v>
      </c>
    </row>
    <row r="4" spans="1:1" x14ac:dyDescent="0.35">
      <c r="A4">
        <v>2017</v>
      </c>
    </row>
    <row r="5" spans="1:1" x14ac:dyDescent="0.35">
      <c r="A5" t="s">
        <v>202</v>
      </c>
    </row>
    <row r="6" spans="1:1" x14ac:dyDescent="0.35">
      <c r="A6" t="s">
        <v>203</v>
      </c>
    </row>
    <row r="7" spans="1:1" x14ac:dyDescent="0.35">
      <c r="A7" t="s">
        <v>513</v>
      </c>
    </row>
    <row r="8" spans="1:1" x14ac:dyDescent="0.35">
      <c r="A8" t="s">
        <v>514</v>
      </c>
    </row>
    <row r="10" spans="1:1" x14ac:dyDescent="0.35">
      <c r="A10" t="s">
        <v>588</v>
      </c>
    </row>
    <row r="11" spans="1:1" x14ac:dyDescent="0.35">
      <c r="A11" t="s">
        <v>558</v>
      </c>
    </row>
    <row r="14" spans="1:1" x14ac:dyDescent="0.35">
      <c r="A14" t="s">
        <v>609</v>
      </c>
    </row>
    <row r="15" spans="1:1" x14ac:dyDescent="0.35">
      <c r="A15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9" sqref="E29"/>
    </sheetView>
  </sheetViews>
  <sheetFormatPr defaultRowHeight="14.5" x14ac:dyDescent="0.35"/>
  <cols>
    <col min="1" max="1" width="10.7265625" bestFit="1" customWidth="1"/>
    <col min="4" max="4" width="36.81640625" customWidth="1"/>
    <col min="5" max="5" width="21.26953125" customWidth="1"/>
    <col min="6" max="7" width="36.54296875" customWidth="1"/>
    <col min="8" max="8" width="20.1796875" customWidth="1"/>
    <col min="9" max="9" width="22.26953125" customWidth="1"/>
    <col min="10" max="10" width="16.26953125" customWidth="1"/>
    <col min="11" max="11" width="10.1796875" customWidth="1"/>
    <col min="12" max="12" width="11.1796875" customWidth="1"/>
    <col min="13" max="13" width="12.7265625" customWidth="1"/>
    <col min="15" max="16" width="17.26953125" customWidth="1"/>
  </cols>
  <sheetData>
    <row r="1" spans="1:17" x14ac:dyDescent="0.35">
      <c r="A1" t="s">
        <v>0</v>
      </c>
      <c r="B1" t="s">
        <v>1</v>
      </c>
      <c r="C1" t="s">
        <v>188</v>
      </c>
      <c r="D1" t="s">
        <v>185</v>
      </c>
      <c r="E1" t="s">
        <v>186</v>
      </c>
      <c r="F1" t="s">
        <v>187</v>
      </c>
      <c r="G1" t="s">
        <v>229</v>
      </c>
      <c r="H1" t="s">
        <v>189</v>
      </c>
      <c r="I1" t="s">
        <v>274</v>
      </c>
      <c r="J1" t="s">
        <v>210</v>
      </c>
      <c r="K1" t="s">
        <v>452</v>
      </c>
      <c r="L1" t="s">
        <v>190</v>
      </c>
      <c r="M1" t="s">
        <v>26</v>
      </c>
      <c r="N1" t="s">
        <v>328</v>
      </c>
      <c r="O1" t="s">
        <v>527</v>
      </c>
      <c r="P1" t="s">
        <v>589</v>
      </c>
      <c r="Q1" s="49" t="s">
        <v>528</v>
      </c>
    </row>
    <row r="2" spans="1:17" x14ac:dyDescent="0.35">
      <c r="A2" s="2">
        <v>42447</v>
      </c>
      <c r="B2" t="s">
        <v>183</v>
      </c>
      <c r="D2">
        <v>1</v>
      </c>
    </row>
    <row r="3" spans="1:17" x14ac:dyDescent="0.35">
      <c r="A3" s="2">
        <v>42447</v>
      </c>
      <c r="B3" t="s">
        <v>184</v>
      </c>
      <c r="D3">
        <v>6</v>
      </c>
      <c r="E3">
        <v>4</v>
      </c>
      <c r="F3">
        <v>2</v>
      </c>
    </row>
    <row r="4" spans="1:17" x14ac:dyDescent="0.35">
      <c r="A4" s="2">
        <v>42797</v>
      </c>
      <c r="B4" t="s">
        <v>183</v>
      </c>
      <c r="C4">
        <v>2</v>
      </c>
      <c r="E4">
        <v>2</v>
      </c>
      <c r="H4">
        <v>12</v>
      </c>
    </row>
    <row r="5" spans="1:17" x14ac:dyDescent="0.35">
      <c r="A5" s="2">
        <v>42797</v>
      </c>
      <c r="B5" t="s">
        <v>184</v>
      </c>
      <c r="C5">
        <v>2</v>
      </c>
      <c r="F5">
        <v>1</v>
      </c>
      <c r="H5">
        <v>17</v>
      </c>
    </row>
    <row r="6" spans="1:17" x14ac:dyDescent="0.35">
      <c r="A6" s="2">
        <v>42804</v>
      </c>
      <c r="B6" t="s">
        <v>176</v>
      </c>
      <c r="C6">
        <v>1</v>
      </c>
      <c r="G6">
        <v>30</v>
      </c>
      <c r="J6">
        <v>2</v>
      </c>
    </row>
    <row r="7" spans="1:17" x14ac:dyDescent="0.35">
      <c r="A7" s="2">
        <v>42804</v>
      </c>
      <c r="B7" t="s">
        <v>184</v>
      </c>
      <c r="C7">
        <v>1</v>
      </c>
      <c r="H7">
        <v>11</v>
      </c>
    </row>
    <row r="8" spans="1:17" x14ac:dyDescent="0.35">
      <c r="A8" s="2">
        <v>42804</v>
      </c>
      <c r="B8" t="s">
        <v>183</v>
      </c>
      <c r="C8">
        <v>1</v>
      </c>
      <c r="G8">
        <v>2</v>
      </c>
      <c r="H8">
        <v>4</v>
      </c>
      <c r="I8">
        <v>1</v>
      </c>
    </row>
    <row r="9" spans="1:17" x14ac:dyDescent="0.35">
      <c r="A9" s="2">
        <v>42811</v>
      </c>
      <c r="B9" t="s">
        <v>176</v>
      </c>
      <c r="C9">
        <v>1</v>
      </c>
      <c r="G9">
        <v>17</v>
      </c>
      <c r="I9">
        <v>1</v>
      </c>
      <c r="L9">
        <v>2</v>
      </c>
    </row>
    <row r="10" spans="1:17" x14ac:dyDescent="0.35">
      <c r="A10" s="2">
        <v>42811</v>
      </c>
      <c r="B10" t="s">
        <v>184</v>
      </c>
      <c r="C10">
        <v>1</v>
      </c>
      <c r="H10">
        <v>1</v>
      </c>
    </row>
    <row r="11" spans="1:17" x14ac:dyDescent="0.35">
      <c r="A11" s="2">
        <v>42811</v>
      </c>
      <c r="B11" t="s">
        <v>183</v>
      </c>
      <c r="C11">
        <v>1</v>
      </c>
      <c r="G11">
        <v>8</v>
      </c>
      <c r="H11">
        <v>4</v>
      </c>
      <c r="K11">
        <v>1</v>
      </c>
    </row>
    <row r="12" spans="1:17" x14ac:dyDescent="0.35">
      <c r="A12" s="2">
        <v>42818</v>
      </c>
      <c r="B12" t="s">
        <v>176</v>
      </c>
      <c r="C12">
        <v>1</v>
      </c>
      <c r="G12">
        <v>63</v>
      </c>
      <c r="I12">
        <v>2</v>
      </c>
      <c r="J12">
        <v>1</v>
      </c>
      <c r="K12">
        <v>1</v>
      </c>
    </row>
    <row r="13" spans="1:17" x14ac:dyDescent="0.35">
      <c r="A13" s="2">
        <v>42818</v>
      </c>
      <c r="B13" t="s">
        <v>184</v>
      </c>
      <c r="C13">
        <v>1</v>
      </c>
      <c r="G13">
        <v>118</v>
      </c>
      <c r="I13">
        <v>15</v>
      </c>
      <c r="L13">
        <v>4</v>
      </c>
    </row>
    <row r="14" spans="1:17" x14ac:dyDescent="0.35">
      <c r="A14" s="2">
        <v>42818</v>
      </c>
      <c r="B14" t="s">
        <v>183</v>
      </c>
      <c r="C14">
        <v>1</v>
      </c>
      <c r="G14">
        <v>2</v>
      </c>
      <c r="H14">
        <v>4</v>
      </c>
      <c r="K14">
        <v>1</v>
      </c>
    </row>
    <row r="15" spans="1:17" x14ac:dyDescent="0.35">
      <c r="A15" s="2">
        <v>42825</v>
      </c>
      <c r="B15" t="s">
        <v>176</v>
      </c>
      <c r="C15">
        <v>1</v>
      </c>
      <c r="G15">
        <v>90</v>
      </c>
      <c r="H15">
        <v>1</v>
      </c>
      <c r="I15">
        <v>3</v>
      </c>
      <c r="K15">
        <v>1</v>
      </c>
      <c r="L15">
        <v>9</v>
      </c>
      <c r="M15">
        <v>3</v>
      </c>
      <c r="N15">
        <v>1</v>
      </c>
    </row>
    <row r="16" spans="1:17" x14ac:dyDescent="0.35">
      <c r="A16" s="2">
        <v>42825</v>
      </c>
      <c r="B16" t="s">
        <v>184</v>
      </c>
      <c r="C16">
        <v>1</v>
      </c>
      <c r="H16">
        <v>5</v>
      </c>
    </row>
    <row r="17" spans="1:13" x14ac:dyDescent="0.35">
      <c r="A17" s="2">
        <v>42825</v>
      </c>
      <c r="B17" t="s">
        <v>183</v>
      </c>
      <c r="C17">
        <v>1</v>
      </c>
      <c r="G17">
        <v>31</v>
      </c>
      <c r="H17">
        <v>1</v>
      </c>
      <c r="I17">
        <v>1</v>
      </c>
      <c r="K17">
        <v>1</v>
      </c>
    </row>
    <row r="18" spans="1:13" x14ac:dyDescent="0.35">
      <c r="A18" s="2">
        <v>42832</v>
      </c>
      <c r="B18" t="s">
        <v>176</v>
      </c>
      <c r="C18">
        <v>1</v>
      </c>
      <c r="G18">
        <v>97</v>
      </c>
      <c r="H18">
        <v>1</v>
      </c>
      <c r="I18">
        <v>3</v>
      </c>
      <c r="K18">
        <v>1</v>
      </c>
    </row>
    <row r="19" spans="1:13" x14ac:dyDescent="0.35">
      <c r="A19" s="2">
        <v>42832</v>
      </c>
      <c r="B19" t="s">
        <v>184</v>
      </c>
      <c r="C19">
        <v>1</v>
      </c>
      <c r="G19">
        <v>3</v>
      </c>
      <c r="H19">
        <v>1</v>
      </c>
    </row>
    <row r="20" spans="1:13" x14ac:dyDescent="0.35">
      <c r="A20" s="2">
        <v>42832</v>
      </c>
      <c r="B20" t="s">
        <v>183</v>
      </c>
      <c r="C20">
        <v>1</v>
      </c>
      <c r="H20">
        <v>1</v>
      </c>
      <c r="L20">
        <v>4</v>
      </c>
    </row>
    <row r="21" spans="1:13" x14ac:dyDescent="0.35">
      <c r="A21" s="2">
        <v>42839</v>
      </c>
      <c r="B21" t="s">
        <v>176</v>
      </c>
      <c r="C21">
        <v>1</v>
      </c>
      <c r="G21">
        <v>3</v>
      </c>
      <c r="H21">
        <v>1</v>
      </c>
      <c r="I21">
        <v>2</v>
      </c>
    </row>
    <row r="22" spans="1:13" x14ac:dyDescent="0.35">
      <c r="A22" s="2">
        <v>42839</v>
      </c>
      <c r="B22" t="s">
        <v>184</v>
      </c>
      <c r="C22">
        <v>1</v>
      </c>
      <c r="H22">
        <v>8</v>
      </c>
    </row>
    <row r="23" spans="1:13" x14ac:dyDescent="0.35">
      <c r="A23" s="2">
        <v>42839</v>
      </c>
      <c r="B23" t="s">
        <v>183</v>
      </c>
      <c r="C23">
        <v>1</v>
      </c>
      <c r="G23">
        <v>17</v>
      </c>
      <c r="I23">
        <v>3</v>
      </c>
    </row>
    <row r="24" spans="1:13" x14ac:dyDescent="0.35">
      <c r="A24" s="2">
        <v>42846</v>
      </c>
      <c r="B24" t="s">
        <v>176</v>
      </c>
      <c r="C24">
        <v>1</v>
      </c>
      <c r="G24">
        <v>2</v>
      </c>
    </row>
    <row r="25" spans="1:13" x14ac:dyDescent="0.35">
      <c r="A25" s="2">
        <v>42846</v>
      </c>
      <c r="B25" t="s">
        <v>184</v>
      </c>
      <c r="C25">
        <v>1</v>
      </c>
      <c r="G25">
        <v>1</v>
      </c>
      <c r="H25">
        <v>4</v>
      </c>
      <c r="K25">
        <v>3</v>
      </c>
    </row>
    <row r="26" spans="1:13" x14ac:dyDescent="0.35">
      <c r="A26" s="2">
        <v>42846</v>
      </c>
      <c r="B26" t="s">
        <v>183</v>
      </c>
      <c r="C26">
        <v>1</v>
      </c>
      <c r="G26">
        <v>31</v>
      </c>
      <c r="I26">
        <v>1</v>
      </c>
      <c r="L26">
        <v>1</v>
      </c>
    </row>
    <row r="27" spans="1:13" x14ac:dyDescent="0.35">
      <c r="A27" s="2">
        <v>42853</v>
      </c>
      <c r="B27" t="s">
        <v>176</v>
      </c>
      <c r="C27">
        <v>1</v>
      </c>
      <c r="G27">
        <v>6</v>
      </c>
      <c r="I27">
        <v>1</v>
      </c>
      <c r="K27">
        <v>1</v>
      </c>
      <c r="L27">
        <v>1</v>
      </c>
    </row>
    <row r="28" spans="1:13" x14ac:dyDescent="0.35">
      <c r="A28" s="2">
        <v>42853</v>
      </c>
      <c r="B28" t="s">
        <v>184</v>
      </c>
      <c r="C28">
        <v>1</v>
      </c>
      <c r="G28">
        <v>2</v>
      </c>
    </row>
    <row r="29" spans="1:13" x14ac:dyDescent="0.35">
      <c r="A29" s="2">
        <v>42853</v>
      </c>
      <c r="B29" t="s">
        <v>183</v>
      </c>
      <c r="C29">
        <v>1</v>
      </c>
      <c r="G29">
        <v>20</v>
      </c>
      <c r="H29">
        <v>3</v>
      </c>
      <c r="I29">
        <v>2</v>
      </c>
    </row>
    <row r="30" spans="1:13" x14ac:dyDescent="0.35">
      <c r="A30" s="2">
        <v>42860</v>
      </c>
      <c r="B30" t="s">
        <v>176</v>
      </c>
      <c r="C30">
        <v>1</v>
      </c>
      <c r="G30">
        <v>3</v>
      </c>
      <c r="H30">
        <v>1</v>
      </c>
      <c r="M30">
        <v>1</v>
      </c>
    </row>
    <row r="31" spans="1:13" x14ac:dyDescent="0.35">
      <c r="A31" s="2">
        <v>42860</v>
      </c>
      <c r="B31" t="s">
        <v>184</v>
      </c>
      <c r="C31">
        <v>1</v>
      </c>
      <c r="G31">
        <v>76</v>
      </c>
      <c r="H31">
        <v>2</v>
      </c>
    </row>
    <row r="32" spans="1:13" x14ac:dyDescent="0.35">
      <c r="A32" s="2">
        <v>42860</v>
      </c>
      <c r="B32" t="s">
        <v>183</v>
      </c>
      <c r="C32">
        <v>1</v>
      </c>
      <c r="G32">
        <v>2</v>
      </c>
      <c r="H32">
        <v>1</v>
      </c>
      <c r="I32">
        <v>3</v>
      </c>
    </row>
    <row r="33" spans="1:17" x14ac:dyDescent="0.35">
      <c r="A33" s="2">
        <v>42867</v>
      </c>
      <c r="B33" t="s">
        <v>176</v>
      </c>
      <c r="C33">
        <v>1</v>
      </c>
      <c r="G33">
        <v>69</v>
      </c>
      <c r="H33">
        <v>1</v>
      </c>
      <c r="I33">
        <v>2</v>
      </c>
      <c r="N33">
        <v>1</v>
      </c>
      <c r="O33">
        <v>1</v>
      </c>
    </row>
    <row r="34" spans="1:17" x14ac:dyDescent="0.35">
      <c r="A34" s="2">
        <v>42867</v>
      </c>
      <c r="B34" t="s">
        <v>184</v>
      </c>
      <c r="C34">
        <v>1</v>
      </c>
      <c r="G34">
        <v>1</v>
      </c>
      <c r="H34">
        <v>3</v>
      </c>
      <c r="Q34">
        <v>1</v>
      </c>
    </row>
    <row r="35" spans="1:17" x14ac:dyDescent="0.35">
      <c r="A35" s="2">
        <v>42867</v>
      </c>
      <c r="B35" t="s">
        <v>183</v>
      </c>
      <c r="C35">
        <v>1</v>
      </c>
      <c r="G35">
        <v>7</v>
      </c>
      <c r="I35">
        <v>3</v>
      </c>
      <c r="L35">
        <v>1</v>
      </c>
    </row>
    <row r="36" spans="1:17" x14ac:dyDescent="0.35">
      <c r="A36" s="2">
        <v>42874</v>
      </c>
      <c r="B36" t="s">
        <v>176</v>
      </c>
      <c r="C36">
        <v>1</v>
      </c>
      <c r="G36">
        <v>22</v>
      </c>
      <c r="N36">
        <v>2</v>
      </c>
    </row>
    <row r="37" spans="1:17" x14ac:dyDescent="0.35">
      <c r="A37" s="2">
        <v>42874</v>
      </c>
      <c r="B37" t="s">
        <v>184</v>
      </c>
      <c r="C37">
        <v>1</v>
      </c>
      <c r="G37">
        <v>1</v>
      </c>
      <c r="H37">
        <v>5</v>
      </c>
    </row>
    <row r="38" spans="1:17" x14ac:dyDescent="0.35">
      <c r="A38" s="2">
        <v>42874</v>
      </c>
      <c r="B38" t="s">
        <v>183</v>
      </c>
      <c r="C38">
        <v>1</v>
      </c>
      <c r="G38">
        <v>106</v>
      </c>
      <c r="I38">
        <v>10</v>
      </c>
      <c r="N38">
        <v>1</v>
      </c>
    </row>
    <row r="39" spans="1:17" x14ac:dyDescent="0.35">
      <c r="A39" s="2">
        <v>42879</v>
      </c>
      <c r="B39" t="s">
        <v>176</v>
      </c>
      <c r="C39">
        <v>1</v>
      </c>
      <c r="F39">
        <v>1</v>
      </c>
      <c r="G39">
        <v>1</v>
      </c>
      <c r="I39">
        <v>1</v>
      </c>
      <c r="N39">
        <v>9</v>
      </c>
      <c r="P39">
        <v>1</v>
      </c>
    </row>
    <row r="40" spans="1:17" x14ac:dyDescent="0.35">
      <c r="A40" s="2">
        <v>42879</v>
      </c>
      <c r="B40" t="s">
        <v>184</v>
      </c>
      <c r="C40">
        <v>1</v>
      </c>
      <c r="G40">
        <v>20</v>
      </c>
      <c r="H40">
        <v>2</v>
      </c>
    </row>
    <row r="41" spans="1:17" x14ac:dyDescent="0.35">
      <c r="A41" s="2">
        <v>42879</v>
      </c>
      <c r="B41" t="s">
        <v>183</v>
      </c>
      <c r="C41">
        <v>1</v>
      </c>
      <c r="G41">
        <v>21</v>
      </c>
      <c r="H41">
        <v>4</v>
      </c>
    </row>
    <row r="43" spans="1:17" x14ac:dyDescent="0.35">
      <c r="A43" s="41" t="s">
        <v>275</v>
      </c>
    </row>
    <row r="44" spans="1:17" x14ac:dyDescent="0.35">
      <c r="A44" t="s">
        <v>451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G102"/>
  <sheetViews>
    <sheetView tabSelected="1" topLeftCell="A27" workbookViewId="0">
      <selection sqref="A1:M48"/>
    </sheetView>
  </sheetViews>
  <sheetFormatPr defaultRowHeight="14.5" x14ac:dyDescent="0.35"/>
  <cols>
    <col min="1" max="1" width="16.453125" style="60" customWidth="1"/>
    <col min="4" max="4" width="9.1796875" style="60"/>
    <col min="7" max="7" width="9.1796875" style="60"/>
    <col min="10" max="10" width="9.1796875" style="60"/>
    <col min="13" max="13" width="9.1796875" style="60"/>
  </cols>
  <sheetData>
    <row r="1" spans="1:85" ht="15.5" x14ac:dyDescent="0.35">
      <c r="A1" s="60" t="s">
        <v>946</v>
      </c>
      <c r="B1" s="129" t="s">
        <v>942</v>
      </c>
      <c r="C1" s="127"/>
      <c r="D1" s="130"/>
      <c r="E1" s="129" t="s">
        <v>943</v>
      </c>
      <c r="F1" s="127"/>
      <c r="G1" s="130"/>
      <c r="H1" s="129" t="s">
        <v>944</v>
      </c>
      <c r="I1" s="127"/>
      <c r="J1" s="130"/>
      <c r="K1" s="129" t="s">
        <v>945</v>
      </c>
      <c r="L1" s="127"/>
      <c r="M1" s="130"/>
      <c r="AI1" s="45" t="s">
        <v>954</v>
      </c>
      <c r="AU1" s="47" t="s">
        <v>953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47" t="s">
        <v>952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47" t="s">
        <v>951</v>
      </c>
    </row>
    <row r="2" spans="1:85" s="4" customFormat="1" x14ac:dyDescent="0.35">
      <c r="A2" s="76"/>
      <c r="B2" s="84" t="s">
        <v>939</v>
      </c>
      <c r="C2" s="84" t="s">
        <v>940</v>
      </c>
      <c r="D2" s="104" t="s">
        <v>941</v>
      </c>
      <c r="E2" s="84" t="s">
        <v>939</v>
      </c>
      <c r="F2" s="84" t="s">
        <v>940</v>
      </c>
      <c r="G2" s="104" t="s">
        <v>941</v>
      </c>
      <c r="H2" s="84" t="s">
        <v>939</v>
      </c>
      <c r="I2" s="84" t="s">
        <v>940</v>
      </c>
      <c r="J2" s="104" t="s">
        <v>941</v>
      </c>
      <c r="K2" s="84" t="s">
        <v>939</v>
      </c>
      <c r="L2" s="84" t="s">
        <v>940</v>
      </c>
      <c r="M2" s="104" t="s">
        <v>941</v>
      </c>
      <c r="AI2" s="102">
        <v>11</v>
      </c>
      <c r="AJ2" s="102">
        <v>12</v>
      </c>
      <c r="AK2" s="102">
        <v>13</v>
      </c>
      <c r="AL2" s="102">
        <v>14</v>
      </c>
      <c r="AM2" s="102">
        <v>15</v>
      </c>
      <c r="AN2" s="102">
        <v>16</v>
      </c>
      <c r="AO2" s="102">
        <v>17</v>
      </c>
      <c r="AP2" s="102">
        <v>18</v>
      </c>
      <c r="AQ2" s="102">
        <v>19</v>
      </c>
      <c r="AR2" s="102">
        <v>20</v>
      </c>
      <c r="AS2" s="102">
        <v>21</v>
      </c>
      <c r="AT2" s="102">
        <v>22</v>
      </c>
      <c r="AU2" s="102">
        <v>11</v>
      </c>
      <c r="AV2" s="102">
        <v>12</v>
      </c>
      <c r="AW2" s="102">
        <v>13</v>
      </c>
      <c r="AX2" s="102">
        <v>14</v>
      </c>
      <c r="AY2" s="102">
        <v>15</v>
      </c>
      <c r="AZ2" s="102">
        <v>16</v>
      </c>
      <c r="BA2" s="102">
        <v>17</v>
      </c>
      <c r="BB2" s="102">
        <v>18</v>
      </c>
      <c r="BC2" s="102">
        <v>19</v>
      </c>
      <c r="BD2" s="102">
        <v>20</v>
      </c>
      <c r="BE2" s="102">
        <v>21</v>
      </c>
      <c r="BF2" s="102">
        <v>22</v>
      </c>
      <c r="BG2" s="102">
        <v>11</v>
      </c>
      <c r="BH2" s="102">
        <v>12</v>
      </c>
      <c r="BI2" s="102">
        <v>13</v>
      </c>
      <c r="BJ2" s="102">
        <v>14</v>
      </c>
      <c r="BK2" s="102">
        <v>15</v>
      </c>
      <c r="BL2" s="102">
        <v>16</v>
      </c>
      <c r="BM2" s="102">
        <v>17</v>
      </c>
      <c r="BN2" s="102">
        <v>18</v>
      </c>
      <c r="BO2" s="102">
        <v>19</v>
      </c>
      <c r="BP2" s="102">
        <v>20</v>
      </c>
      <c r="BQ2" s="102">
        <v>21</v>
      </c>
      <c r="BR2" s="102">
        <v>22</v>
      </c>
      <c r="BS2" s="102">
        <v>11</v>
      </c>
      <c r="BT2" s="102">
        <v>12</v>
      </c>
      <c r="BU2" s="102">
        <v>13</v>
      </c>
      <c r="BV2" s="102">
        <v>14</v>
      </c>
      <c r="BW2" s="102">
        <v>15</v>
      </c>
      <c r="BX2" s="102">
        <v>16</v>
      </c>
      <c r="BY2" s="102">
        <v>17</v>
      </c>
      <c r="BZ2" s="102">
        <v>18</v>
      </c>
      <c r="CA2" s="102">
        <v>19</v>
      </c>
      <c r="CB2" s="102">
        <v>20</v>
      </c>
      <c r="CC2" s="102">
        <v>21</v>
      </c>
      <c r="CD2" s="102">
        <v>22</v>
      </c>
    </row>
    <row r="3" spans="1:85" x14ac:dyDescent="0.35">
      <c r="A3" s="94">
        <v>2016</v>
      </c>
      <c r="B3" s="83"/>
      <c r="C3" s="83"/>
      <c r="D3" s="105"/>
      <c r="E3" s="83"/>
      <c r="F3" s="83"/>
      <c r="G3" s="105"/>
      <c r="H3" s="83"/>
      <c r="I3" s="83"/>
      <c r="J3" s="105"/>
      <c r="K3" s="83"/>
      <c r="L3" s="83"/>
      <c r="M3" s="105"/>
      <c r="AG3" t="s">
        <v>594</v>
      </c>
      <c r="AH3">
        <v>2016</v>
      </c>
      <c r="AI3" s="42">
        <v>0</v>
      </c>
      <c r="AJ3" s="42">
        <v>0</v>
      </c>
      <c r="AK3" s="42">
        <v>0</v>
      </c>
      <c r="AL3" s="42">
        <v>1</v>
      </c>
      <c r="AM3" s="42">
        <v>0.33333333333333331</v>
      </c>
      <c r="AN3" s="42">
        <v>0</v>
      </c>
      <c r="AO3" s="42">
        <v>2</v>
      </c>
      <c r="AP3" s="42">
        <v>0.66666666666666663</v>
      </c>
      <c r="AQ3" s="42">
        <v>0</v>
      </c>
      <c r="AR3" s="42">
        <v>0</v>
      </c>
      <c r="AS3" s="42">
        <v>0.66666666666666663</v>
      </c>
      <c r="AT3" s="42">
        <v>1.3333333333333333</v>
      </c>
      <c r="AU3" s="42">
        <v>0</v>
      </c>
      <c r="AV3" s="42">
        <v>0</v>
      </c>
      <c r="AW3" s="42">
        <v>0</v>
      </c>
      <c r="AX3" s="42">
        <v>0</v>
      </c>
      <c r="AY3" s="42">
        <v>0</v>
      </c>
      <c r="AZ3" s="42">
        <v>1.5</v>
      </c>
      <c r="BA3" s="42">
        <v>0</v>
      </c>
      <c r="BB3" s="42">
        <v>0</v>
      </c>
      <c r="BC3" s="42">
        <v>0.16666666666666666</v>
      </c>
      <c r="BD3" s="42">
        <v>8.3333333333333339</v>
      </c>
      <c r="BE3" s="42">
        <v>7.833333333333333</v>
      </c>
      <c r="BF3" s="42">
        <v>8.1666666666666661</v>
      </c>
      <c r="BG3" s="42">
        <v>0</v>
      </c>
      <c r="BH3" s="42">
        <v>0</v>
      </c>
      <c r="BI3" s="42">
        <v>0</v>
      </c>
      <c r="BJ3" s="42">
        <v>0</v>
      </c>
      <c r="BK3" s="42">
        <v>0</v>
      </c>
      <c r="BL3" s="42">
        <v>0.5</v>
      </c>
      <c r="BM3" s="42">
        <v>0.16666666666666666</v>
      </c>
      <c r="BN3" s="42">
        <v>0.5</v>
      </c>
      <c r="BO3" s="42">
        <v>0.16666666666666666</v>
      </c>
      <c r="BP3" s="42">
        <v>5.166666666666667</v>
      </c>
      <c r="BQ3" s="42">
        <v>3.3333333333333335</v>
      </c>
      <c r="BR3" s="42">
        <v>4.166666666666667</v>
      </c>
      <c r="BS3" s="42">
        <v>0</v>
      </c>
      <c r="BT3" s="42">
        <v>2.1666666666666665</v>
      </c>
      <c r="BU3" s="42">
        <v>15</v>
      </c>
      <c r="BV3" s="42">
        <v>1.1666666666666667</v>
      </c>
      <c r="BW3" s="42">
        <v>0.5</v>
      </c>
      <c r="BX3" s="42">
        <v>1.8333333333333333</v>
      </c>
      <c r="BY3" s="42">
        <v>1.6666666666666667</v>
      </c>
      <c r="BZ3" s="42">
        <v>1.1666666666666667</v>
      </c>
      <c r="CA3" s="42">
        <v>1</v>
      </c>
      <c r="CB3" s="42">
        <v>4.4000000000000004</v>
      </c>
      <c r="CC3" s="42">
        <v>8.3333333333333339</v>
      </c>
      <c r="CD3" s="42">
        <v>2.1666666666666665</v>
      </c>
      <c r="CF3" s="42">
        <f>MAX(AI3:CD3)</f>
        <v>15</v>
      </c>
      <c r="CG3" s="42">
        <f>AVERAGE(AU3:CD3)</f>
        <v>2.2055555555555557</v>
      </c>
    </row>
    <row r="4" spans="1:85" x14ac:dyDescent="0.35">
      <c r="A4" s="102">
        <v>10</v>
      </c>
      <c r="B4" s="83">
        <v>5</v>
      </c>
      <c r="C4" s="83"/>
      <c r="D4" s="105"/>
      <c r="E4" s="83"/>
      <c r="F4" s="83"/>
      <c r="G4" s="105"/>
      <c r="H4" s="83"/>
      <c r="I4" s="83"/>
      <c r="J4" s="105"/>
      <c r="K4" s="83"/>
      <c r="L4" s="83"/>
      <c r="M4" s="105"/>
      <c r="R4">
        <v>2016</v>
      </c>
      <c r="S4">
        <v>2017</v>
      </c>
      <c r="T4">
        <v>2018</v>
      </c>
      <c r="AH4">
        <v>2017</v>
      </c>
      <c r="AI4" s="42">
        <v>0</v>
      </c>
      <c r="AJ4" s="42">
        <v>0</v>
      </c>
      <c r="AK4" s="42">
        <v>0.66666666666666663</v>
      </c>
      <c r="AL4" s="42">
        <v>2.3333333333333335</v>
      </c>
      <c r="AM4" s="42">
        <v>0</v>
      </c>
      <c r="AN4" s="42">
        <v>1.3333333333333333</v>
      </c>
      <c r="AO4" s="42">
        <v>3</v>
      </c>
      <c r="AP4" s="42">
        <v>2.3333333333333335</v>
      </c>
      <c r="AQ4" s="42">
        <v>0.66666666666666663</v>
      </c>
      <c r="AR4" s="42">
        <v>0</v>
      </c>
      <c r="AS4" s="42">
        <v>0</v>
      </c>
      <c r="AT4" s="42">
        <v>0</v>
      </c>
      <c r="AU4" s="42">
        <v>0</v>
      </c>
      <c r="AV4" s="42">
        <v>0</v>
      </c>
      <c r="AW4" s="42">
        <v>0.5</v>
      </c>
      <c r="AX4" s="42">
        <v>0.83333333333333337</v>
      </c>
      <c r="AY4" s="42">
        <v>0.33333333333333331</v>
      </c>
      <c r="AZ4" s="42">
        <v>2.1666666666666665</v>
      </c>
      <c r="BA4" s="42">
        <v>1.1666666666666667</v>
      </c>
      <c r="BB4" s="42">
        <v>1.6666666666666667</v>
      </c>
      <c r="BC4" s="42">
        <v>2</v>
      </c>
      <c r="BD4" s="42">
        <v>4.666666666666667</v>
      </c>
      <c r="BE4" s="42">
        <v>5</v>
      </c>
      <c r="BF4" s="42">
        <v>12.166666666666666</v>
      </c>
      <c r="BG4" s="42">
        <v>0</v>
      </c>
      <c r="BH4" s="42">
        <v>0</v>
      </c>
      <c r="BI4" s="42">
        <v>0</v>
      </c>
      <c r="BJ4" s="42">
        <v>1</v>
      </c>
      <c r="BK4" s="42">
        <v>0.5</v>
      </c>
      <c r="BL4" s="42">
        <v>2.3333333333333335</v>
      </c>
      <c r="BM4" s="42">
        <v>4.666666666666667</v>
      </c>
      <c r="BN4" s="42">
        <v>3.1666666666666665</v>
      </c>
      <c r="BO4" s="42">
        <v>4.5</v>
      </c>
      <c r="BP4" s="42">
        <v>2.3333333333333335</v>
      </c>
      <c r="BQ4" s="42">
        <v>3.3333333333333335</v>
      </c>
      <c r="BR4" s="42">
        <v>7.666666666666667</v>
      </c>
      <c r="BS4" s="42">
        <v>0</v>
      </c>
      <c r="BT4" s="42">
        <v>2</v>
      </c>
      <c r="BU4" s="42">
        <v>6.333333333333333</v>
      </c>
      <c r="BV4" s="42">
        <v>9.6666666666666661</v>
      </c>
      <c r="BW4" s="42">
        <v>4.666666666666667</v>
      </c>
      <c r="BX4" s="42">
        <v>7</v>
      </c>
      <c r="BY4" s="42">
        <v>4.333333333333333</v>
      </c>
      <c r="BZ4" s="42">
        <v>3.1666666666666665</v>
      </c>
      <c r="CA4" s="42">
        <v>4.833333333333333</v>
      </c>
      <c r="CB4" s="42">
        <v>5.666666666666667</v>
      </c>
      <c r="CC4" s="42">
        <v>2.1666666666666665</v>
      </c>
      <c r="CD4" s="42">
        <v>3.1666666666666665</v>
      </c>
      <c r="CG4" s="42">
        <f t="shared" ref="CG4:CG5" si="0">AVERAGE(AU4:CD4)</f>
        <v>3.1388888888888893</v>
      </c>
    </row>
    <row r="5" spans="1:85" x14ac:dyDescent="0.35">
      <c r="A5" s="102">
        <v>11</v>
      </c>
      <c r="B5" s="83">
        <v>56</v>
      </c>
      <c r="C5" s="83">
        <v>0</v>
      </c>
      <c r="D5" s="105">
        <v>30</v>
      </c>
      <c r="E5" s="106">
        <v>72.821428571428569</v>
      </c>
      <c r="F5" s="83"/>
      <c r="G5" s="107">
        <v>73.7</v>
      </c>
      <c r="H5" s="108">
        <v>330.80357142857144</v>
      </c>
      <c r="I5" s="83"/>
      <c r="J5" s="102">
        <v>348.93103448275861</v>
      </c>
      <c r="K5" s="109">
        <v>0.85020224227089025</v>
      </c>
      <c r="L5" s="83"/>
      <c r="M5" s="110">
        <v>1.0165201485003152</v>
      </c>
      <c r="Q5" s="122">
        <v>8</v>
      </c>
      <c r="S5" s="115">
        <v>0</v>
      </c>
      <c r="AH5">
        <v>2018</v>
      </c>
      <c r="AI5" s="42">
        <v>0</v>
      </c>
      <c r="AJ5" s="42">
        <v>0</v>
      </c>
      <c r="AK5" s="42">
        <v>1.3333333333333333</v>
      </c>
      <c r="AL5" s="42">
        <v>1</v>
      </c>
      <c r="AM5" s="42">
        <v>1.3333333333333333</v>
      </c>
      <c r="AN5" s="42">
        <v>0.33333333333333331</v>
      </c>
      <c r="AO5" s="42">
        <v>1.3333333333333333</v>
      </c>
      <c r="AP5" s="42">
        <v>1</v>
      </c>
      <c r="AQ5" s="42">
        <v>1.6666666666666667</v>
      </c>
      <c r="AR5" s="42">
        <v>0.66666666666666663</v>
      </c>
      <c r="AS5" s="42">
        <v>0</v>
      </c>
      <c r="AT5" s="42">
        <v>0.33333333333333331</v>
      </c>
      <c r="AU5" s="42">
        <v>0</v>
      </c>
      <c r="AV5" s="42">
        <v>0.16666666666666666</v>
      </c>
      <c r="AW5" s="42">
        <v>0</v>
      </c>
      <c r="AX5" s="42">
        <v>0</v>
      </c>
      <c r="AY5" s="42">
        <v>0.5</v>
      </c>
      <c r="AZ5" s="42">
        <v>1.1666666666666667</v>
      </c>
      <c r="BA5" s="42">
        <v>5.166666666666667</v>
      </c>
      <c r="BB5" s="42">
        <v>8</v>
      </c>
      <c r="BC5" s="42">
        <v>2.6666666666666665</v>
      </c>
      <c r="BD5" s="42">
        <v>24.166666666666668</v>
      </c>
      <c r="BE5" s="42">
        <v>45.833333333333336</v>
      </c>
      <c r="BF5" s="42">
        <v>14</v>
      </c>
      <c r="BG5" s="42">
        <v>0</v>
      </c>
      <c r="BH5" s="42">
        <v>0.16666666666666666</v>
      </c>
      <c r="BI5" s="42">
        <v>0.16666666666666666</v>
      </c>
      <c r="BJ5" s="42">
        <v>0.16666666666666666</v>
      </c>
      <c r="BK5" s="42">
        <v>0.33333333333333331</v>
      </c>
      <c r="BL5" s="42">
        <v>1.5</v>
      </c>
      <c r="BM5" s="42">
        <v>4.333333333333333</v>
      </c>
      <c r="BN5" s="42">
        <v>5.666666666666667</v>
      </c>
      <c r="BO5" s="42">
        <v>2</v>
      </c>
      <c r="BP5" s="42">
        <v>20.166666666666668</v>
      </c>
      <c r="BQ5" s="42">
        <v>31.333333333333332</v>
      </c>
      <c r="BR5" s="42">
        <v>9.3333333333333339</v>
      </c>
      <c r="BS5" s="42">
        <v>0</v>
      </c>
      <c r="BT5" s="42">
        <v>0.16666666666666666</v>
      </c>
      <c r="BU5" s="42">
        <v>4.166666666666667</v>
      </c>
      <c r="BV5" s="42">
        <v>1.1666666666666667</v>
      </c>
      <c r="BW5" s="42">
        <v>1.8333333333333333</v>
      </c>
      <c r="BX5" s="42">
        <v>10.333333333333334</v>
      </c>
      <c r="BY5" s="42">
        <v>37.5</v>
      </c>
      <c r="BZ5" s="42">
        <v>17</v>
      </c>
      <c r="CA5" s="42">
        <v>7.166666666666667</v>
      </c>
      <c r="CB5" s="42">
        <v>20.666666666666668</v>
      </c>
      <c r="CC5" s="42">
        <v>32</v>
      </c>
      <c r="CD5" s="42">
        <v>10.166666666666666</v>
      </c>
      <c r="CG5" s="42">
        <f t="shared" si="0"/>
        <v>8.8611111111111125</v>
      </c>
    </row>
    <row r="6" spans="1:85" x14ac:dyDescent="0.35">
      <c r="A6" s="102">
        <v>12</v>
      </c>
      <c r="B6" s="83">
        <v>1324</v>
      </c>
      <c r="C6" s="83">
        <v>13</v>
      </c>
      <c r="D6" s="105">
        <v>17</v>
      </c>
      <c r="E6" s="106">
        <v>71.820845921450157</v>
      </c>
      <c r="F6" s="83"/>
      <c r="G6" s="107">
        <v>71.705882352941174</v>
      </c>
      <c r="H6" s="108">
        <v>314.43717522658613</v>
      </c>
      <c r="I6" s="83"/>
      <c r="J6" s="102">
        <v>311.88235294117646</v>
      </c>
      <c r="K6" s="109">
        <v>0.98559943841346076</v>
      </c>
      <c r="L6" s="83"/>
      <c r="M6" s="110">
        <v>0.98412309818301036</v>
      </c>
      <c r="Q6" s="102">
        <v>9</v>
      </c>
      <c r="S6" s="121">
        <v>5</v>
      </c>
    </row>
    <row r="7" spans="1:85" x14ac:dyDescent="0.35">
      <c r="A7" s="102">
        <v>13</v>
      </c>
      <c r="B7" s="83">
        <v>3114</v>
      </c>
      <c r="C7" s="83">
        <v>90</v>
      </c>
      <c r="D7" s="105">
        <v>52</v>
      </c>
      <c r="E7" s="106">
        <v>70.549019607843135</v>
      </c>
      <c r="F7" s="106">
        <v>71.109090909090909</v>
      </c>
      <c r="G7" s="107">
        <v>72.634615384615387</v>
      </c>
      <c r="H7" s="108">
        <v>289.29411764705884</v>
      </c>
      <c r="I7" s="108">
        <v>301.03636363636366</v>
      </c>
      <c r="J7" s="102">
        <v>339.03846153846155</v>
      </c>
      <c r="K7" s="109">
        <v>0.815828059419346</v>
      </c>
      <c r="L7" s="109">
        <v>0.97107724618239166</v>
      </c>
      <c r="M7" s="110">
        <v>1.0352939231937621</v>
      </c>
      <c r="Q7" s="102">
        <v>10</v>
      </c>
      <c r="R7" s="121">
        <v>5</v>
      </c>
      <c r="S7" s="121">
        <v>34</v>
      </c>
      <c r="T7" s="115">
        <v>0</v>
      </c>
    </row>
    <row r="8" spans="1:85" x14ac:dyDescent="0.35">
      <c r="A8" s="102">
        <v>14</v>
      </c>
      <c r="B8" s="83">
        <v>11329</v>
      </c>
      <c r="C8" s="83">
        <v>7</v>
      </c>
      <c r="D8" s="105">
        <v>16</v>
      </c>
      <c r="E8" s="106">
        <v>71.275794862741634</v>
      </c>
      <c r="F8" s="106">
        <v>70.714285714285708</v>
      </c>
      <c r="G8" s="107">
        <v>72.8125</v>
      </c>
      <c r="H8" s="108">
        <v>315.59305499161439</v>
      </c>
      <c r="I8" s="108">
        <v>294.71428571428572</v>
      </c>
      <c r="J8" s="102">
        <v>335.625</v>
      </c>
      <c r="K8" s="109">
        <v>1.0169256616894047</v>
      </c>
      <c r="L8" s="109">
        <v>0.96327728973589954</v>
      </c>
      <c r="M8" s="110">
        <v>1.0096744294139668</v>
      </c>
      <c r="Q8" s="102">
        <v>11</v>
      </c>
      <c r="R8" s="121">
        <v>56</v>
      </c>
      <c r="S8" s="121">
        <v>3986</v>
      </c>
      <c r="T8" s="121">
        <v>0</v>
      </c>
    </row>
    <row r="9" spans="1:85" x14ac:dyDescent="0.35">
      <c r="A9" s="102">
        <v>15</v>
      </c>
      <c r="B9" s="83">
        <v>3116</v>
      </c>
      <c r="C9" s="83">
        <v>3</v>
      </c>
      <c r="D9" s="105">
        <v>2</v>
      </c>
      <c r="E9" s="106">
        <v>70.125616174582802</v>
      </c>
      <c r="F9" s="106"/>
      <c r="G9" s="107"/>
      <c r="H9" s="108">
        <v>286.53281771501923</v>
      </c>
      <c r="I9" s="108"/>
      <c r="J9" s="102"/>
      <c r="K9" s="109">
        <v>0.96070337144874851</v>
      </c>
      <c r="L9" s="109">
        <v>1.0241288005218374</v>
      </c>
      <c r="M9" s="110"/>
      <c r="Q9" s="102">
        <v>12</v>
      </c>
      <c r="R9" s="121">
        <v>1324</v>
      </c>
      <c r="S9" s="121">
        <v>14583</v>
      </c>
      <c r="T9" s="121">
        <v>1</v>
      </c>
      <c r="AU9" s="42">
        <f>AE14</f>
        <v>0</v>
      </c>
    </row>
    <row r="10" spans="1:85" x14ac:dyDescent="0.35">
      <c r="A10" s="102">
        <v>16</v>
      </c>
      <c r="B10" s="83">
        <v>2222</v>
      </c>
      <c r="C10" s="83">
        <v>24</v>
      </c>
      <c r="D10" s="105">
        <v>13</v>
      </c>
      <c r="E10" s="106">
        <v>70.062304230423038</v>
      </c>
      <c r="F10" s="106">
        <v>69.666666666666671</v>
      </c>
      <c r="G10" s="107">
        <v>71.307692307692307</v>
      </c>
      <c r="H10" s="108">
        <v>285.60736273627361</v>
      </c>
      <c r="I10" s="108">
        <v>287.83333333333331</v>
      </c>
      <c r="J10" s="102">
        <v>281.30769230769232</v>
      </c>
      <c r="K10" s="109">
        <v>0.97621858818760199</v>
      </c>
      <c r="L10" s="109">
        <v>0.97766597075578543</v>
      </c>
      <c r="M10" s="110">
        <v>0.906564055600241</v>
      </c>
      <c r="Q10" s="102">
        <v>13</v>
      </c>
      <c r="R10" s="121">
        <v>3114</v>
      </c>
      <c r="S10" s="121">
        <v>30841</v>
      </c>
      <c r="T10" s="121">
        <v>435</v>
      </c>
      <c r="AU10" s="42">
        <f t="shared" ref="AU10:AU11" si="1">AVERAGE(AI4:AT4)</f>
        <v>0.86111111111111105</v>
      </c>
    </row>
    <row r="11" spans="1:85" x14ac:dyDescent="0.35">
      <c r="A11" s="102">
        <v>17</v>
      </c>
      <c r="B11" s="83">
        <v>1134</v>
      </c>
      <c r="C11" s="83">
        <v>13</v>
      </c>
      <c r="D11" s="105">
        <v>2</v>
      </c>
      <c r="E11" s="106">
        <v>70.263181865338723</v>
      </c>
      <c r="F11" s="106">
        <v>71.461538461538467</v>
      </c>
      <c r="G11" s="107"/>
      <c r="H11" s="108">
        <v>289.97314244216204</v>
      </c>
      <c r="I11" s="108">
        <v>306.53846153846155</v>
      </c>
      <c r="J11" s="102"/>
      <c r="K11" s="109">
        <v>0.97060853441755268</v>
      </c>
      <c r="L11" s="109">
        <v>0.98858582369340842</v>
      </c>
      <c r="M11" s="105"/>
      <c r="Q11" s="102">
        <v>14</v>
      </c>
      <c r="R11" s="121">
        <v>11329</v>
      </c>
      <c r="S11" s="121">
        <v>7588</v>
      </c>
      <c r="T11" s="121">
        <v>417</v>
      </c>
      <c r="AU11" s="42">
        <f t="shared" si="1"/>
        <v>0.75</v>
      </c>
    </row>
    <row r="12" spans="1:85" x14ac:dyDescent="0.35">
      <c r="A12" s="102">
        <v>18</v>
      </c>
      <c r="B12" s="83">
        <v>296</v>
      </c>
      <c r="C12" s="83">
        <v>10</v>
      </c>
      <c r="D12" s="105">
        <v>0</v>
      </c>
      <c r="E12" s="106">
        <v>70.561081081081085</v>
      </c>
      <c r="F12" s="106">
        <v>68.5</v>
      </c>
      <c r="G12" s="107"/>
      <c r="H12" s="108">
        <v>303.80506756756756</v>
      </c>
      <c r="I12" s="108">
        <v>287.3</v>
      </c>
      <c r="J12" s="102"/>
      <c r="K12" s="109">
        <v>1.0087820359105271</v>
      </c>
      <c r="L12" s="109">
        <v>1.0283818581934538</v>
      </c>
      <c r="M12" s="105"/>
      <c r="Q12" s="102">
        <v>15</v>
      </c>
      <c r="R12" s="121">
        <v>3116</v>
      </c>
      <c r="S12" s="121">
        <v>4722</v>
      </c>
      <c r="T12" s="121">
        <v>1807</v>
      </c>
    </row>
    <row r="13" spans="1:85" x14ac:dyDescent="0.35">
      <c r="A13" s="102">
        <v>19</v>
      </c>
      <c r="B13" s="83">
        <v>145</v>
      </c>
      <c r="C13" s="83">
        <v>8</v>
      </c>
      <c r="D13" s="105"/>
      <c r="E13" s="106">
        <v>70.448275862068968</v>
      </c>
      <c r="F13" s="106">
        <v>69.375</v>
      </c>
      <c r="G13" s="107"/>
      <c r="H13" s="108">
        <v>314.79131034482759</v>
      </c>
      <c r="I13" s="108">
        <v>317</v>
      </c>
      <c r="J13" s="102"/>
      <c r="K13" s="109">
        <v>1.0597109904889148</v>
      </c>
      <c r="L13" s="109">
        <v>1.1121801350172258</v>
      </c>
      <c r="M13" s="105"/>
      <c r="Q13" s="102">
        <v>16</v>
      </c>
      <c r="R13" s="121">
        <v>2222</v>
      </c>
      <c r="S13" s="121">
        <v>2151</v>
      </c>
      <c r="T13" s="121">
        <v>4187</v>
      </c>
    </row>
    <row r="14" spans="1:85" x14ac:dyDescent="0.35">
      <c r="A14" s="102">
        <v>20</v>
      </c>
      <c r="B14" s="83">
        <v>556</v>
      </c>
      <c r="C14" s="83">
        <v>103</v>
      </c>
      <c r="D14" s="105"/>
      <c r="E14" s="106">
        <v>69.930688591983568</v>
      </c>
      <c r="F14" s="106">
        <v>71.097087378640779</v>
      </c>
      <c r="G14" s="107"/>
      <c r="H14" s="108">
        <v>276.48914696813978</v>
      </c>
      <c r="I14" s="108">
        <v>333.11650485436894</v>
      </c>
      <c r="J14" s="102"/>
      <c r="K14" s="109">
        <v>0.95103878954606813</v>
      </c>
      <c r="L14" s="109">
        <v>1.0780113283208652</v>
      </c>
      <c r="M14" s="105"/>
      <c r="Q14" s="102">
        <v>17</v>
      </c>
      <c r="R14" s="121">
        <v>1134</v>
      </c>
      <c r="S14" s="121">
        <v>2090</v>
      </c>
      <c r="T14" s="121">
        <v>16893</v>
      </c>
    </row>
    <row r="15" spans="1:85" x14ac:dyDescent="0.35">
      <c r="A15" s="102">
        <v>21</v>
      </c>
      <c r="B15" s="83">
        <v>187</v>
      </c>
      <c r="C15" s="83">
        <v>125</v>
      </c>
      <c r="D15" s="105"/>
      <c r="E15" s="106">
        <v>69.540463458110509</v>
      </c>
      <c r="F15" s="106">
        <v>69.288135593220332</v>
      </c>
      <c r="G15" s="105"/>
      <c r="H15" s="108">
        <v>300.77782531194293</v>
      </c>
      <c r="I15" s="108">
        <v>328.31932773109241</v>
      </c>
      <c r="J15" s="105"/>
      <c r="K15" s="109">
        <v>1.0455249339092101</v>
      </c>
      <c r="L15" s="109">
        <v>1.1669121332351196</v>
      </c>
      <c r="M15" s="105"/>
      <c r="Q15" s="102">
        <v>18</v>
      </c>
      <c r="R15" s="121">
        <v>296</v>
      </c>
      <c r="S15" s="121">
        <v>470</v>
      </c>
      <c r="T15" s="121">
        <v>8559</v>
      </c>
    </row>
    <row r="16" spans="1:85" x14ac:dyDescent="0.35">
      <c r="A16" s="102">
        <v>22</v>
      </c>
      <c r="B16" s="83">
        <v>193</v>
      </c>
      <c r="C16" s="83">
        <v>87</v>
      </c>
      <c r="D16" s="105"/>
      <c r="E16" s="106">
        <v>69.067961165048544</v>
      </c>
      <c r="F16" s="106">
        <v>70.8735632183908</v>
      </c>
      <c r="G16" s="105"/>
      <c r="H16" s="108">
        <v>295.92233009708735</v>
      </c>
      <c r="I16" s="108">
        <v>359.70114942528738</v>
      </c>
      <c r="J16" s="105"/>
      <c r="K16" s="109">
        <v>1.0488517304218474</v>
      </c>
      <c r="L16" s="109">
        <v>1.1749109160485109</v>
      </c>
      <c r="M16" s="105"/>
      <c r="Q16" s="102">
        <v>19</v>
      </c>
      <c r="R16" s="121">
        <v>145</v>
      </c>
      <c r="S16" s="121">
        <v>222</v>
      </c>
      <c r="T16" s="121">
        <v>423</v>
      </c>
    </row>
    <row r="17" spans="1:20" x14ac:dyDescent="0.35">
      <c r="A17" s="114" t="s">
        <v>947</v>
      </c>
      <c r="B17" s="111">
        <f>SUM(B5:B16)</f>
        <v>23672</v>
      </c>
      <c r="C17" s="111">
        <f t="shared" ref="C17:D17" si="2">SUM(C5:C16)</f>
        <v>483</v>
      </c>
      <c r="D17" s="112">
        <f t="shared" si="2"/>
        <v>132</v>
      </c>
      <c r="E17" s="97"/>
      <c r="F17" s="97"/>
      <c r="G17" s="94"/>
      <c r="H17" s="98"/>
      <c r="I17" s="98"/>
      <c r="J17" s="94"/>
      <c r="K17" s="99"/>
      <c r="L17" s="99"/>
      <c r="M17" s="94"/>
      <c r="Q17" s="102">
        <v>20</v>
      </c>
      <c r="R17" s="121">
        <v>556</v>
      </c>
      <c r="S17" s="121">
        <v>183</v>
      </c>
      <c r="T17" s="121">
        <v>7471</v>
      </c>
    </row>
    <row r="18" spans="1:20" x14ac:dyDescent="0.35">
      <c r="A18" s="94">
        <v>2017</v>
      </c>
      <c r="B18" s="100"/>
      <c r="C18" s="100"/>
      <c r="D18" s="101"/>
      <c r="E18" s="97"/>
      <c r="F18" s="97"/>
      <c r="G18" s="94"/>
      <c r="H18" s="98"/>
      <c r="I18" s="98"/>
      <c r="J18" s="94"/>
      <c r="K18" s="99"/>
      <c r="L18" s="99"/>
      <c r="M18" s="94"/>
      <c r="Q18" s="102">
        <v>21</v>
      </c>
      <c r="R18" s="121">
        <v>187</v>
      </c>
      <c r="S18" s="121">
        <v>88</v>
      </c>
      <c r="T18" s="121">
        <v>2067</v>
      </c>
    </row>
    <row r="19" spans="1:20" x14ac:dyDescent="0.35">
      <c r="A19" s="105">
        <v>8</v>
      </c>
      <c r="B19" s="115">
        <v>0</v>
      </c>
      <c r="C19" s="100"/>
      <c r="D19" s="101"/>
      <c r="E19" s="97"/>
      <c r="F19" s="97"/>
      <c r="G19" s="94"/>
      <c r="H19" s="98"/>
      <c r="I19" s="98"/>
      <c r="J19" s="94"/>
      <c r="K19" s="99"/>
      <c r="L19" s="99"/>
      <c r="M19" s="94"/>
      <c r="Q19" s="102">
        <v>22</v>
      </c>
      <c r="R19" s="121">
        <v>193</v>
      </c>
      <c r="T19" s="121">
        <v>158</v>
      </c>
    </row>
    <row r="20" spans="1:20" x14ac:dyDescent="0.35">
      <c r="A20" s="102">
        <v>9</v>
      </c>
      <c r="B20" s="83">
        <v>5</v>
      </c>
      <c r="C20" s="83">
        <v>0</v>
      </c>
      <c r="D20" s="105">
        <v>0</v>
      </c>
      <c r="E20" s="106"/>
      <c r="F20" s="106"/>
      <c r="G20" s="105"/>
      <c r="H20" s="108"/>
      <c r="I20" s="108"/>
      <c r="J20" s="105"/>
      <c r="K20" s="83"/>
      <c r="L20" s="83"/>
      <c r="M20" s="105"/>
    </row>
    <row r="21" spans="1:20" x14ac:dyDescent="0.35">
      <c r="A21" s="102">
        <v>10</v>
      </c>
      <c r="B21" s="83">
        <v>34</v>
      </c>
      <c r="C21" s="83">
        <v>0</v>
      </c>
      <c r="D21" s="105">
        <v>36</v>
      </c>
      <c r="E21" s="106">
        <v>72.970588235294116</v>
      </c>
      <c r="F21" s="106"/>
      <c r="G21" s="107">
        <v>70.083333333333329</v>
      </c>
      <c r="H21" s="108">
        <v>326.8235294117647</v>
      </c>
      <c r="I21" s="108"/>
      <c r="J21" s="102">
        <v>290.66666666666669</v>
      </c>
      <c r="K21" s="109">
        <v>0.98559705126646335</v>
      </c>
      <c r="L21" s="83"/>
      <c r="M21" s="110">
        <v>0.9863528274482215</v>
      </c>
    </row>
    <row r="22" spans="1:20" x14ac:dyDescent="0.35">
      <c r="A22" s="102">
        <v>11</v>
      </c>
      <c r="B22" s="83">
        <v>3986</v>
      </c>
      <c r="C22" s="83">
        <v>12</v>
      </c>
      <c r="D22" s="105">
        <v>134</v>
      </c>
      <c r="E22" s="106">
        <v>70.296642548805494</v>
      </c>
      <c r="F22" s="106">
        <v>69.666666666666671</v>
      </c>
      <c r="G22" s="107">
        <v>70.400000000000006</v>
      </c>
      <c r="H22" s="108">
        <v>294.70866140768032</v>
      </c>
      <c r="I22" s="108">
        <v>313</v>
      </c>
      <c r="J22" s="102">
        <v>304.44</v>
      </c>
      <c r="K22" s="109">
        <v>0.99242598117702285</v>
      </c>
      <c r="L22" s="109">
        <v>1.0784484428874663</v>
      </c>
      <c r="M22" s="110">
        <v>1.0224832461299236</v>
      </c>
      <c r="Q22" s="122">
        <v>8</v>
      </c>
      <c r="S22" s="100"/>
    </row>
    <row r="23" spans="1:20" x14ac:dyDescent="0.35">
      <c r="A23" s="102">
        <v>12</v>
      </c>
      <c r="B23" s="83">
        <v>14583</v>
      </c>
      <c r="C23" s="108">
        <v>44</v>
      </c>
      <c r="D23" s="105">
        <v>63</v>
      </c>
      <c r="E23" s="106">
        <v>69.459976395609573</v>
      </c>
      <c r="F23" s="106">
        <v>68.38636363636364</v>
      </c>
      <c r="G23" s="107">
        <v>69.509803921568633</v>
      </c>
      <c r="H23" s="108">
        <v>271.03614304260589</v>
      </c>
      <c r="I23" s="108">
        <v>275.11363636363637</v>
      </c>
      <c r="J23" s="102">
        <v>279.03921568627453</v>
      </c>
      <c r="K23" s="109">
        <v>0.94312874462799523</v>
      </c>
      <c r="L23" s="109">
        <v>0.99844150276528831</v>
      </c>
      <c r="M23" s="110">
        <v>0.96972271995340631</v>
      </c>
      <c r="Q23" s="102">
        <v>9</v>
      </c>
      <c r="S23" s="121">
        <v>0</v>
      </c>
    </row>
    <row r="24" spans="1:20" x14ac:dyDescent="0.35">
      <c r="A24" s="102">
        <v>13</v>
      </c>
      <c r="B24" s="83">
        <v>30841</v>
      </c>
      <c r="C24" s="83">
        <v>68</v>
      </c>
      <c r="D24" s="105">
        <v>36</v>
      </c>
      <c r="E24" s="106">
        <v>69.304440063091491</v>
      </c>
      <c r="F24" s="106">
        <v>68.411764705882348</v>
      </c>
      <c r="G24" s="107">
        <v>69.666666666666671</v>
      </c>
      <c r="H24" s="108">
        <v>295.91762530669467</v>
      </c>
      <c r="I24" s="108">
        <v>278.10294117647061</v>
      </c>
      <c r="J24" s="102">
        <v>287.83333333333331</v>
      </c>
      <c r="K24" s="109">
        <v>1.0394852939837271</v>
      </c>
      <c r="L24" s="109">
        <v>1.018097162590804</v>
      </c>
      <c r="M24" s="110">
        <v>0.99582076365575112</v>
      </c>
      <c r="Q24" s="102">
        <v>10</v>
      </c>
      <c r="R24" s="121"/>
      <c r="S24" s="121">
        <v>0</v>
      </c>
      <c r="T24" s="115">
        <v>0</v>
      </c>
    </row>
    <row r="25" spans="1:20" x14ac:dyDescent="0.35">
      <c r="A25" s="102">
        <v>14</v>
      </c>
      <c r="B25" s="83">
        <v>7588</v>
      </c>
      <c r="C25" s="83">
        <v>33</v>
      </c>
      <c r="D25" s="105">
        <v>20</v>
      </c>
      <c r="E25" s="106">
        <v>69.282690572989452</v>
      </c>
      <c r="F25" s="106">
        <v>67.757575757575751</v>
      </c>
      <c r="G25" s="107">
        <v>70.400000000000006</v>
      </c>
      <c r="H25" s="108">
        <v>287.3409852623555</v>
      </c>
      <c r="I25" s="108">
        <v>267.39393939393938</v>
      </c>
      <c r="J25" s="102">
        <v>288.3</v>
      </c>
      <c r="K25" s="109">
        <v>1.0070927037426454</v>
      </c>
      <c r="L25" s="109">
        <v>1.0207789250218771</v>
      </c>
      <c r="M25" s="110">
        <v>0.96592790136500262</v>
      </c>
      <c r="Q25" s="102">
        <v>11</v>
      </c>
      <c r="R25" s="121">
        <v>0</v>
      </c>
      <c r="S25" s="121">
        <v>12</v>
      </c>
      <c r="T25" s="121">
        <v>0</v>
      </c>
    </row>
    <row r="26" spans="1:20" x14ac:dyDescent="0.35">
      <c r="A26" s="102">
        <v>15</v>
      </c>
      <c r="B26" s="83">
        <v>4722</v>
      </c>
      <c r="C26" s="83">
        <v>71</v>
      </c>
      <c r="D26" s="105">
        <v>8</v>
      </c>
      <c r="E26" s="106">
        <v>69.264637865311315</v>
      </c>
      <c r="F26" s="106">
        <v>67.718309859154928</v>
      </c>
      <c r="G26" s="107">
        <v>66.75</v>
      </c>
      <c r="H26" s="108">
        <v>288.39327827191869</v>
      </c>
      <c r="I26" s="108">
        <v>282.05633802816902</v>
      </c>
      <c r="J26" s="102">
        <v>293.875</v>
      </c>
      <c r="K26" s="109">
        <v>1.0131459806168801</v>
      </c>
      <c r="L26" s="109">
        <v>1.057563925692018</v>
      </c>
      <c r="M26" s="110">
        <v>1.1604370268477049</v>
      </c>
      <c r="Q26" s="102">
        <v>12</v>
      </c>
      <c r="R26" s="121">
        <v>13</v>
      </c>
      <c r="S26" s="108">
        <v>44</v>
      </c>
      <c r="T26" s="108">
        <v>2</v>
      </c>
    </row>
    <row r="27" spans="1:20" x14ac:dyDescent="0.35">
      <c r="A27" s="102">
        <v>16</v>
      </c>
      <c r="B27" s="83">
        <v>2151</v>
      </c>
      <c r="C27" s="83">
        <v>61</v>
      </c>
      <c r="D27" s="105">
        <v>4</v>
      </c>
      <c r="E27" s="106">
        <v>68.330746734735058</v>
      </c>
      <c r="F27" s="106">
        <v>68.049180327868854</v>
      </c>
      <c r="G27" s="105"/>
      <c r="H27" s="108">
        <v>250.84617738129697</v>
      </c>
      <c r="I27" s="108">
        <v>267.5409836065574</v>
      </c>
      <c r="J27" s="105"/>
      <c r="K27" s="109">
        <v>0.91682834794582269</v>
      </c>
      <c r="L27" s="109">
        <v>0.98947546314173185</v>
      </c>
      <c r="M27" s="110">
        <v>0.9677130163451293</v>
      </c>
      <c r="Q27" s="102">
        <v>13</v>
      </c>
      <c r="R27" s="121">
        <v>90</v>
      </c>
      <c r="S27" s="121">
        <v>68</v>
      </c>
      <c r="T27" s="108">
        <v>26</v>
      </c>
    </row>
    <row r="28" spans="1:20" x14ac:dyDescent="0.35">
      <c r="A28" s="102">
        <v>17</v>
      </c>
      <c r="B28" s="83">
        <v>2090</v>
      </c>
      <c r="C28" s="108">
        <v>46</v>
      </c>
      <c r="D28" s="105"/>
      <c r="E28" s="106">
        <v>67.616925300263645</v>
      </c>
      <c r="F28" s="106">
        <v>68.36363636363636</v>
      </c>
      <c r="G28" s="105"/>
      <c r="H28" s="108">
        <v>286.24783634410699</v>
      </c>
      <c r="I28" s="108">
        <v>314.63636363636363</v>
      </c>
      <c r="J28" s="105"/>
      <c r="K28" s="109">
        <v>1.0817369154038192</v>
      </c>
      <c r="L28" s="109">
        <v>1.1562927754624392</v>
      </c>
      <c r="M28" s="113"/>
      <c r="Q28" s="102">
        <v>14</v>
      </c>
      <c r="R28" s="121">
        <v>7</v>
      </c>
      <c r="S28" s="121">
        <v>33</v>
      </c>
      <c r="T28" s="108">
        <v>9</v>
      </c>
    </row>
    <row r="29" spans="1:20" x14ac:dyDescent="0.35">
      <c r="A29" s="102">
        <v>18</v>
      </c>
      <c r="B29" s="83">
        <v>470</v>
      </c>
      <c r="C29" s="83">
        <v>71</v>
      </c>
      <c r="D29" s="105"/>
      <c r="E29" s="106">
        <v>68.944073425114723</v>
      </c>
      <c r="F29" s="106">
        <v>68.098591549295776</v>
      </c>
      <c r="G29" s="105"/>
      <c r="H29" s="108">
        <v>290.56812015018778</v>
      </c>
      <c r="I29" s="108">
        <v>306.56338028169012</v>
      </c>
      <c r="J29" s="105"/>
      <c r="K29" s="109">
        <v>1.0346364379089168</v>
      </c>
      <c r="L29" s="109">
        <v>1.1334635363536005</v>
      </c>
      <c r="M29" s="113"/>
      <c r="Q29" s="102">
        <v>15</v>
      </c>
      <c r="R29" s="121">
        <v>3</v>
      </c>
      <c r="S29" s="121">
        <v>71</v>
      </c>
      <c r="T29" s="108">
        <v>16</v>
      </c>
    </row>
    <row r="30" spans="1:20" x14ac:dyDescent="0.35">
      <c r="A30" s="102">
        <v>19</v>
      </c>
      <c r="B30" s="83">
        <v>222</v>
      </c>
      <c r="C30" s="83">
        <v>76</v>
      </c>
      <c r="D30" s="105"/>
      <c r="E30" s="106">
        <v>69.066486486486482</v>
      </c>
      <c r="F30" s="106">
        <v>67.94736842105263</v>
      </c>
      <c r="G30" s="105"/>
      <c r="H30" s="108">
        <v>312.28036036036031</v>
      </c>
      <c r="I30" s="108">
        <v>326.11842105263156</v>
      </c>
      <c r="J30" s="105"/>
      <c r="K30" s="109">
        <v>1.1070656388503335</v>
      </c>
      <c r="L30" s="109">
        <v>1.2129350681044888</v>
      </c>
      <c r="M30" s="113"/>
      <c r="Q30" s="102">
        <v>16</v>
      </c>
      <c r="R30" s="121">
        <v>24</v>
      </c>
      <c r="S30" s="121">
        <v>61</v>
      </c>
      <c r="T30" s="108">
        <v>78</v>
      </c>
    </row>
    <row r="31" spans="1:20" x14ac:dyDescent="0.35">
      <c r="A31" s="102">
        <v>20</v>
      </c>
      <c r="B31" s="83">
        <v>183</v>
      </c>
      <c r="C31" s="108">
        <v>63</v>
      </c>
      <c r="D31" s="105"/>
      <c r="E31" s="106">
        <v>68.197214186220918</v>
      </c>
      <c r="F31" s="106">
        <v>70.365079365079367</v>
      </c>
      <c r="G31" s="105"/>
      <c r="H31" s="108">
        <v>275.40858459230691</v>
      </c>
      <c r="I31" s="83">
        <v>399</v>
      </c>
      <c r="J31" s="105"/>
      <c r="K31" s="109">
        <v>1.0142815610460743</v>
      </c>
      <c r="L31" s="109">
        <v>1.3377644618416351</v>
      </c>
      <c r="M31" s="113"/>
      <c r="Q31" s="102">
        <v>17</v>
      </c>
      <c r="R31" s="121">
        <v>13</v>
      </c>
      <c r="S31" s="108">
        <v>46</v>
      </c>
      <c r="T31" s="108">
        <v>282</v>
      </c>
    </row>
    <row r="32" spans="1:20" x14ac:dyDescent="0.35">
      <c r="A32" s="102">
        <v>21</v>
      </c>
      <c r="B32" s="83">
        <v>88</v>
      </c>
      <c r="C32" s="108">
        <v>138</v>
      </c>
      <c r="D32" s="105"/>
      <c r="E32" s="106">
        <v>68.204545454545467</v>
      </c>
      <c r="F32" s="106">
        <v>72.637583892617457</v>
      </c>
      <c r="G32" s="105"/>
      <c r="H32" s="108">
        <v>246.68181818181819</v>
      </c>
      <c r="I32" s="108">
        <v>434.56375838926175</v>
      </c>
      <c r="J32" s="105"/>
      <c r="K32" s="109">
        <v>0.90745668917885747</v>
      </c>
      <c r="L32" s="109">
        <v>1.2983647756553132</v>
      </c>
      <c r="M32" s="113"/>
      <c r="Q32" s="102">
        <v>18</v>
      </c>
      <c r="R32" s="121">
        <v>10</v>
      </c>
      <c r="S32" s="121">
        <v>71</v>
      </c>
      <c r="T32" s="108">
        <v>184</v>
      </c>
    </row>
    <row r="33" spans="1:20" x14ac:dyDescent="0.35">
      <c r="A33" s="103" t="s">
        <v>947</v>
      </c>
      <c r="B33" s="111">
        <f>SUM(B20:B32)</f>
        <v>66963</v>
      </c>
      <c r="C33" s="111">
        <f>SUM(C20:C32)</f>
        <v>683</v>
      </c>
      <c r="D33" s="112">
        <f>SUM(D20:D32)</f>
        <v>301</v>
      </c>
      <c r="E33" s="83"/>
      <c r="F33" s="83"/>
      <c r="G33" s="105"/>
      <c r="H33" s="83"/>
      <c r="I33" s="83"/>
      <c r="J33" s="105"/>
      <c r="K33" s="83"/>
      <c r="L33" s="83"/>
      <c r="M33" s="105"/>
      <c r="Q33" s="102">
        <v>19</v>
      </c>
      <c r="R33" s="121">
        <v>8</v>
      </c>
      <c r="S33" s="121">
        <v>76</v>
      </c>
      <c r="T33" s="108">
        <v>74</v>
      </c>
    </row>
    <row r="34" spans="1:20" x14ac:dyDescent="0.35">
      <c r="A34" s="96">
        <v>2018</v>
      </c>
      <c r="B34" s="100"/>
      <c r="C34" s="100"/>
      <c r="D34" s="101"/>
      <c r="E34" s="95"/>
      <c r="F34" s="95"/>
      <c r="G34" s="94"/>
      <c r="H34" s="95"/>
      <c r="I34" s="95"/>
      <c r="J34" s="94"/>
      <c r="K34" s="95"/>
      <c r="L34" s="95"/>
      <c r="M34" s="94"/>
      <c r="Q34" s="102">
        <v>20</v>
      </c>
      <c r="R34" s="121">
        <v>103</v>
      </c>
      <c r="S34" s="108">
        <v>63</v>
      </c>
      <c r="T34" s="108">
        <v>390</v>
      </c>
    </row>
    <row r="35" spans="1:20" x14ac:dyDescent="0.35">
      <c r="A35" s="102">
        <v>10</v>
      </c>
      <c r="B35" s="115">
        <v>0</v>
      </c>
      <c r="C35" s="115">
        <v>0</v>
      </c>
      <c r="D35" s="112"/>
      <c r="E35" s="83"/>
      <c r="F35" s="83"/>
      <c r="G35" s="105"/>
      <c r="H35" s="83"/>
      <c r="I35" s="83"/>
      <c r="J35" s="105"/>
      <c r="K35" s="83"/>
      <c r="L35" s="83"/>
      <c r="M35" s="105"/>
      <c r="Q35" s="102">
        <v>21</v>
      </c>
      <c r="R35" s="121">
        <v>125</v>
      </c>
      <c r="S35" s="108">
        <v>138</v>
      </c>
      <c r="T35" s="108">
        <v>623</v>
      </c>
    </row>
    <row r="36" spans="1:20" x14ac:dyDescent="0.35">
      <c r="A36" s="102">
        <v>11</v>
      </c>
      <c r="B36" s="83">
        <v>0</v>
      </c>
      <c r="C36" s="83">
        <v>0</v>
      </c>
      <c r="D36" s="105"/>
      <c r="E36" s="83"/>
      <c r="F36" s="83"/>
      <c r="G36" s="105"/>
      <c r="H36" s="83"/>
      <c r="I36" s="83"/>
      <c r="J36" s="105"/>
      <c r="K36" s="83"/>
      <c r="L36" s="83"/>
      <c r="M36" s="113"/>
      <c r="Q36" s="102">
        <v>22</v>
      </c>
      <c r="R36" s="121">
        <v>87</v>
      </c>
      <c r="T36" s="108">
        <v>201</v>
      </c>
    </row>
    <row r="37" spans="1:20" x14ac:dyDescent="0.35">
      <c r="A37" s="102">
        <v>12</v>
      </c>
      <c r="B37" s="83">
        <v>1</v>
      </c>
      <c r="C37" s="108">
        <v>2</v>
      </c>
      <c r="D37" s="102">
        <v>17</v>
      </c>
      <c r="E37" s="83"/>
      <c r="F37" s="83"/>
      <c r="G37" s="107">
        <v>70.82352941176471</v>
      </c>
      <c r="H37" s="83"/>
      <c r="I37" s="83"/>
      <c r="J37" s="102">
        <v>346.70588235294116</v>
      </c>
      <c r="K37" s="83"/>
      <c r="L37" s="109">
        <v>1.1087466548204905</v>
      </c>
      <c r="M37" s="110">
        <v>1.1394403266582962</v>
      </c>
    </row>
    <row r="38" spans="1:20" x14ac:dyDescent="0.35">
      <c r="A38" s="102">
        <v>13</v>
      </c>
      <c r="B38" s="83">
        <v>435</v>
      </c>
      <c r="C38" s="108">
        <v>26</v>
      </c>
      <c r="D38" s="102">
        <v>307</v>
      </c>
      <c r="E38" s="106">
        <v>72.800308478239515</v>
      </c>
      <c r="F38" s="106">
        <v>70.28</v>
      </c>
      <c r="G38" s="107">
        <v>71</v>
      </c>
      <c r="H38" s="108">
        <v>329.10138716966304</v>
      </c>
      <c r="I38" s="108">
        <v>311.2</v>
      </c>
      <c r="J38" s="102">
        <v>312.69230769230768</v>
      </c>
      <c r="K38" s="109">
        <v>0.97552442010218621</v>
      </c>
      <c r="L38" s="109">
        <v>1.0444958797810828</v>
      </c>
      <c r="M38" s="110">
        <v>1.0179061094366519</v>
      </c>
    </row>
    <row r="39" spans="1:20" x14ac:dyDescent="0.35">
      <c r="A39" s="102">
        <v>14</v>
      </c>
      <c r="B39" s="83">
        <v>417</v>
      </c>
      <c r="C39" s="108">
        <v>9</v>
      </c>
      <c r="D39" s="102">
        <v>206</v>
      </c>
      <c r="E39" s="106">
        <v>71.026565682232786</v>
      </c>
      <c r="F39" s="106">
        <v>71.555555555555557</v>
      </c>
      <c r="G39" s="107">
        <v>70.716981132075475</v>
      </c>
      <c r="H39" s="108">
        <v>295.52759404712691</v>
      </c>
      <c r="I39" s="108">
        <v>286.44444444444446</v>
      </c>
      <c r="J39" s="102">
        <v>305.24528301886795</v>
      </c>
      <c r="K39" s="109">
        <v>0.96150444496822152</v>
      </c>
      <c r="L39" s="109">
        <v>0.91041454505794028</v>
      </c>
      <c r="M39" s="110">
        <v>1.0074991052310371</v>
      </c>
      <c r="Q39" s="122">
        <v>8</v>
      </c>
    </row>
    <row r="40" spans="1:20" x14ac:dyDescent="0.35">
      <c r="A40" s="102">
        <v>15</v>
      </c>
      <c r="B40" s="83">
        <v>1807</v>
      </c>
      <c r="C40" s="108">
        <v>16</v>
      </c>
      <c r="D40" s="102">
        <v>98</v>
      </c>
      <c r="E40" s="106">
        <v>69.790750507099389</v>
      </c>
      <c r="F40" s="106">
        <v>70.0625</v>
      </c>
      <c r="G40" s="107">
        <v>71.115384615384613</v>
      </c>
      <c r="H40" s="108">
        <v>287.17087221095341</v>
      </c>
      <c r="I40" s="108">
        <v>304.5</v>
      </c>
      <c r="J40" s="102">
        <v>294.17307692307691</v>
      </c>
      <c r="K40" s="109">
        <v>0.98912712837683714</v>
      </c>
      <c r="L40" s="109">
        <v>1.0301215667816326</v>
      </c>
      <c r="M40" s="110">
        <v>0.95570162043249185</v>
      </c>
      <c r="Q40" s="102">
        <v>9</v>
      </c>
      <c r="S40" s="122">
        <v>0</v>
      </c>
    </row>
    <row r="41" spans="1:20" x14ac:dyDescent="0.35">
      <c r="A41" s="102">
        <v>16</v>
      </c>
      <c r="B41" s="83">
        <v>4187</v>
      </c>
      <c r="C41" s="108">
        <v>78</v>
      </c>
      <c r="D41" s="102">
        <v>176</v>
      </c>
      <c r="E41" s="106">
        <v>69.565986984815609</v>
      </c>
      <c r="F41" s="106">
        <v>69.389610389610397</v>
      </c>
      <c r="G41" s="107">
        <v>68.745098039215691</v>
      </c>
      <c r="H41" s="108">
        <v>276.88416485900217</v>
      </c>
      <c r="I41" s="108">
        <v>285.54545454545456</v>
      </c>
      <c r="J41" s="102">
        <v>271.31372549019608</v>
      </c>
      <c r="K41" s="109">
        <v>0.96098029726862721</v>
      </c>
      <c r="L41" s="109">
        <v>0.99465351402605007</v>
      </c>
      <c r="M41" s="110">
        <v>0.97095957393785437</v>
      </c>
      <c r="Q41" s="102">
        <v>10</v>
      </c>
      <c r="R41" s="122"/>
      <c r="S41" s="122">
        <v>36</v>
      </c>
    </row>
    <row r="42" spans="1:20" x14ac:dyDescent="0.35">
      <c r="A42" s="102">
        <v>17</v>
      </c>
      <c r="B42" s="83">
        <v>16893</v>
      </c>
      <c r="C42" s="108">
        <v>282</v>
      </c>
      <c r="D42" s="102">
        <v>123</v>
      </c>
      <c r="E42" s="106">
        <v>69.397003212084385</v>
      </c>
      <c r="F42" s="106">
        <v>69.297468354430379</v>
      </c>
      <c r="G42" s="107">
        <v>69.980392156862749</v>
      </c>
      <c r="H42" s="108">
        <v>258.01749804670544</v>
      </c>
      <c r="I42" s="108">
        <v>264.01265822784808</v>
      </c>
      <c r="J42" s="102">
        <v>266.94117647058823</v>
      </c>
      <c r="K42" s="109">
        <v>0.89682331114347613</v>
      </c>
      <c r="L42" s="109">
        <v>0.91652711425043365</v>
      </c>
      <c r="M42" s="110">
        <v>0.90713962231381917</v>
      </c>
      <c r="Q42" s="102">
        <v>11</v>
      </c>
      <c r="R42" s="122">
        <v>30</v>
      </c>
      <c r="S42" s="122">
        <v>134</v>
      </c>
    </row>
    <row r="43" spans="1:20" x14ac:dyDescent="0.35">
      <c r="A43" s="102">
        <v>18</v>
      </c>
      <c r="B43" s="83">
        <v>8559</v>
      </c>
      <c r="C43" s="108">
        <v>184</v>
      </c>
      <c r="D43" s="102">
        <v>60</v>
      </c>
      <c r="E43" s="106">
        <v>70.062111798058751</v>
      </c>
      <c r="F43" s="106">
        <v>68.639534883720927</v>
      </c>
      <c r="G43" s="107">
        <v>69.275862068965523</v>
      </c>
      <c r="H43" s="108">
        <v>296.90232514335139</v>
      </c>
      <c r="I43" s="108">
        <v>278.65697674418607</v>
      </c>
      <c r="J43" s="102">
        <v>278.5344827586207</v>
      </c>
      <c r="K43" s="109">
        <v>1.0051779443434206</v>
      </c>
      <c r="L43" s="109">
        <v>1.0032696168551445</v>
      </c>
      <c r="M43" s="110">
        <v>0.98170014169358155</v>
      </c>
      <c r="Q43" s="102">
        <v>12</v>
      </c>
      <c r="R43" s="122">
        <v>17</v>
      </c>
      <c r="S43" s="122">
        <v>63</v>
      </c>
      <c r="T43" s="102">
        <v>17</v>
      </c>
    </row>
    <row r="44" spans="1:20" x14ac:dyDescent="0.35">
      <c r="A44" s="102">
        <v>19</v>
      </c>
      <c r="B44" s="83">
        <v>423</v>
      </c>
      <c r="C44" s="108">
        <v>74</v>
      </c>
      <c r="E44" s="106">
        <v>70.74316784869977</v>
      </c>
      <c r="F44" s="106">
        <v>69.041095890410958</v>
      </c>
      <c r="G44" s="105"/>
      <c r="H44" s="108">
        <v>284.51276595744679</v>
      </c>
      <c r="I44" s="108">
        <v>279.06849315068496</v>
      </c>
      <c r="J44" s="105"/>
      <c r="K44" s="109">
        <v>0.93706946743378505</v>
      </c>
      <c r="L44" s="109">
        <v>0.98625443288095915</v>
      </c>
      <c r="M44" s="105"/>
      <c r="Q44" s="102">
        <v>13</v>
      </c>
      <c r="R44" s="122">
        <v>52</v>
      </c>
      <c r="S44" s="122">
        <v>36</v>
      </c>
      <c r="T44" s="102">
        <v>307</v>
      </c>
    </row>
    <row r="45" spans="1:20" x14ac:dyDescent="0.35">
      <c r="A45" s="102">
        <v>20</v>
      </c>
      <c r="B45" s="83">
        <v>7471</v>
      </c>
      <c r="C45" s="108">
        <v>390</v>
      </c>
      <c r="E45" s="106">
        <v>70.441697229286561</v>
      </c>
      <c r="F45" s="106">
        <v>70.058419243986251</v>
      </c>
      <c r="G45" s="107">
        <v>69.263157894736835</v>
      </c>
      <c r="H45" s="108">
        <v>271.98662294204257</v>
      </c>
      <c r="I45" s="108">
        <v>293.26804123711338</v>
      </c>
      <c r="J45" s="102">
        <v>257.73684210526318</v>
      </c>
      <c r="K45" s="109">
        <v>0.91354366094485118</v>
      </c>
      <c r="L45" s="109">
        <v>0.99586056299919046</v>
      </c>
      <c r="M45" s="110">
        <v>0.91378742836792448</v>
      </c>
      <c r="Q45" s="102">
        <v>14</v>
      </c>
      <c r="R45" s="122">
        <v>16</v>
      </c>
      <c r="S45" s="122">
        <v>20</v>
      </c>
      <c r="T45" s="102">
        <v>206</v>
      </c>
    </row>
    <row r="46" spans="1:20" x14ac:dyDescent="0.35">
      <c r="A46" s="102">
        <v>21</v>
      </c>
      <c r="B46" s="83">
        <v>2067</v>
      </c>
      <c r="C46" s="108">
        <v>623</v>
      </c>
      <c r="D46" s="105"/>
      <c r="E46" s="106">
        <v>70.613507498790511</v>
      </c>
      <c r="F46" s="106">
        <v>70.424342105263165</v>
      </c>
      <c r="G46" s="105"/>
      <c r="H46" s="108">
        <v>273.9929172714078</v>
      </c>
      <c r="I46" s="108">
        <v>308.76973684210526</v>
      </c>
      <c r="J46" s="105"/>
      <c r="K46" s="109">
        <v>0.91396853008919188</v>
      </c>
      <c r="L46" s="109">
        <v>1.0296493232787736</v>
      </c>
      <c r="M46" s="105"/>
      <c r="Q46" s="102">
        <v>15</v>
      </c>
      <c r="R46" s="122">
        <v>2</v>
      </c>
      <c r="S46" s="122">
        <v>8</v>
      </c>
      <c r="T46" s="102">
        <v>98</v>
      </c>
    </row>
    <row r="47" spans="1:20" x14ac:dyDescent="0.35">
      <c r="A47" s="102">
        <v>22</v>
      </c>
      <c r="B47" s="83">
        <v>158</v>
      </c>
      <c r="C47" s="108">
        <v>201</v>
      </c>
      <c r="D47" s="105"/>
      <c r="E47" s="106">
        <v>70.039746835443026</v>
      </c>
      <c r="F47" s="106">
        <v>70.743718592964825</v>
      </c>
      <c r="G47" s="105"/>
      <c r="H47" s="108">
        <v>244.77493670886076</v>
      </c>
      <c r="I47" s="108">
        <v>327.42713567839195</v>
      </c>
      <c r="J47" s="105"/>
      <c r="K47" s="109">
        <v>0.8301800844740217</v>
      </c>
      <c r="L47" s="109">
        <v>1.0747347153777391</v>
      </c>
      <c r="M47" s="105"/>
      <c r="Q47" s="102">
        <v>16</v>
      </c>
      <c r="R47" s="122">
        <v>13</v>
      </c>
      <c r="S47" s="122">
        <v>4</v>
      </c>
      <c r="T47" s="102">
        <v>176</v>
      </c>
    </row>
    <row r="48" spans="1:20" s="4" customFormat="1" x14ac:dyDescent="0.35">
      <c r="A48" s="120" t="s">
        <v>947</v>
      </c>
      <c r="B48" s="116">
        <f>SUM(B36:B47)</f>
        <v>42418</v>
      </c>
      <c r="C48" s="116">
        <f t="shared" ref="C48:D48" si="3">SUM(C36:C47)</f>
        <v>1885</v>
      </c>
      <c r="D48" s="117">
        <f t="shared" si="3"/>
        <v>987</v>
      </c>
      <c r="E48" s="118"/>
      <c r="F48" s="84"/>
      <c r="G48" s="104"/>
      <c r="H48" s="119"/>
      <c r="I48" s="84"/>
      <c r="J48" s="104"/>
      <c r="K48" s="84"/>
      <c r="L48" s="84"/>
      <c r="M48" s="104"/>
      <c r="Q48" s="102">
        <v>17</v>
      </c>
      <c r="R48" s="122">
        <v>2</v>
      </c>
      <c r="T48" s="102">
        <v>123</v>
      </c>
    </row>
    <row r="49" spans="3:28" x14ac:dyDescent="0.35">
      <c r="Q49" s="102">
        <v>18</v>
      </c>
      <c r="R49" s="122">
        <v>0</v>
      </c>
      <c r="T49" s="102">
        <v>60</v>
      </c>
    </row>
    <row r="50" spans="3:28" x14ac:dyDescent="0.35">
      <c r="Q50" s="102">
        <v>19</v>
      </c>
      <c r="T50" s="105"/>
    </row>
    <row r="51" spans="3:28" x14ac:dyDescent="0.35">
      <c r="Q51" s="102">
        <v>20</v>
      </c>
      <c r="T51" s="102">
        <v>38</v>
      </c>
    </row>
    <row r="52" spans="3:28" x14ac:dyDescent="0.35">
      <c r="Q52" s="102">
        <v>21</v>
      </c>
    </row>
    <row r="53" spans="3:28" x14ac:dyDescent="0.35">
      <c r="Q53" s="102">
        <v>22</v>
      </c>
    </row>
    <row r="56" spans="3:28" x14ac:dyDescent="0.35">
      <c r="R56" s="124" t="s">
        <v>939</v>
      </c>
      <c r="S56" s="124" t="s">
        <v>940</v>
      </c>
      <c r="T56" s="104" t="s">
        <v>941</v>
      </c>
      <c r="V56" s="124" t="s">
        <v>939</v>
      </c>
      <c r="W56" s="124" t="s">
        <v>940</v>
      </c>
      <c r="X56" s="104" t="s">
        <v>941</v>
      </c>
      <c r="Z56" s="124" t="s">
        <v>939</v>
      </c>
      <c r="AA56" s="124" t="s">
        <v>940</v>
      </c>
      <c r="AB56" s="104" t="s">
        <v>941</v>
      </c>
    </row>
    <row r="57" spans="3:28" x14ac:dyDescent="0.35">
      <c r="C57">
        <f>C33/C17</f>
        <v>1.4140786749482401</v>
      </c>
      <c r="D57" s="60">
        <f>D33/D17</f>
        <v>2.2803030303030303</v>
      </c>
      <c r="Q57" s="94"/>
      <c r="R57" s="123"/>
      <c r="S57" s="123"/>
      <c r="T57" s="125"/>
    </row>
    <row r="58" spans="3:28" x14ac:dyDescent="0.35">
      <c r="P58">
        <v>2016</v>
      </c>
      <c r="Q58" s="102">
        <v>10</v>
      </c>
      <c r="R58" s="123"/>
      <c r="S58" s="123"/>
      <c r="T58" s="125"/>
      <c r="V58" s="108"/>
      <c r="W58" s="123"/>
      <c r="X58" s="102"/>
    </row>
    <row r="59" spans="3:28" x14ac:dyDescent="0.35">
      <c r="C59">
        <f>C48/C17</f>
        <v>3.9026915113871636</v>
      </c>
      <c r="D59">
        <f>D48/D17</f>
        <v>7.4772727272727275</v>
      </c>
      <c r="Q59" s="102">
        <v>11</v>
      </c>
      <c r="R59" s="106">
        <v>72.821428571428569</v>
      </c>
      <c r="S59" s="123"/>
      <c r="T59" s="107">
        <v>73.7</v>
      </c>
      <c r="V59" s="108">
        <v>330.80357142857144</v>
      </c>
      <c r="W59" s="123"/>
      <c r="X59" s="102">
        <v>348.93103448275861</v>
      </c>
      <c r="Z59" s="109">
        <v>0.85020224227089025</v>
      </c>
      <c r="AA59" s="123"/>
      <c r="AB59" s="110">
        <v>1.0165201485003152</v>
      </c>
    </row>
    <row r="60" spans="3:28" x14ac:dyDescent="0.35">
      <c r="Q60" s="102">
        <v>12</v>
      </c>
      <c r="R60" s="106">
        <v>71.820845921450157</v>
      </c>
      <c r="S60" s="123"/>
      <c r="T60" s="107">
        <v>71.705882352941174</v>
      </c>
      <c r="V60" s="108">
        <v>314.43717522658613</v>
      </c>
      <c r="W60" s="123"/>
      <c r="X60" s="102">
        <v>311.88235294117646</v>
      </c>
      <c r="Z60" s="109">
        <v>0.98559943841346076</v>
      </c>
      <c r="AA60" s="123"/>
      <c r="AB60" s="110">
        <v>0.98412309818301036</v>
      </c>
    </row>
    <row r="61" spans="3:28" x14ac:dyDescent="0.35">
      <c r="Q61" s="102">
        <v>13</v>
      </c>
      <c r="R61" s="106">
        <v>70.549019607843135</v>
      </c>
      <c r="S61" s="106">
        <v>71.109090909090909</v>
      </c>
      <c r="T61" s="107">
        <v>72.634615384615387</v>
      </c>
      <c r="V61" s="108">
        <v>289.29411764705884</v>
      </c>
      <c r="W61" s="108">
        <v>301.03636363636366</v>
      </c>
      <c r="X61" s="102">
        <v>339.03846153846155</v>
      </c>
      <c r="Z61" s="109">
        <v>0.815828059419346</v>
      </c>
      <c r="AA61" s="109">
        <v>0.97107724618239166</v>
      </c>
      <c r="AB61" s="110">
        <v>1.0352939231937621</v>
      </c>
    </row>
    <row r="62" spans="3:28" x14ac:dyDescent="0.35">
      <c r="Q62" s="102">
        <v>14</v>
      </c>
      <c r="R62" s="106">
        <v>71.275794862741634</v>
      </c>
      <c r="S62" s="106">
        <v>70.714285714285708</v>
      </c>
      <c r="T62" s="107">
        <v>72.8125</v>
      </c>
      <c r="V62" s="108">
        <v>315.59305499161439</v>
      </c>
      <c r="W62" s="108">
        <v>294.71428571428572</v>
      </c>
      <c r="X62" s="102">
        <v>335.625</v>
      </c>
      <c r="Z62" s="109">
        <v>1.0169256616894047</v>
      </c>
      <c r="AA62" s="109">
        <v>0.96327728973589954</v>
      </c>
      <c r="AB62" s="110">
        <v>1.0096744294139668</v>
      </c>
    </row>
    <row r="63" spans="3:28" x14ac:dyDescent="0.35">
      <c r="Q63" s="102">
        <v>15</v>
      </c>
      <c r="R63" s="106">
        <v>70.125616174582802</v>
      </c>
      <c r="S63" s="106"/>
      <c r="T63" s="107"/>
      <c r="V63" s="108">
        <v>286.53281771501923</v>
      </c>
      <c r="W63" s="108"/>
      <c r="X63" s="102"/>
      <c r="Z63" s="109">
        <v>0.96070337144874851</v>
      </c>
      <c r="AA63" s="109">
        <v>1.0241288005218374</v>
      </c>
      <c r="AB63" s="110"/>
    </row>
    <row r="64" spans="3:28" x14ac:dyDescent="0.35">
      <c r="Q64" s="102">
        <v>16</v>
      </c>
      <c r="R64" s="106">
        <v>70.062304230423038</v>
      </c>
      <c r="S64" s="106">
        <v>69.666666666666671</v>
      </c>
      <c r="T64" s="107">
        <v>71.307692307692307</v>
      </c>
      <c r="V64" s="108">
        <v>285.60736273627361</v>
      </c>
      <c r="W64" s="108">
        <v>287.83333333333331</v>
      </c>
      <c r="X64" s="102">
        <v>281.30769230769232</v>
      </c>
      <c r="Z64" s="109">
        <v>0.97621858818760199</v>
      </c>
      <c r="AA64" s="109">
        <v>0.97766597075578543</v>
      </c>
      <c r="AB64" s="110">
        <v>0.906564055600241</v>
      </c>
    </row>
    <row r="65" spans="16:28" x14ac:dyDescent="0.35">
      <c r="Q65" s="102">
        <v>17</v>
      </c>
      <c r="R65" s="106">
        <v>70.263181865338723</v>
      </c>
      <c r="S65" s="106">
        <v>71.461538461538467</v>
      </c>
      <c r="T65" s="107"/>
      <c r="V65" s="108">
        <v>289.97314244216204</v>
      </c>
      <c r="W65" s="108">
        <v>306.53846153846155</v>
      </c>
      <c r="X65" s="102"/>
      <c r="Z65" s="109">
        <v>0.97060853441755268</v>
      </c>
      <c r="AA65" s="109">
        <v>0.98858582369340842</v>
      </c>
      <c r="AB65" s="125"/>
    </row>
    <row r="66" spans="16:28" x14ac:dyDescent="0.35">
      <c r="Q66" s="102">
        <v>18</v>
      </c>
      <c r="R66" s="106">
        <v>70.561081081081085</v>
      </c>
      <c r="S66" s="106">
        <v>68.5</v>
      </c>
      <c r="T66" s="107"/>
      <c r="V66" s="108">
        <v>303.80506756756756</v>
      </c>
      <c r="W66" s="108">
        <v>287.3</v>
      </c>
      <c r="X66" s="102"/>
      <c r="Z66" s="109">
        <v>1.0087820359105271</v>
      </c>
      <c r="AA66" s="109">
        <v>1.0283818581934538</v>
      </c>
      <c r="AB66" s="125"/>
    </row>
    <row r="67" spans="16:28" x14ac:dyDescent="0.35">
      <c r="Q67" s="102">
        <v>19</v>
      </c>
      <c r="R67" s="106">
        <v>70.448275862068968</v>
      </c>
      <c r="S67" s="106">
        <v>69.375</v>
      </c>
      <c r="T67" s="107"/>
      <c r="V67" s="108">
        <v>314.79131034482759</v>
      </c>
      <c r="W67" s="108">
        <v>317</v>
      </c>
      <c r="X67" s="102"/>
      <c r="Z67" s="109">
        <v>1.0597109904889148</v>
      </c>
      <c r="AA67" s="109">
        <v>1.1121801350172258</v>
      </c>
      <c r="AB67" s="125"/>
    </row>
    <row r="68" spans="16:28" x14ac:dyDescent="0.35">
      <c r="Q68" s="102">
        <v>20</v>
      </c>
      <c r="R68" s="106">
        <v>69.930688591983568</v>
      </c>
      <c r="S68" s="106">
        <v>71.097087378640779</v>
      </c>
      <c r="T68" s="107"/>
      <c r="V68" s="108">
        <v>276.48914696813978</v>
      </c>
      <c r="W68" s="108">
        <v>333.11650485436894</v>
      </c>
      <c r="X68" s="102"/>
      <c r="Z68" s="109">
        <v>0.95103878954606813</v>
      </c>
      <c r="AA68" s="109">
        <v>1.0780113283208652</v>
      </c>
      <c r="AB68" s="125"/>
    </row>
    <row r="69" spans="16:28" x14ac:dyDescent="0.35">
      <c r="Q69" s="102">
        <v>21</v>
      </c>
      <c r="R69" s="106">
        <v>69.540463458110509</v>
      </c>
      <c r="S69" s="106">
        <v>69.288135593220332</v>
      </c>
      <c r="T69" s="125"/>
      <c r="V69" s="108">
        <v>300.77782531194293</v>
      </c>
      <c r="W69" s="108">
        <v>328.31932773109241</v>
      </c>
      <c r="X69" s="125"/>
      <c r="Z69" s="109">
        <v>1.0455249339092101</v>
      </c>
      <c r="AA69" s="109">
        <v>1.1669121332351196</v>
      </c>
      <c r="AB69" s="125"/>
    </row>
    <row r="70" spans="16:28" x14ac:dyDescent="0.35">
      <c r="Q70" s="102">
        <v>22</v>
      </c>
      <c r="R70" s="106">
        <v>69.067961165048544</v>
      </c>
      <c r="S70" s="106">
        <v>70.8735632183908</v>
      </c>
      <c r="T70" s="125"/>
      <c r="V70" s="108">
        <v>295.92233009708735</v>
      </c>
      <c r="W70" s="108">
        <v>359.70114942528738</v>
      </c>
      <c r="X70" s="125"/>
      <c r="Z70" s="109">
        <v>1.0488517304218474</v>
      </c>
      <c r="AA70" s="109">
        <v>1.1749109160485109</v>
      </c>
      <c r="AB70" s="125"/>
    </row>
    <row r="71" spans="16:28" x14ac:dyDescent="0.35">
      <c r="Q71" s="114"/>
      <c r="R71" s="106"/>
      <c r="S71" s="106"/>
      <c r="T71" s="125"/>
      <c r="V71" s="98"/>
      <c r="W71" s="98"/>
      <c r="X71" s="94"/>
      <c r="Z71" s="99"/>
      <c r="AA71" s="99"/>
      <c r="AB71" s="94"/>
    </row>
    <row r="72" spans="16:28" x14ac:dyDescent="0.35">
      <c r="Q72" s="94"/>
      <c r="V72" s="98"/>
      <c r="W72" s="98"/>
      <c r="X72" s="94"/>
      <c r="Z72" s="99"/>
      <c r="AA72" s="99"/>
      <c r="AB72" s="94"/>
    </row>
    <row r="73" spans="16:28" x14ac:dyDescent="0.35">
      <c r="P73">
        <v>2017</v>
      </c>
      <c r="Q73" s="102">
        <v>10</v>
      </c>
      <c r="R73" s="106">
        <v>72.970588235294116</v>
      </c>
      <c r="S73" s="106"/>
      <c r="T73" s="107">
        <v>70.083333333333329</v>
      </c>
      <c r="V73" s="108">
        <v>326.8235294117647</v>
      </c>
      <c r="W73" s="108"/>
      <c r="X73" s="102">
        <v>290.66666666666669</v>
      </c>
      <c r="Z73" s="109">
        <v>0.98559705126646335</v>
      </c>
      <c r="AA73" s="123"/>
      <c r="AB73" s="110">
        <v>0.9863528274482215</v>
      </c>
    </row>
    <row r="74" spans="16:28" x14ac:dyDescent="0.35">
      <c r="Q74" s="102">
        <v>11</v>
      </c>
      <c r="R74" s="106">
        <v>70.296642548805494</v>
      </c>
      <c r="S74" s="106">
        <v>69.666666666666671</v>
      </c>
      <c r="T74" s="107">
        <v>70.400000000000006</v>
      </c>
      <c r="V74" s="108">
        <v>294.70866140768032</v>
      </c>
      <c r="W74" s="108">
        <v>313</v>
      </c>
      <c r="X74" s="102">
        <v>304.44</v>
      </c>
      <c r="Z74" s="109">
        <v>0.99242598117702285</v>
      </c>
      <c r="AA74" s="109">
        <v>1.0784484428874663</v>
      </c>
      <c r="AB74" s="110">
        <v>1.0224832461299236</v>
      </c>
    </row>
    <row r="75" spans="16:28" x14ac:dyDescent="0.35">
      <c r="Q75" s="102">
        <v>12</v>
      </c>
      <c r="R75" s="106">
        <v>69.459976395609573</v>
      </c>
      <c r="S75" s="106">
        <v>68.38636363636364</v>
      </c>
      <c r="T75" s="107">
        <v>69.509803921568633</v>
      </c>
      <c r="V75" s="108">
        <v>271.03614304260589</v>
      </c>
      <c r="W75" s="108">
        <v>275.11363636363637</v>
      </c>
      <c r="X75" s="102">
        <v>279.03921568627453</v>
      </c>
      <c r="Z75" s="109">
        <v>0.94312874462799523</v>
      </c>
      <c r="AA75" s="109">
        <v>0.99844150276528831</v>
      </c>
      <c r="AB75" s="110">
        <v>0.96972271995340631</v>
      </c>
    </row>
    <row r="76" spans="16:28" x14ac:dyDescent="0.35">
      <c r="Q76" s="102">
        <v>13</v>
      </c>
      <c r="R76" s="106">
        <v>69.304440063091491</v>
      </c>
      <c r="S76" s="106">
        <v>68.411764705882348</v>
      </c>
      <c r="T76" s="107">
        <v>69.666666666666671</v>
      </c>
      <c r="V76" s="108">
        <v>295.91762530669467</v>
      </c>
      <c r="W76" s="108">
        <v>278.10294117647061</v>
      </c>
      <c r="X76" s="102">
        <v>287.83333333333331</v>
      </c>
      <c r="Z76" s="109">
        <v>1.0394852939837271</v>
      </c>
      <c r="AA76" s="109">
        <v>1.018097162590804</v>
      </c>
      <c r="AB76" s="110">
        <v>0.99582076365575112</v>
      </c>
    </row>
    <row r="77" spans="16:28" x14ac:dyDescent="0.35">
      <c r="Q77" s="102">
        <v>14</v>
      </c>
      <c r="R77" s="106">
        <v>69.282690572989452</v>
      </c>
      <c r="S77" s="106">
        <v>67.757575757575751</v>
      </c>
      <c r="T77" s="107">
        <v>70.400000000000006</v>
      </c>
      <c r="V77" s="108">
        <v>287.3409852623555</v>
      </c>
      <c r="W77" s="108">
        <v>267.39393939393938</v>
      </c>
      <c r="X77" s="102">
        <v>288.3</v>
      </c>
      <c r="Z77" s="109">
        <v>1.0070927037426454</v>
      </c>
      <c r="AA77" s="109">
        <v>1.0207789250218771</v>
      </c>
      <c r="AB77" s="110">
        <v>0.96592790136500262</v>
      </c>
    </row>
    <row r="78" spans="16:28" x14ac:dyDescent="0.35">
      <c r="Q78" s="102">
        <v>15</v>
      </c>
      <c r="R78" s="106">
        <v>69.264637865311315</v>
      </c>
      <c r="S78" s="106">
        <v>67.718309859154928</v>
      </c>
      <c r="T78" s="107">
        <v>66.75</v>
      </c>
      <c r="V78" s="108">
        <v>288.39327827191869</v>
      </c>
      <c r="W78" s="108">
        <v>282.05633802816902</v>
      </c>
      <c r="X78" s="102">
        <v>293.875</v>
      </c>
      <c r="Z78" s="109">
        <v>1.0131459806168801</v>
      </c>
      <c r="AA78" s="109">
        <v>1.057563925692018</v>
      </c>
      <c r="AB78" s="110">
        <v>1.1604370268477049</v>
      </c>
    </row>
    <row r="79" spans="16:28" x14ac:dyDescent="0.35">
      <c r="Q79" s="102">
        <v>16</v>
      </c>
      <c r="R79" s="106">
        <v>68.330746734735058</v>
      </c>
      <c r="S79" s="106">
        <v>68.049180327868854</v>
      </c>
      <c r="T79" s="125"/>
      <c r="V79" s="108">
        <v>250.84617738129697</v>
      </c>
      <c r="W79" s="108">
        <v>267.5409836065574</v>
      </c>
      <c r="X79" s="125"/>
      <c r="Z79" s="109">
        <v>0.91682834794582269</v>
      </c>
      <c r="AA79" s="109">
        <v>0.98947546314173185</v>
      </c>
      <c r="AB79" s="110">
        <v>0.9677130163451293</v>
      </c>
    </row>
    <row r="80" spans="16:28" x14ac:dyDescent="0.35">
      <c r="Q80" s="102">
        <v>17</v>
      </c>
      <c r="R80" s="106">
        <v>67.616925300263645</v>
      </c>
      <c r="S80" s="106">
        <v>68.36363636363636</v>
      </c>
      <c r="T80" s="125"/>
      <c r="V80" s="108">
        <v>286.24783634410699</v>
      </c>
      <c r="W80" s="108">
        <v>314.63636363636363</v>
      </c>
      <c r="X80" s="125"/>
      <c r="Z80" s="109">
        <v>1.0817369154038192</v>
      </c>
      <c r="AA80" s="109">
        <v>1.1562927754624392</v>
      </c>
      <c r="AB80" s="113"/>
    </row>
    <row r="81" spans="16:28" x14ac:dyDescent="0.35">
      <c r="Q81" s="102">
        <v>18</v>
      </c>
      <c r="R81" s="106">
        <v>68.944073425114723</v>
      </c>
      <c r="S81" s="106">
        <v>68.098591549295776</v>
      </c>
      <c r="T81" s="125"/>
      <c r="V81" s="108">
        <v>290.56812015018778</v>
      </c>
      <c r="W81" s="108">
        <v>306.56338028169012</v>
      </c>
      <c r="X81" s="125"/>
      <c r="Z81" s="109">
        <v>1.0346364379089168</v>
      </c>
      <c r="AA81" s="109">
        <v>1.1334635363536005</v>
      </c>
      <c r="AB81" s="113"/>
    </row>
    <row r="82" spans="16:28" x14ac:dyDescent="0.35">
      <c r="Q82" s="102">
        <v>19</v>
      </c>
      <c r="R82" s="106">
        <v>69.066486486486482</v>
      </c>
      <c r="S82" s="106">
        <v>67.94736842105263</v>
      </c>
      <c r="T82" s="125"/>
      <c r="V82" s="108">
        <v>312.28036036036031</v>
      </c>
      <c r="W82" s="108">
        <v>326.11842105263156</v>
      </c>
      <c r="X82" s="125"/>
      <c r="Z82" s="109">
        <v>1.1070656388503335</v>
      </c>
      <c r="AA82" s="109">
        <v>1.2129350681044888</v>
      </c>
      <c r="AB82" s="113"/>
    </row>
    <row r="83" spans="16:28" x14ac:dyDescent="0.35">
      <c r="Q83" s="102">
        <v>20</v>
      </c>
      <c r="R83" s="106">
        <v>68.197214186220918</v>
      </c>
      <c r="S83" s="106">
        <v>70.365079365079367</v>
      </c>
      <c r="T83" s="125"/>
      <c r="V83" s="108">
        <v>275.40858459230691</v>
      </c>
      <c r="W83" s="123">
        <v>399</v>
      </c>
      <c r="X83" s="125"/>
      <c r="Z83" s="109">
        <v>1.0142815610460743</v>
      </c>
      <c r="AA83" s="109">
        <v>1.3377644618416351</v>
      </c>
      <c r="AB83" s="113"/>
    </row>
    <row r="84" spans="16:28" x14ac:dyDescent="0.35">
      <c r="Q84" s="102">
        <v>21</v>
      </c>
      <c r="R84" s="106">
        <v>68.204545454545467</v>
      </c>
      <c r="S84" s="106">
        <v>72.637583892617457</v>
      </c>
      <c r="T84" s="125"/>
      <c r="V84" s="108">
        <v>246.68181818181819</v>
      </c>
      <c r="W84" s="108">
        <v>434.56375838926175</v>
      </c>
      <c r="X84" s="125"/>
      <c r="Z84" s="109">
        <v>0.90745668917885747</v>
      </c>
      <c r="AA84" s="109">
        <v>1.2983647756553132</v>
      </c>
      <c r="AB84" s="113"/>
    </row>
    <row r="87" spans="16:28" x14ac:dyDescent="0.35">
      <c r="P87">
        <v>2018</v>
      </c>
      <c r="Q87" s="102">
        <v>10</v>
      </c>
      <c r="R87" s="123"/>
      <c r="S87" s="123"/>
      <c r="T87" s="125"/>
      <c r="V87" s="123"/>
      <c r="W87" s="123"/>
      <c r="X87" s="125"/>
      <c r="Z87" s="123"/>
      <c r="AA87" s="123"/>
      <c r="AB87" s="125"/>
    </row>
    <row r="88" spans="16:28" x14ac:dyDescent="0.35">
      <c r="Q88" s="102">
        <v>11</v>
      </c>
      <c r="R88" s="123"/>
      <c r="S88" s="123"/>
      <c r="T88" s="125"/>
      <c r="V88" s="123"/>
      <c r="W88" s="123"/>
      <c r="X88" s="125"/>
      <c r="Z88" s="123"/>
      <c r="AA88" s="123"/>
      <c r="AB88" s="113"/>
    </row>
    <row r="89" spans="16:28" x14ac:dyDescent="0.35">
      <c r="Q89" s="102">
        <v>12</v>
      </c>
      <c r="R89" s="123"/>
      <c r="S89" s="123"/>
      <c r="T89" s="107">
        <v>70.82352941176471</v>
      </c>
      <c r="V89" s="123"/>
      <c r="W89" s="123"/>
      <c r="X89" s="102">
        <v>346.70588235294116</v>
      </c>
      <c r="Z89" s="123"/>
      <c r="AA89" s="109">
        <v>1.1087466548204905</v>
      </c>
      <c r="AB89" s="110">
        <v>1.1394403266582962</v>
      </c>
    </row>
    <row r="90" spans="16:28" x14ac:dyDescent="0.35">
      <c r="Q90" s="102">
        <v>13</v>
      </c>
      <c r="R90" s="106">
        <v>72.800308478239515</v>
      </c>
      <c r="S90" s="106">
        <v>70.28</v>
      </c>
      <c r="T90" s="107">
        <v>71</v>
      </c>
      <c r="V90" s="108">
        <v>329.10138716966304</v>
      </c>
      <c r="W90" s="108">
        <v>311.2</v>
      </c>
      <c r="X90" s="102">
        <v>312.69230769230768</v>
      </c>
      <c r="Z90" s="109">
        <v>0.97552442010218621</v>
      </c>
      <c r="AA90" s="109">
        <v>1.0444958797810828</v>
      </c>
      <c r="AB90" s="110">
        <v>1.0179061094366519</v>
      </c>
    </row>
    <row r="91" spans="16:28" x14ac:dyDescent="0.35">
      <c r="Q91" s="102">
        <v>14</v>
      </c>
      <c r="R91" s="106">
        <v>71.026565682232786</v>
      </c>
      <c r="S91" s="106">
        <v>71.555555555555557</v>
      </c>
      <c r="T91" s="107">
        <v>70.716981132075475</v>
      </c>
      <c r="V91" s="108">
        <v>295.52759404712691</v>
      </c>
      <c r="W91" s="108">
        <v>286.44444444444446</v>
      </c>
      <c r="X91" s="102">
        <v>305.24528301886795</v>
      </c>
      <c r="Z91" s="109">
        <v>0.96150444496822152</v>
      </c>
      <c r="AA91" s="109">
        <v>0.91041454505794028</v>
      </c>
      <c r="AB91" s="110">
        <v>1.0074991052310371</v>
      </c>
    </row>
    <row r="92" spans="16:28" x14ac:dyDescent="0.35">
      <c r="Q92" s="102">
        <v>15</v>
      </c>
      <c r="R92" s="106">
        <v>69.790750507099389</v>
      </c>
      <c r="S92" s="106">
        <v>70.0625</v>
      </c>
      <c r="T92" s="107">
        <v>71.115384615384613</v>
      </c>
      <c r="V92" s="108">
        <v>287.17087221095341</v>
      </c>
      <c r="W92" s="108">
        <v>304.5</v>
      </c>
      <c r="X92" s="102">
        <v>294.17307692307691</v>
      </c>
      <c r="Z92" s="109">
        <v>0.98912712837683714</v>
      </c>
      <c r="AA92" s="109">
        <v>1.0301215667816326</v>
      </c>
      <c r="AB92" s="110">
        <v>0.95570162043249185</v>
      </c>
    </row>
    <row r="93" spans="16:28" x14ac:dyDescent="0.35">
      <c r="Q93" s="102">
        <v>16</v>
      </c>
      <c r="R93" s="106">
        <v>69.565986984815609</v>
      </c>
      <c r="S93" s="106">
        <v>69.389610389610397</v>
      </c>
      <c r="T93" s="107">
        <v>68.745098039215691</v>
      </c>
      <c r="V93" s="108">
        <v>276.88416485900217</v>
      </c>
      <c r="W93" s="108">
        <v>285.54545454545456</v>
      </c>
      <c r="X93" s="102">
        <v>271.31372549019608</v>
      </c>
      <c r="Z93" s="109">
        <v>0.96098029726862721</v>
      </c>
      <c r="AA93" s="109">
        <v>0.99465351402605007</v>
      </c>
      <c r="AB93" s="110">
        <v>0.97095957393785437</v>
      </c>
    </row>
    <row r="94" spans="16:28" x14ac:dyDescent="0.35">
      <c r="Q94" s="102">
        <v>17</v>
      </c>
      <c r="R94" s="106">
        <v>69.397003212084385</v>
      </c>
      <c r="S94" s="106">
        <v>69.297468354430379</v>
      </c>
      <c r="T94" s="107">
        <v>69.980392156862749</v>
      </c>
      <c r="V94" s="108">
        <v>258.01749804670544</v>
      </c>
      <c r="W94" s="108">
        <v>264.01265822784808</v>
      </c>
      <c r="X94" s="102">
        <v>266.94117647058823</v>
      </c>
      <c r="Z94" s="109">
        <v>0.89682331114347613</v>
      </c>
      <c r="AA94" s="109">
        <v>0.91652711425043365</v>
      </c>
      <c r="AB94" s="110">
        <v>0.90713962231381917</v>
      </c>
    </row>
    <row r="95" spans="16:28" x14ac:dyDescent="0.35">
      <c r="Q95" s="102">
        <v>18</v>
      </c>
      <c r="R95" s="106">
        <v>70.062111798058751</v>
      </c>
      <c r="S95" s="106">
        <v>68.639534883720927</v>
      </c>
      <c r="T95" s="107">
        <v>69.275862068965523</v>
      </c>
      <c r="V95" s="108">
        <v>296.90232514335139</v>
      </c>
      <c r="W95" s="108">
        <v>278.65697674418607</v>
      </c>
      <c r="X95" s="102">
        <v>278.5344827586207</v>
      </c>
      <c r="Z95" s="109">
        <v>1.0051779443434206</v>
      </c>
      <c r="AA95" s="109">
        <v>1.0032696168551445</v>
      </c>
      <c r="AB95" s="110">
        <v>0.98170014169358155</v>
      </c>
    </row>
    <row r="96" spans="16:28" x14ac:dyDescent="0.35">
      <c r="Q96" s="102">
        <v>19</v>
      </c>
      <c r="R96" s="106">
        <v>70.74316784869977</v>
      </c>
      <c r="S96" s="106">
        <v>69.041095890410958</v>
      </c>
      <c r="T96" s="125"/>
      <c r="V96" s="108">
        <v>284.51276595744679</v>
      </c>
      <c r="W96" s="108">
        <v>279.06849315068496</v>
      </c>
      <c r="X96" s="125"/>
      <c r="Z96" s="109">
        <v>0.93706946743378505</v>
      </c>
      <c r="AA96" s="109">
        <v>0.98625443288095915</v>
      </c>
      <c r="AB96" s="125"/>
    </row>
    <row r="97" spans="17:28" x14ac:dyDescent="0.35">
      <c r="Q97" s="102">
        <v>20</v>
      </c>
      <c r="R97" s="106">
        <v>70.441697229286561</v>
      </c>
      <c r="S97" s="106">
        <v>70.058419243986251</v>
      </c>
      <c r="T97" s="107">
        <v>69.263157894736835</v>
      </c>
      <c r="V97" s="108">
        <v>271.98662294204257</v>
      </c>
      <c r="W97" s="108">
        <v>293.26804123711338</v>
      </c>
      <c r="X97" s="102">
        <v>257.73684210526318</v>
      </c>
      <c r="Z97" s="109">
        <v>0.91354366094485118</v>
      </c>
      <c r="AA97" s="109">
        <v>0.99586056299919046</v>
      </c>
      <c r="AB97" s="110">
        <v>0.91378742836792448</v>
      </c>
    </row>
    <row r="98" spans="17:28" x14ac:dyDescent="0.35">
      <c r="Q98" s="102">
        <v>21</v>
      </c>
      <c r="R98" s="106">
        <v>70.613507498790511</v>
      </c>
      <c r="S98" s="106">
        <v>70.424342105263165</v>
      </c>
      <c r="T98" s="125"/>
      <c r="V98" s="108">
        <v>273.9929172714078</v>
      </c>
      <c r="W98" s="108">
        <v>308.76973684210526</v>
      </c>
      <c r="X98" s="125"/>
      <c r="Z98" s="109">
        <v>0.91396853008919188</v>
      </c>
      <c r="AA98" s="109">
        <v>1.0296493232787736</v>
      </c>
      <c r="AB98" s="125"/>
    </row>
    <row r="99" spans="17:28" x14ac:dyDescent="0.35">
      <c r="Q99" s="102">
        <v>22</v>
      </c>
      <c r="R99" s="106">
        <v>70.039746835443026</v>
      </c>
      <c r="S99" s="106">
        <v>70.743718592964825</v>
      </c>
      <c r="T99" s="125"/>
      <c r="V99" s="108">
        <v>244.77493670886076</v>
      </c>
      <c r="W99" s="108">
        <v>327.42713567839195</v>
      </c>
      <c r="X99" s="125"/>
      <c r="Z99" s="109">
        <v>0.8301800844740217</v>
      </c>
      <c r="AA99" s="109">
        <v>1.0747347153777391</v>
      </c>
      <c r="AB99" s="125"/>
    </row>
    <row r="102" spans="17:28" x14ac:dyDescent="0.35">
      <c r="V102" s="119"/>
      <c r="W102" s="124"/>
      <c r="X102" s="104"/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7"/>
  <sheetViews>
    <sheetView zoomScale="85" zoomScaleNormal="85" workbookViewId="0">
      <selection activeCell="Q66" sqref="Q66"/>
    </sheetView>
  </sheetViews>
  <sheetFormatPr defaultRowHeight="14.5" x14ac:dyDescent="0.35"/>
  <cols>
    <col min="1" max="1" width="18.1796875" customWidth="1"/>
  </cols>
  <sheetData>
    <row r="1" spans="1:17" x14ac:dyDescent="0.35">
      <c r="B1" t="s">
        <v>476</v>
      </c>
      <c r="C1" t="s">
        <v>646</v>
      </c>
      <c r="D1" t="s">
        <v>293</v>
      </c>
      <c r="E1" t="s">
        <v>198</v>
      </c>
      <c r="F1" t="s">
        <v>360</v>
      </c>
      <c r="H1" t="s">
        <v>718</v>
      </c>
      <c r="K1" t="s">
        <v>476</v>
      </c>
      <c r="L1" t="s">
        <v>646</v>
      </c>
      <c r="M1" t="s">
        <v>293</v>
      </c>
      <c r="N1" t="s">
        <v>198</v>
      </c>
      <c r="O1" t="s">
        <v>360</v>
      </c>
    </row>
    <row r="2" spans="1:17" x14ac:dyDescent="0.35">
      <c r="A2" t="s">
        <v>957</v>
      </c>
    </row>
    <row r="3" spans="1:17" x14ac:dyDescent="0.35">
      <c r="A3" s="59">
        <v>43185</v>
      </c>
      <c r="B3">
        <v>42</v>
      </c>
      <c r="C3">
        <v>7</v>
      </c>
      <c r="D3">
        <v>1</v>
      </c>
      <c r="E3">
        <v>0</v>
      </c>
      <c r="F3">
        <v>0</v>
      </c>
      <c r="H3">
        <v>50</v>
      </c>
      <c r="K3" s="8">
        <f>B3/$H3*100</f>
        <v>84</v>
      </c>
      <c r="L3" s="8">
        <f t="shared" ref="L3:O4" si="0">C3/$H3*100</f>
        <v>14.000000000000002</v>
      </c>
      <c r="M3" s="8">
        <f t="shared" si="0"/>
        <v>2</v>
      </c>
      <c r="N3" s="8">
        <f t="shared" si="0"/>
        <v>0</v>
      </c>
      <c r="O3" s="8">
        <f t="shared" si="0"/>
        <v>0</v>
      </c>
      <c r="P3" s="8"/>
      <c r="Q3" s="8"/>
    </row>
    <row r="4" spans="1:17" x14ac:dyDescent="0.35">
      <c r="A4" s="59">
        <v>43200</v>
      </c>
      <c r="B4">
        <v>30</v>
      </c>
      <c r="C4">
        <v>70</v>
      </c>
      <c r="D4">
        <v>1</v>
      </c>
      <c r="E4">
        <v>0</v>
      </c>
      <c r="F4">
        <v>0</v>
      </c>
      <c r="H4">
        <v>101</v>
      </c>
      <c r="K4" s="8">
        <f>B4/$H4*100</f>
        <v>29.702970297029701</v>
      </c>
      <c r="L4" s="8">
        <f t="shared" si="0"/>
        <v>69.306930693069305</v>
      </c>
      <c r="M4" s="8">
        <f t="shared" si="0"/>
        <v>0.99009900990099009</v>
      </c>
      <c r="N4" s="8">
        <f t="shared" si="0"/>
        <v>0</v>
      </c>
      <c r="O4" s="8">
        <f t="shared" si="0"/>
        <v>0</v>
      </c>
      <c r="P4" s="8"/>
      <c r="Q4" s="8"/>
    </row>
    <row r="5" spans="1:17" x14ac:dyDescent="0.35">
      <c r="K5" s="8"/>
      <c r="L5" s="8"/>
      <c r="M5" s="8"/>
      <c r="N5" s="8"/>
      <c r="O5" s="8"/>
      <c r="P5" s="8"/>
      <c r="Q5" s="8"/>
    </row>
    <row r="6" spans="1:17" x14ac:dyDescent="0.35">
      <c r="A6" t="s">
        <v>955</v>
      </c>
      <c r="K6" t="s">
        <v>476</v>
      </c>
      <c r="L6" t="s">
        <v>646</v>
      </c>
      <c r="M6" t="s">
        <v>293</v>
      </c>
      <c r="N6" t="s">
        <v>198</v>
      </c>
      <c r="O6" t="s">
        <v>360</v>
      </c>
      <c r="Q6" s="8"/>
    </row>
    <row r="7" spans="1:17" x14ac:dyDescent="0.35">
      <c r="A7" s="59">
        <v>43178</v>
      </c>
      <c r="B7">
        <v>11</v>
      </c>
      <c r="C7">
        <v>5</v>
      </c>
      <c r="D7">
        <v>1</v>
      </c>
      <c r="E7">
        <v>0</v>
      </c>
      <c r="F7">
        <v>0</v>
      </c>
      <c r="H7">
        <f>SUM(B7:G7)</f>
        <v>17</v>
      </c>
      <c r="J7" s="59">
        <v>43178</v>
      </c>
      <c r="K7" s="8">
        <f t="shared" ref="K7:K53" si="1">B7/$H7*100</f>
        <v>64.705882352941174</v>
      </c>
      <c r="L7" s="8">
        <f t="shared" ref="L7:L53" si="2">C7/$H7*100</f>
        <v>29.411764705882355</v>
      </c>
      <c r="M7" s="8">
        <f t="shared" ref="M7:M53" si="3">D7/$H7*100</f>
        <v>5.8823529411764701</v>
      </c>
      <c r="N7" s="8">
        <f t="shared" ref="N7:N53" si="4">E7/$H7*100</f>
        <v>0</v>
      </c>
      <c r="O7" s="8">
        <f t="shared" ref="O7:O53" si="5">F7/$H7*100</f>
        <v>0</v>
      </c>
      <c r="P7" s="8"/>
      <c r="Q7" s="8"/>
    </row>
    <row r="8" spans="1:17" x14ac:dyDescent="0.35">
      <c r="A8" s="59">
        <v>43185</v>
      </c>
      <c r="B8">
        <v>32</v>
      </c>
      <c r="C8">
        <v>18</v>
      </c>
      <c r="D8">
        <v>1</v>
      </c>
      <c r="E8">
        <v>0</v>
      </c>
      <c r="F8">
        <v>0</v>
      </c>
      <c r="H8">
        <f t="shared" ref="H8:H31" si="6">SUM(B8:G8)</f>
        <v>51</v>
      </c>
      <c r="J8" s="59">
        <v>43185</v>
      </c>
      <c r="K8" s="8">
        <f t="shared" si="1"/>
        <v>62.745098039215684</v>
      </c>
      <c r="L8" s="8">
        <f t="shared" si="2"/>
        <v>35.294117647058826</v>
      </c>
      <c r="M8" s="8">
        <f t="shared" si="3"/>
        <v>1.9607843137254901</v>
      </c>
      <c r="N8" s="8">
        <f t="shared" si="4"/>
        <v>0</v>
      </c>
      <c r="O8" s="8">
        <f t="shared" si="5"/>
        <v>0</v>
      </c>
      <c r="P8" s="8"/>
      <c r="Q8" s="8"/>
    </row>
    <row r="9" spans="1:17" x14ac:dyDescent="0.35">
      <c r="A9" s="59">
        <v>43193</v>
      </c>
      <c r="B9">
        <v>19</v>
      </c>
      <c r="C9">
        <v>22</v>
      </c>
      <c r="D9">
        <v>10</v>
      </c>
      <c r="E9">
        <v>1</v>
      </c>
      <c r="F9">
        <v>1</v>
      </c>
      <c r="H9">
        <f t="shared" si="6"/>
        <v>53</v>
      </c>
      <c r="J9" s="59">
        <v>43193</v>
      </c>
      <c r="K9" s="8">
        <f t="shared" si="1"/>
        <v>35.849056603773583</v>
      </c>
      <c r="L9" s="8">
        <f t="shared" si="2"/>
        <v>41.509433962264154</v>
      </c>
      <c r="M9" s="8">
        <f t="shared" si="3"/>
        <v>18.867924528301888</v>
      </c>
      <c r="N9" s="8">
        <f t="shared" si="4"/>
        <v>1.8867924528301887</v>
      </c>
      <c r="O9" s="8">
        <f t="shared" si="5"/>
        <v>1.8867924528301887</v>
      </c>
      <c r="P9" s="8"/>
      <c r="Q9" s="8"/>
    </row>
    <row r="10" spans="1:17" x14ac:dyDescent="0.35">
      <c r="A10" s="59">
        <v>43199</v>
      </c>
      <c r="B10">
        <v>26</v>
      </c>
      <c r="C10">
        <v>23</v>
      </c>
      <c r="D10">
        <v>2</v>
      </c>
      <c r="E10">
        <v>1</v>
      </c>
      <c r="F10">
        <v>0</v>
      </c>
      <c r="H10">
        <f t="shared" si="6"/>
        <v>52</v>
      </c>
      <c r="J10" s="59">
        <v>43199</v>
      </c>
      <c r="K10" s="8">
        <f t="shared" si="1"/>
        <v>50</v>
      </c>
      <c r="L10" s="8">
        <f t="shared" si="2"/>
        <v>44.230769230769226</v>
      </c>
      <c r="M10" s="8">
        <f t="shared" si="3"/>
        <v>3.8461538461538463</v>
      </c>
      <c r="N10" s="8">
        <f t="shared" si="4"/>
        <v>1.9230769230769231</v>
      </c>
      <c r="O10" s="8">
        <f t="shared" si="5"/>
        <v>0</v>
      </c>
      <c r="P10" s="8"/>
      <c r="Q10" s="8"/>
    </row>
    <row r="11" spans="1:17" x14ac:dyDescent="0.35">
      <c r="A11" s="59">
        <v>43207</v>
      </c>
      <c r="B11">
        <v>14</v>
      </c>
      <c r="C11">
        <v>32</v>
      </c>
      <c r="D11">
        <v>4</v>
      </c>
      <c r="E11">
        <v>1</v>
      </c>
      <c r="F11">
        <v>0</v>
      </c>
      <c r="H11">
        <f t="shared" si="6"/>
        <v>51</v>
      </c>
      <c r="J11" s="59">
        <v>43207</v>
      </c>
      <c r="K11" s="8">
        <f t="shared" si="1"/>
        <v>27.450980392156865</v>
      </c>
      <c r="L11" s="8">
        <f t="shared" si="2"/>
        <v>62.745098039215684</v>
      </c>
      <c r="M11" s="8">
        <f t="shared" si="3"/>
        <v>7.8431372549019605</v>
      </c>
      <c r="N11" s="8">
        <f t="shared" si="4"/>
        <v>1.9607843137254901</v>
      </c>
      <c r="O11" s="8">
        <f t="shared" si="5"/>
        <v>0</v>
      </c>
      <c r="P11" s="8"/>
      <c r="Q11" s="8"/>
    </row>
    <row r="12" spans="1:17" x14ac:dyDescent="0.35">
      <c r="A12" s="59">
        <v>43214</v>
      </c>
      <c r="B12">
        <v>3</v>
      </c>
      <c r="C12">
        <v>24</v>
      </c>
      <c r="D12">
        <v>13</v>
      </c>
      <c r="E12">
        <v>7</v>
      </c>
      <c r="F12">
        <v>4</v>
      </c>
      <c r="H12">
        <f t="shared" si="6"/>
        <v>51</v>
      </c>
      <c r="J12" s="59">
        <v>43214</v>
      </c>
      <c r="K12" s="8">
        <f t="shared" si="1"/>
        <v>5.8823529411764701</v>
      </c>
      <c r="L12" s="8">
        <f t="shared" si="2"/>
        <v>47.058823529411761</v>
      </c>
      <c r="M12" s="8">
        <f t="shared" si="3"/>
        <v>25.490196078431371</v>
      </c>
      <c r="N12" s="8">
        <f t="shared" si="4"/>
        <v>13.725490196078432</v>
      </c>
      <c r="O12" s="8">
        <f t="shared" si="5"/>
        <v>7.8431372549019605</v>
      </c>
      <c r="P12" s="8"/>
      <c r="Q12" s="8"/>
    </row>
    <row r="13" spans="1:17" x14ac:dyDescent="0.35">
      <c r="A13" s="59">
        <v>43222</v>
      </c>
      <c r="B13">
        <v>24</v>
      </c>
      <c r="C13">
        <v>14</v>
      </c>
      <c r="D13">
        <v>7</v>
      </c>
      <c r="E13">
        <v>5</v>
      </c>
      <c r="F13">
        <v>8</v>
      </c>
      <c r="H13">
        <f t="shared" si="6"/>
        <v>58</v>
      </c>
      <c r="J13" s="59">
        <v>43222</v>
      </c>
      <c r="K13" s="8">
        <f t="shared" si="1"/>
        <v>41.379310344827587</v>
      </c>
      <c r="L13" s="8">
        <f t="shared" si="2"/>
        <v>24.137931034482758</v>
      </c>
      <c r="M13" s="8">
        <f t="shared" si="3"/>
        <v>12.068965517241379</v>
      </c>
      <c r="N13" s="8">
        <f t="shared" si="4"/>
        <v>8.6206896551724146</v>
      </c>
      <c r="O13" s="8">
        <f t="shared" si="5"/>
        <v>13.793103448275861</v>
      </c>
      <c r="P13" s="8"/>
      <c r="Q13" s="8"/>
    </row>
    <row r="14" spans="1:17" x14ac:dyDescent="0.35">
      <c r="A14" s="59">
        <v>43234</v>
      </c>
      <c r="B14">
        <v>1</v>
      </c>
      <c r="C14">
        <v>14</v>
      </c>
      <c r="D14">
        <v>9</v>
      </c>
      <c r="E14">
        <v>3</v>
      </c>
      <c r="F14">
        <v>11</v>
      </c>
      <c r="H14">
        <f t="shared" si="6"/>
        <v>38</v>
      </c>
      <c r="J14" s="59">
        <v>43234</v>
      </c>
      <c r="K14" s="8">
        <f t="shared" si="1"/>
        <v>2.6315789473684208</v>
      </c>
      <c r="L14" s="8">
        <f t="shared" si="2"/>
        <v>36.84210526315789</v>
      </c>
      <c r="M14" s="8">
        <f t="shared" si="3"/>
        <v>23.684210526315788</v>
      </c>
      <c r="N14" s="8">
        <f t="shared" si="4"/>
        <v>7.8947368421052628</v>
      </c>
      <c r="O14" s="8">
        <f t="shared" si="5"/>
        <v>28.947368421052634</v>
      </c>
      <c r="P14" s="8"/>
      <c r="Q14" s="8"/>
    </row>
    <row r="15" spans="1:17" x14ac:dyDescent="0.35">
      <c r="J15" s="59">
        <v>43248</v>
      </c>
      <c r="K15" s="8"/>
      <c r="L15" s="8"/>
      <c r="M15" s="8"/>
      <c r="N15" s="8"/>
      <c r="O15" s="8"/>
      <c r="P15" s="8"/>
      <c r="Q15" s="8"/>
    </row>
    <row r="16" spans="1:17" x14ac:dyDescent="0.35">
      <c r="A16" t="s">
        <v>956</v>
      </c>
      <c r="J16" s="59">
        <v>43178</v>
      </c>
      <c r="K16" s="8"/>
      <c r="L16" s="8"/>
      <c r="M16" s="8"/>
      <c r="N16" s="8"/>
      <c r="O16" s="8"/>
      <c r="P16" s="8"/>
      <c r="Q16" s="8"/>
    </row>
    <row r="17" spans="1:17" x14ac:dyDescent="0.35">
      <c r="A17" s="59">
        <v>43186</v>
      </c>
      <c r="B17">
        <v>3</v>
      </c>
      <c r="C17">
        <v>10</v>
      </c>
      <c r="D17">
        <v>1</v>
      </c>
      <c r="E17">
        <v>1</v>
      </c>
      <c r="F17">
        <v>0</v>
      </c>
      <c r="H17">
        <f t="shared" si="6"/>
        <v>15</v>
      </c>
      <c r="J17" s="59">
        <v>43186</v>
      </c>
      <c r="K17" s="8">
        <f t="shared" si="1"/>
        <v>20</v>
      </c>
      <c r="L17" s="8">
        <f t="shared" si="2"/>
        <v>66.666666666666657</v>
      </c>
      <c r="M17" s="8">
        <f t="shared" si="3"/>
        <v>6.666666666666667</v>
      </c>
      <c r="N17" s="8">
        <f t="shared" si="4"/>
        <v>6.666666666666667</v>
      </c>
      <c r="O17" s="8">
        <f t="shared" si="5"/>
        <v>0</v>
      </c>
      <c r="P17" s="8"/>
      <c r="Q17" s="8"/>
    </row>
    <row r="18" spans="1:17" x14ac:dyDescent="0.35">
      <c r="A18" s="59">
        <v>43188</v>
      </c>
      <c r="B18">
        <v>55</v>
      </c>
      <c r="C18">
        <v>38</v>
      </c>
      <c r="D18">
        <v>11</v>
      </c>
      <c r="E18">
        <v>0</v>
      </c>
      <c r="F18">
        <v>0</v>
      </c>
      <c r="H18">
        <f t="shared" si="6"/>
        <v>104</v>
      </c>
      <c r="J18" s="59">
        <v>43188</v>
      </c>
      <c r="K18" s="8">
        <f t="shared" si="1"/>
        <v>52.884615384615387</v>
      </c>
      <c r="L18" s="8">
        <f t="shared" si="2"/>
        <v>36.538461538461533</v>
      </c>
      <c r="M18" s="8">
        <f t="shared" si="3"/>
        <v>10.576923076923077</v>
      </c>
      <c r="N18" s="8">
        <f t="shared" si="4"/>
        <v>0</v>
      </c>
      <c r="O18" s="8">
        <f t="shared" si="5"/>
        <v>0</v>
      </c>
      <c r="P18" s="8"/>
      <c r="Q18" s="8"/>
    </row>
    <row r="19" spans="1:17" x14ac:dyDescent="0.35">
      <c r="A19" s="59">
        <v>43192</v>
      </c>
      <c r="B19">
        <v>89</v>
      </c>
      <c r="C19">
        <v>28</v>
      </c>
      <c r="D19">
        <v>3</v>
      </c>
      <c r="E19">
        <v>0</v>
      </c>
      <c r="F19">
        <v>0</v>
      </c>
      <c r="H19">
        <f t="shared" si="6"/>
        <v>120</v>
      </c>
      <c r="J19" s="59">
        <v>43192</v>
      </c>
      <c r="K19" s="8">
        <f t="shared" si="1"/>
        <v>74.166666666666671</v>
      </c>
      <c r="L19" s="8">
        <f t="shared" si="2"/>
        <v>23.333333333333332</v>
      </c>
      <c r="M19" s="8">
        <f t="shared" si="3"/>
        <v>2.5</v>
      </c>
      <c r="N19" s="8">
        <f t="shared" si="4"/>
        <v>0</v>
      </c>
      <c r="O19" s="8">
        <f t="shared" si="5"/>
        <v>0</v>
      </c>
      <c r="P19" s="8"/>
      <c r="Q19" s="8"/>
    </row>
    <row r="20" spans="1:17" x14ac:dyDescent="0.35">
      <c r="A20" s="59">
        <v>43193</v>
      </c>
      <c r="B20">
        <v>11</v>
      </c>
      <c r="C20">
        <v>40</v>
      </c>
      <c r="D20">
        <v>18</v>
      </c>
      <c r="E20">
        <v>2</v>
      </c>
      <c r="F20">
        <v>0</v>
      </c>
      <c r="H20">
        <f t="shared" si="6"/>
        <v>71</v>
      </c>
      <c r="J20" s="59">
        <v>43193</v>
      </c>
      <c r="K20" s="8">
        <f t="shared" si="1"/>
        <v>15.492957746478872</v>
      </c>
      <c r="L20" s="8">
        <f t="shared" si="2"/>
        <v>56.338028169014088</v>
      </c>
      <c r="M20" s="8">
        <f t="shared" si="3"/>
        <v>25.352112676056336</v>
      </c>
      <c r="N20" s="8">
        <f t="shared" si="4"/>
        <v>2.8169014084507045</v>
      </c>
      <c r="O20" s="8">
        <f t="shared" si="5"/>
        <v>0</v>
      </c>
      <c r="P20" s="8"/>
      <c r="Q20" s="8"/>
    </row>
    <row r="21" spans="1:17" x14ac:dyDescent="0.35">
      <c r="A21" s="59">
        <v>43196</v>
      </c>
      <c r="B21">
        <v>60</v>
      </c>
      <c r="C21">
        <v>37</v>
      </c>
      <c r="D21">
        <v>2</v>
      </c>
      <c r="E21">
        <v>1</v>
      </c>
      <c r="F21">
        <v>0</v>
      </c>
      <c r="H21">
        <f t="shared" si="6"/>
        <v>100</v>
      </c>
      <c r="J21" s="59">
        <v>43196</v>
      </c>
      <c r="K21" s="8">
        <f t="shared" si="1"/>
        <v>60</v>
      </c>
      <c r="L21" s="8">
        <f t="shared" si="2"/>
        <v>37</v>
      </c>
      <c r="M21" s="8">
        <f t="shared" si="3"/>
        <v>2</v>
      </c>
      <c r="N21" s="8">
        <f t="shared" si="4"/>
        <v>1</v>
      </c>
      <c r="O21" s="8">
        <f t="shared" si="5"/>
        <v>0</v>
      </c>
      <c r="P21" s="8"/>
      <c r="Q21" s="8"/>
    </row>
    <row r="22" spans="1:17" x14ac:dyDescent="0.35">
      <c r="A22" s="59">
        <v>43199</v>
      </c>
      <c r="B22">
        <v>54</v>
      </c>
      <c r="C22">
        <v>39</v>
      </c>
      <c r="D22">
        <v>8</v>
      </c>
      <c r="E22">
        <v>0</v>
      </c>
      <c r="F22">
        <v>0</v>
      </c>
      <c r="H22">
        <f t="shared" si="6"/>
        <v>101</v>
      </c>
      <c r="J22" s="59">
        <v>43199</v>
      </c>
      <c r="K22" s="8">
        <f t="shared" si="1"/>
        <v>53.46534653465347</v>
      </c>
      <c r="L22" s="8">
        <f t="shared" si="2"/>
        <v>38.613861386138616</v>
      </c>
      <c r="M22" s="8">
        <f t="shared" si="3"/>
        <v>7.9207920792079207</v>
      </c>
      <c r="N22" s="8">
        <f t="shared" si="4"/>
        <v>0</v>
      </c>
      <c r="O22" s="8">
        <f t="shared" si="5"/>
        <v>0</v>
      </c>
      <c r="P22" s="8"/>
      <c r="Q22" s="8"/>
    </row>
    <row r="23" spans="1:17" x14ac:dyDescent="0.35">
      <c r="A23" s="59">
        <v>43200</v>
      </c>
      <c r="B23">
        <v>52</v>
      </c>
      <c r="C23">
        <v>38</v>
      </c>
      <c r="D23">
        <v>9</v>
      </c>
      <c r="E23">
        <v>0</v>
      </c>
      <c r="F23">
        <v>0</v>
      </c>
      <c r="H23">
        <f t="shared" si="6"/>
        <v>99</v>
      </c>
      <c r="J23" s="59">
        <v>43200</v>
      </c>
      <c r="K23" s="8">
        <f t="shared" si="1"/>
        <v>52.525252525252533</v>
      </c>
      <c r="L23" s="8">
        <f t="shared" si="2"/>
        <v>38.383838383838381</v>
      </c>
      <c r="M23" s="8">
        <f t="shared" si="3"/>
        <v>9.0909090909090917</v>
      </c>
      <c r="N23" s="8">
        <f t="shared" si="4"/>
        <v>0</v>
      </c>
      <c r="O23" s="8">
        <f t="shared" si="5"/>
        <v>0</v>
      </c>
      <c r="P23" s="8"/>
      <c r="Q23" s="8"/>
    </row>
    <row r="24" spans="1:17" x14ac:dyDescent="0.35">
      <c r="A24" s="59">
        <v>43206</v>
      </c>
      <c r="B24">
        <v>37</v>
      </c>
      <c r="C24">
        <v>46</v>
      </c>
      <c r="D24">
        <v>8</v>
      </c>
      <c r="E24">
        <v>9</v>
      </c>
      <c r="F24">
        <v>0</v>
      </c>
      <c r="H24">
        <f t="shared" si="6"/>
        <v>100</v>
      </c>
      <c r="J24" s="59">
        <v>43206</v>
      </c>
      <c r="K24" s="8">
        <f t="shared" si="1"/>
        <v>37</v>
      </c>
      <c r="L24" s="8">
        <f t="shared" si="2"/>
        <v>46</v>
      </c>
      <c r="M24" s="8">
        <f t="shared" si="3"/>
        <v>8</v>
      </c>
      <c r="N24" s="8">
        <f t="shared" si="4"/>
        <v>9</v>
      </c>
      <c r="O24" s="8">
        <f t="shared" si="5"/>
        <v>0</v>
      </c>
      <c r="P24" s="8"/>
      <c r="Q24" s="8"/>
    </row>
    <row r="25" spans="1:17" x14ac:dyDescent="0.35">
      <c r="A25" s="59">
        <v>43213</v>
      </c>
      <c r="B25">
        <v>19</v>
      </c>
      <c r="C25">
        <v>47</v>
      </c>
      <c r="D25">
        <v>25</v>
      </c>
      <c r="E25">
        <v>6</v>
      </c>
      <c r="F25">
        <v>2</v>
      </c>
      <c r="H25">
        <f t="shared" si="6"/>
        <v>99</v>
      </c>
      <c r="J25" s="59">
        <v>43213</v>
      </c>
      <c r="K25" s="8">
        <f t="shared" si="1"/>
        <v>19.19191919191919</v>
      </c>
      <c r="L25" s="8">
        <f t="shared" si="2"/>
        <v>47.474747474747474</v>
      </c>
      <c r="M25" s="8">
        <f t="shared" si="3"/>
        <v>25.252525252525253</v>
      </c>
      <c r="N25" s="8">
        <f t="shared" si="4"/>
        <v>6.0606060606060606</v>
      </c>
      <c r="O25" s="8">
        <f t="shared" si="5"/>
        <v>2.0202020202020203</v>
      </c>
      <c r="P25" s="8"/>
      <c r="Q25" s="8"/>
    </row>
    <row r="26" spans="1:17" x14ac:dyDescent="0.35">
      <c r="A26" s="59">
        <v>43214</v>
      </c>
      <c r="B26">
        <v>8</v>
      </c>
      <c r="C26">
        <v>49</v>
      </c>
      <c r="D26">
        <v>32</v>
      </c>
      <c r="E26">
        <v>6</v>
      </c>
      <c r="F26">
        <v>5</v>
      </c>
      <c r="H26">
        <f t="shared" si="6"/>
        <v>100</v>
      </c>
      <c r="J26" s="59">
        <v>43214</v>
      </c>
      <c r="K26" s="8">
        <f t="shared" si="1"/>
        <v>8</v>
      </c>
      <c r="L26" s="8">
        <f t="shared" si="2"/>
        <v>49</v>
      </c>
      <c r="M26" s="8">
        <f t="shared" si="3"/>
        <v>32</v>
      </c>
      <c r="N26" s="8">
        <f t="shared" si="4"/>
        <v>6</v>
      </c>
      <c r="O26" s="8">
        <f t="shared" si="5"/>
        <v>5</v>
      </c>
      <c r="P26" s="8"/>
      <c r="Q26" s="8"/>
    </row>
    <row r="27" spans="1:17" x14ac:dyDescent="0.35">
      <c r="A27" s="59">
        <v>43222</v>
      </c>
      <c r="B27">
        <v>19</v>
      </c>
      <c r="C27">
        <v>21</v>
      </c>
      <c r="D27">
        <v>29</v>
      </c>
      <c r="E27">
        <v>18</v>
      </c>
      <c r="F27">
        <v>16</v>
      </c>
      <c r="H27">
        <f t="shared" si="6"/>
        <v>103</v>
      </c>
      <c r="J27" s="59">
        <v>43222</v>
      </c>
      <c r="K27" s="8">
        <f t="shared" si="1"/>
        <v>18.446601941747574</v>
      </c>
      <c r="L27" s="8">
        <f t="shared" si="2"/>
        <v>20.388349514563107</v>
      </c>
      <c r="M27" s="8">
        <f t="shared" si="3"/>
        <v>28.155339805825243</v>
      </c>
      <c r="N27" s="8">
        <f t="shared" si="4"/>
        <v>17.475728155339805</v>
      </c>
      <c r="O27" s="8">
        <f t="shared" si="5"/>
        <v>15.53398058252427</v>
      </c>
      <c r="P27" s="8"/>
      <c r="Q27" s="8"/>
    </row>
    <row r="28" spans="1:17" x14ac:dyDescent="0.35">
      <c r="A28" s="59">
        <v>43227</v>
      </c>
      <c r="B28">
        <v>36</v>
      </c>
      <c r="C28">
        <v>28</v>
      </c>
      <c r="D28">
        <v>13</v>
      </c>
      <c r="E28">
        <v>13</v>
      </c>
      <c r="F28">
        <v>13</v>
      </c>
      <c r="H28">
        <f t="shared" si="6"/>
        <v>103</v>
      </c>
      <c r="J28" s="59">
        <v>43227</v>
      </c>
      <c r="K28" s="8">
        <f t="shared" si="1"/>
        <v>34.95145631067961</v>
      </c>
      <c r="L28" s="8">
        <f t="shared" si="2"/>
        <v>27.184466019417474</v>
      </c>
      <c r="M28" s="8">
        <f t="shared" si="3"/>
        <v>12.621359223300971</v>
      </c>
      <c r="N28" s="8">
        <f t="shared" si="4"/>
        <v>12.621359223300971</v>
      </c>
      <c r="O28" s="8">
        <f t="shared" si="5"/>
        <v>12.621359223300971</v>
      </c>
      <c r="P28" s="8"/>
      <c r="Q28" s="8"/>
    </row>
    <row r="29" spans="1:17" x14ac:dyDescent="0.35">
      <c r="A29" s="59">
        <v>43234</v>
      </c>
      <c r="B29">
        <v>18</v>
      </c>
      <c r="C29">
        <v>20</v>
      </c>
      <c r="D29">
        <v>13</v>
      </c>
      <c r="E29">
        <v>16</v>
      </c>
      <c r="F29">
        <v>33</v>
      </c>
      <c r="H29">
        <f t="shared" si="6"/>
        <v>100</v>
      </c>
      <c r="J29" s="59">
        <v>43234</v>
      </c>
      <c r="K29" s="8">
        <f t="shared" si="1"/>
        <v>18</v>
      </c>
      <c r="L29" s="8">
        <f t="shared" si="2"/>
        <v>20</v>
      </c>
      <c r="M29" s="8">
        <f t="shared" si="3"/>
        <v>13</v>
      </c>
      <c r="N29" s="8">
        <f t="shared" si="4"/>
        <v>16</v>
      </c>
      <c r="O29" s="8">
        <f t="shared" si="5"/>
        <v>33</v>
      </c>
      <c r="P29" s="8"/>
      <c r="Q29" s="8"/>
    </row>
    <row r="30" spans="1:17" x14ac:dyDescent="0.35">
      <c r="A30" s="59">
        <v>43242</v>
      </c>
      <c r="B30">
        <v>2</v>
      </c>
      <c r="C30">
        <v>12</v>
      </c>
      <c r="D30">
        <v>4</v>
      </c>
      <c r="E30">
        <v>6</v>
      </c>
      <c r="F30">
        <v>76</v>
      </c>
      <c r="H30">
        <f t="shared" si="6"/>
        <v>100</v>
      </c>
      <c r="J30" s="59">
        <v>43242</v>
      </c>
      <c r="K30" s="8">
        <f t="shared" si="1"/>
        <v>2</v>
      </c>
      <c r="L30" s="8">
        <f t="shared" si="2"/>
        <v>12</v>
      </c>
      <c r="M30" s="8">
        <f t="shared" si="3"/>
        <v>4</v>
      </c>
      <c r="N30" s="8">
        <f t="shared" si="4"/>
        <v>6</v>
      </c>
      <c r="O30" s="8">
        <f t="shared" si="5"/>
        <v>76</v>
      </c>
      <c r="P30" s="8"/>
      <c r="Q30" s="8"/>
    </row>
    <row r="31" spans="1:17" x14ac:dyDescent="0.35">
      <c r="A31" s="59">
        <v>43248</v>
      </c>
      <c r="B31">
        <v>0</v>
      </c>
      <c r="C31">
        <v>4</v>
      </c>
      <c r="D31">
        <v>8</v>
      </c>
      <c r="E31">
        <v>17</v>
      </c>
      <c r="F31">
        <v>71</v>
      </c>
      <c r="H31">
        <f t="shared" si="6"/>
        <v>100</v>
      </c>
      <c r="J31" s="59">
        <v>43248</v>
      </c>
      <c r="K31" s="8">
        <f t="shared" si="1"/>
        <v>0</v>
      </c>
      <c r="L31" s="8">
        <f t="shared" si="2"/>
        <v>4</v>
      </c>
      <c r="M31" s="8">
        <f t="shared" si="3"/>
        <v>8</v>
      </c>
      <c r="N31" s="8">
        <f t="shared" si="4"/>
        <v>17</v>
      </c>
      <c r="O31" s="8">
        <f t="shared" si="5"/>
        <v>71</v>
      </c>
      <c r="P31" s="8"/>
      <c r="Q31" s="8"/>
    </row>
    <row r="32" spans="1:17" x14ac:dyDescent="0.35">
      <c r="K32" s="8"/>
      <c r="L32" s="8"/>
      <c r="M32" s="8"/>
      <c r="N32" s="8"/>
      <c r="O32" s="8"/>
      <c r="P32" s="8"/>
      <c r="Q32" s="8"/>
    </row>
    <row r="33" spans="1:17" x14ac:dyDescent="0.35">
      <c r="A33" t="s">
        <v>958</v>
      </c>
      <c r="J33" s="59">
        <v>43178</v>
      </c>
      <c r="K33" s="8"/>
      <c r="L33" s="8"/>
      <c r="M33" s="8"/>
      <c r="N33" s="8"/>
      <c r="O33" s="8"/>
      <c r="P33" s="8"/>
      <c r="Q33" s="8"/>
    </row>
    <row r="34" spans="1:17" x14ac:dyDescent="0.35">
      <c r="A34" s="59">
        <v>43185</v>
      </c>
      <c r="B34">
        <v>3</v>
      </c>
      <c r="C34">
        <v>1</v>
      </c>
      <c r="D34">
        <v>0</v>
      </c>
      <c r="E34">
        <v>0</v>
      </c>
      <c r="F34">
        <v>0</v>
      </c>
      <c r="H34">
        <f>SUM(B34:G34)</f>
        <v>4</v>
      </c>
      <c r="J34" s="59">
        <v>43185</v>
      </c>
      <c r="K34" s="8">
        <f t="shared" si="1"/>
        <v>75</v>
      </c>
      <c r="L34" s="8">
        <f t="shared" si="2"/>
        <v>25</v>
      </c>
      <c r="M34" s="8">
        <f t="shared" si="3"/>
        <v>0</v>
      </c>
      <c r="N34" s="8">
        <f t="shared" si="4"/>
        <v>0</v>
      </c>
      <c r="O34" s="8">
        <f t="shared" si="5"/>
        <v>0</v>
      </c>
      <c r="P34" s="8"/>
      <c r="Q34" s="8"/>
    </row>
    <row r="35" spans="1:17" x14ac:dyDescent="0.35">
      <c r="A35" s="59">
        <v>43193</v>
      </c>
      <c r="B35">
        <v>1</v>
      </c>
      <c r="C35">
        <v>2</v>
      </c>
      <c r="D35">
        <v>0</v>
      </c>
      <c r="E35">
        <v>0</v>
      </c>
      <c r="F35">
        <v>0</v>
      </c>
      <c r="H35">
        <f t="shared" ref="H35:H53" si="7">SUM(B35:G35)</f>
        <v>3</v>
      </c>
      <c r="J35" s="59">
        <v>43193</v>
      </c>
      <c r="K35" s="8">
        <f t="shared" si="1"/>
        <v>33.333333333333329</v>
      </c>
      <c r="L35" s="8">
        <f t="shared" si="2"/>
        <v>66.666666666666657</v>
      </c>
      <c r="M35" s="8">
        <f t="shared" si="3"/>
        <v>0</v>
      </c>
      <c r="N35" s="8">
        <f t="shared" si="4"/>
        <v>0</v>
      </c>
      <c r="O35" s="8">
        <f t="shared" si="5"/>
        <v>0</v>
      </c>
      <c r="P35" s="8"/>
      <c r="Q35" s="8"/>
    </row>
    <row r="36" spans="1:17" x14ac:dyDescent="0.35">
      <c r="A36" s="59">
        <v>43199</v>
      </c>
      <c r="B36">
        <v>3</v>
      </c>
      <c r="C36">
        <v>1</v>
      </c>
      <c r="D36">
        <v>0</v>
      </c>
      <c r="E36">
        <v>0</v>
      </c>
      <c r="F36">
        <v>0</v>
      </c>
      <c r="H36">
        <f t="shared" si="7"/>
        <v>4</v>
      </c>
      <c r="J36" s="59">
        <v>43199</v>
      </c>
      <c r="K36" s="8">
        <f t="shared" si="1"/>
        <v>75</v>
      </c>
      <c r="L36" s="8">
        <f t="shared" si="2"/>
        <v>25</v>
      </c>
      <c r="M36" s="8">
        <f t="shared" si="3"/>
        <v>0</v>
      </c>
      <c r="N36" s="8">
        <f t="shared" si="4"/>
        <v>0</v>
      </c>
      <c r="O36" s="8">
        <f t="shared" si="5"/>
        <v>0</v>
      </c>
      <c r="P36" s="8"/>
      <c r="Q36" s="8"/>
    </row>
    <row r="37" spans="1:17" x14ac:dyDescent="0.35">
      <c r="A37" s="59">
        <v>43206</v>
      </c>
      <c r="B37">
        <v>1</v>
      </c>
      <c r="C37">
        <v>0</v>
      </c>
      <c r="D37">
        <v>0</v>
      </c>
      <c r="E37">
        <v>0</v>
      </c>
      <c r="F37">
        <v>0</v>
      </c>
      <c r="H37">
        <f t="shared" si="7"/>
        <v>1</v>
      </c>
      <c r="J37" s="59">
        <v>43206</v>
      </c>
      <c r="K37" s="8">
        <f t="shared" si="1"/>
        <v>100</v>
      </c>
      <c r="L37" s="8">
        <f t="shared" si="2"/>
        <v>0</v>
      </c>
      <c r="M37" s="8">
        <f t="shared" si="3"/>
        <v>0</v>
      </c>
      <c r="N37" s="8">
        <f t="shared" si="4"/>
        <v>0</v>
      </c>
      <c r="O37" s="8">
        <f t="shared" si="5"/>
        <v>0</v>
      </c>
      <c r="P37" s="8"/>
      <c r="Q37" s="8"/>
    </row>
    <row r="38" spans="1:17" x14ac:dyDescent="0.35">
      <c r="A38" s="59">
        <v>43213</v>
      </c>
      <c r="B38">
        <v>2</v>
      </c>
      <c r="C38">
        <v>0</v>
      </c>
      <c r="D38">
        <v>2</v>
      </c>
      <c r="E38">
        <v>0</v>
      </c>
      <c r="F38">
        <v>0</v>
      </c>
      <c r="H38">
        <f t="shared" si="7"/>
        <v>4</v>
      </c>
      <c r="J38" s="59">
        <v>43213</v>
      </c>
      <c r="K38" s="8">
        <f t="shared" si="1"/>
        <v>50</v>
      </c>
      <c r="L38" s="8">
        <f t="shared" si="2"/>
        <v>0</v>
      </c>
      <c r="M38" s="8">
        <f t="shared" si="3"/>
        <v>50</v>
      </c>
      <c r="N38" s="8">
        <f t="shared" si="4"/>
        <v>0</v>
      </c>
      <c r="O38" s="8">
        <f t="shared" si="5"/>
        <v>0</v>
      </c>
      <c r="P38" s="8"/>
      <c r="Q38" s="8"/>
    </row>
    <row r="39" spans="1:17" x14ac:dyDescent="0.35">
      <c r="A39" s="59">
        <v>43222</v>
      </c>
      <c r="B39">
        <v>2</v>
      </c>
      <c r="C39">
        <v>0</v>
      </c>
      <c r="D39">
        <v>0</v>
      </c>
      <c r="E39">
        <v>0</v>
      </c>
      <c r="F39">
        <v>1</v>
      </c>
      <c r="H39">
        <f t="shared" si="7"/>
        <v>3</v>
      </c>
      <c r="J39" s="59">
        <v>43222</v>
      </c>
      <c r="K39" s="8">
        <f t="shared" si="1"/>
        <v>66.666666666666657</v>
      </c>
      <c r="L39" s="8">
        <f t="shared" si="2"/>
        <v>0</v>
      </c>
      <c r="M39" s="8">
        <f t="shared" si="3"/>
        <v>0</v>
      </c>
      <c r="N39" s="8">
        <f t="shared" si="4"/>
        <v>0</v>
      </c>
      <c r="O39" s="8">
        <f t="shared" si="5"/>
        <v>33.333333333333329</v>
      </c>
      <c r="P39" s="8"/>
      <c r="Q39" s="8"/>
    </row>
    <row r="40" spans="1:17" x14ac:dyDescent="0.35">
      <c r="A40" s="59">
        <v>43227</v>
      </c>
      <c r="B40">
        <v>0</v>
      </c>
      <c r="C40">
        <v>2</v>
      </c>
      <c r="D40">
        <v>1</v>
      </c>
      <c r="E40">
        <v>0</v>
      </c>
      <c r="F40">
        <v>2</v>
      </c>
      <c r="H40">
        <f t="shared" si="7"/>
        <v>5</v>
      </c>
      <c r="J40" s="59">
        <v>43227</v>
      </c>
      <c r="K40" s="8">
        <f t="shared" si="1"/>
        <v>0</v>
      </c>
      <c r="L40" s="8">
        <f t="shared" si="2"/>
        <v>40</v>
      </c>
      <c r="M40" s="8">
        <f t="shared" si="3"/>
        <v>20</v>
      </c>
      <c r="N40" s="8">
        <f t="shared" si="4"/>
        <v>0</v>
      </c>
      <c r="O40" s="8">
        <f t="shared" si="5"/>
        <v>40</v>
      </c>
      <c r="P40" s="8"/>
      <c r="Q40" s="8"/>
    </row>
    <row r="41" spans="1:17" x14ac:dyDescent="0.35">
      <c r="A41" s="59">
        <v>43234</v>
      </c>
      <c r="B41">
        <v>0</v>
      </c>
      <c r="C41">
        <v>0</v>
      </c>
      <c r="D41">
        <v>0</v>
      </c>
      <c r="E41">
        <v>0</v>
      </c>
      <c r="F41">
        <v>2</v>
      </c>
      <c r="H41">
        <f t="shared" si="7"/>
        <v>2</v>
      </c>
      <c r="J41" s="59">
        <v>43234</v>
      </c>
      <c r="K41" s="8">
        <f t="shared" si="1"/>
        <v>0</v>
      </c>
      <c r="L41" s="8">
        <f t="shared" si="2"/>
        <v>0</v>
      </c>
      <c r="M41" s="8">
        <f t="shared" si="3"/>
        <v>0</v>
      </c>
      <c r="N41" s="8">
        <f t="shared" si="4"/>
        <v>0</v>
      </c>
      <c r="O41" s="8">
        <f t="shared" si="5"/>
        <v>100</v>
      </c>
      <c r="P41" s="8"/>
      <c r="Q41" s="8"/>
    </row>
    <row r="42" spans="1:17" x14ac:dyDescent="0.35">
      <c r="J42" s="59">
        <v>43248</v>
      </c>
      <c r="K42" s="8"/>
      <c r="L42" s="8"/>
      <c r="M42" s="8"/>
      <c r="N42" s="8"/>
      <c r="O42" s="8"/>
      <c r="P42" s="8"/>
      <c r="Q42" s="8"/>
    </row>
    <row r="43" spans="1:17" x14ac:dyDescent="0.35">
      <c r="A43" t="s">
        <v>959</v>
      </c>
      <c r="J43" s="59">
        <v>43178</v>
      </c>
      <c r="K43" s="8"/>
      <c r="L43" s="8"/>
      <c r="M43" s="8"/>
      <c r="N43" s="8"/>
      <c r="O43" s="8"/>
      <c r="P43" s="8"/>
      <c r="Q43" s="8"/>
    </row>
    <row r="44" spans="1:17" x14ac:dyDescent="0.35">
      <c r="A44" s="59">
        <v>43185</v>
      </c>
      <c r="B44">
        <v>10</v>
      </c>
      <c r="C44">
        <v>11</v>
      </c>
      <c r="D44">
        <v>3</v>
      </c>
      <c r="E44">
        <v>0</v>
      </c>
      <c r="F44">
        <v>0</v>
      </c>
      <c r="H44">
        <f t="shared" si="7"/>
        <v>24</v>
      </c>
      <c r="J44" s="59">
        <v>43185</v>
      </c>
      <c r="K44" s="8">
        <f t="shared" si="1"/>
        <v>41.666666666666671</v>
      </c>
      <c r="L44" s="8">
        <f t="shared" si="2"/>
        <v>45.833333333333329</v>
      </c>
      <c r="M44" s="8">
        <f t="shared" si="3"/>
        <v>12.5</v>
      </c>
      <c r="N44" s="8">
        <f t="shared" si="4"/>
        <v>0</v>
      </c>
      <c r="O44" s="8">
        <f t="shared" si="5"/>
        <v>0</v>
      </c>
      <c r="P44" s="8"/>
      <c r="Q44" s="8"/>
    </row>
    <row r="45" spans="1:17" x14ac:dyDescent="0.35">
      <c r="A45" s="59">
        <v>43193</v>
      </c>
      <c r="B45">
        <v>3</v>
      </c>
      <c r="C45">
        <v>4</v>
      </c>
      <c r="D45">
        <v>1</v>
      </c>
      <c r="E45">
        <v>1</v>
      </c>
      <c r="F45">
        <v>0</v>
      </c>
      <c r="H45">
        <f t="shared" si="7"/>
        <v>9</v>
      </c>
      <c r="J45" s="59">
        <v>43193</v>
      </c>
      <c r="K45" s="8">
        <f t="shared" si="1"/>
        <v>33.333333333333329</v>
      </c>
      <c r="L45" s="8">
        <f t="shared" si="2"/>
        <v>44.444444444444443</v>
      </c>
      <c r="M45" s="8">
        <f t="shared" si="3"/>
        <v>11.111111111111111</v>
      </c>
      <c r="N45" s="8">
        <f t="shared" si="4"/>
        <v>11.111111111111111</v>
      </c>
      <c r="O45" s="8">
        <f t="shared" si="5"/>
        <v>0</v>
      </c>
      <c r="P45" s="8"/>
      <c r="Q45" s="8"/>
    </row>
    <row r="46" spans="1:17" x14ac:dyDescent="0.35">
      <c r="A46" s="59">
        <v>43199</v>
      </c>
      <c r="B46">
        <v>8</v>
      </c>
      <c r="C46">
        <v>9</v>
      </c>
      <c r="D46">
        <v>0</v>
      </c>
      <c r="E46">
        <v>0</v>
      </c>
      <c r="F46">
        <v>0</v>
      </c>
      <c r="H46">
        <f t="shared" si="7"/>
        <v>17</v>
      </c>
      <c r="J46" s="59">
        <v>43199</v>
      </c>
      <c r="K46" s="8">
        <f t="shared" si="1"/>
        <v>47.058823529411761</v>
      </c>
      <c r="L46" s="8">
        <f t="shared" si="2"/>
        <v>52.941176470588239</v>
      </c>
      <c r="M46" s="8">
        <f t="shared" si="3"/>
        <v>0</v>
      </c>
      <c r="N46" s="8">
        <f t="shared" si="4"/>
        <v>0</v>
      </c>
      <c r="O46" s="8">
        <f t="shared" si="5"/>
        <v>0</v>
      </c>
      <c r="P46" s="8"/>
      <c r="Q46" s="8"/>
    </row>
    <row r="47" spans="1:17" x14ac:dyDescent="0.35">
      <c r="A47" s="59">
        <v>43206</v>
      </c>
      <c r="B47">
        <v>26</v>
      </c>
      <c r="C47">
        <v>36</v>
      </c>
      <c r="D47">
        <v>7</v>
      </c>
      <c r="E47">
        <v>7</v>
      </c>
      <c r="F47">
        <v>0</v>
      </c>
      <c r="H47">
        <f t="shared" si="7"/>
        <v>76</v>
      </c>
      <c r="J47" s="59">
        <v>43206</v>
      </c>
      <c r="K47" s="8">
        <f t="shared" si="1"/>
        <v>34.210526315789473</v>
      </c>
      <c r="L47" s="8">
        <f t="shared" si="2"/>
        <v>47.368421052631575</v>
      </c>
      <c r="M47" s="8">
        <f t="shared" si="3"/>
        <v>9.2105263157894726</v>
      </c>
      <c r="N47" s="8">
        <f t="shared" si="4"/>
        <v>9.2105263157894726</v>
      </c>
      <c r="O47" s="8">
        <f t="shared" si="5"/>
        <v>0</v>
      </c>
      <c r="P47" s="8"/>
      <c r="Q47" s="8"/>
    </row>
    <row r="48" spans="1:17" x14ac:dyDescent="0.35">
      <c r="A48" s="59">
        <v>43213</v>
      </c>
      <c r="B48">
        <v>6</v>
      </c>
      <c r="C48">
        <v>60</v>
      </c>
      <c r="D48">
        <v>60</v>
      </c>
      <c r="E48">
        <v>19</v>
      </c>
      <c r="F48">
        <v>12</v>
      </c>
      <c r="H48">
        <f t="shared" si="7"/>
        <v>157</v>
      </c>
      <c r="J48" s="59">
        <v>43213</v>
      </c>
      <c r="K48" s="8">
        <f t="shared" si="1"/>
        <v>3.8216560509554141</v>
      </c>
      <c r="L48" s="8">
        <f t="shared" si="2"/>
        <v>38.216560509554142</v>
      </c>
      <c r="M48" s="8">
        <f t="shared" si="3"/>
        <v>38.216560509554142</v>
      </c>
      <c r="N48" s="8">
        <f t="shared" si="4"/>
        <v>12.101910828025478</v>
      </c>
      <c r="O48" s="8">
        <f t="shared" si="5"/>
        <v>7.6433121019108281</v>
      </c>
      <c r="P48" s="8"/>
      <c r="Q48" s="8"/>
    </row>
    <row r="49" spans="1:17" x14ac:dyDescent="0.35">
      <c r="A49" s="59">
        <v>43222</v>
      </c>
      <c r="B49">
        <v>17</v>
      </c>
      <c r="C49">
        <v>13</v>
      </c>
      <c r="D49">
        <v>18</v>
      </c>
      <c r="E49">
        <v>35</v>
      </c>
      <c r="F49">
        <v>89</v>
      </c>
      <c r="H49">
        <f t="shared" si="7"/>
        <v>172</v>
      </c>
      <c r="J49" s="59">
        <v>43222</v>
      </c>
      <c r="K49" s="8">
        <f t="shared" si="1"/>
        <v>9.8837209302325579</v>
      </c>
      <c r="L49" s="8">
        <f t="shared" si="2"/>
        <v>7.5581395348837201</v>
      </c>
      <c r="M49" s="8">
        <f t="shared" si="3"/>
        <v>10.465116279069768</v>
      </c>
      <c r="N49" s="8">
        <f t="shared" si="4"/>
        <v>20.348837209302324</v>
      </c>
      <c r="O49" s="8">
        <f t="shared" si="5"/>
        <v>51.744186046511629</v>
      </c>
      <c r="P49" s="8"/>
      <c r="Q49" s="8"/>
    </row>
    <row r="50" spans="1:17" x14ac:dyDescent="0.35">
      <c r="A50" s="59">
        <v>43227</v>
      </c>
      <c r="B50">
        <v>10</v>
      </c>
      <c r="C50">
        <v>10</v>
      </c>
      <c r="D50">
        <v>8</v>
      </c>
      <c r="E50">
        <v>13</v>
      </c>
      <c r="F50">
        <v>33</v>
      </c>
      <c r="H50">
        <f t="shared" si="7"/>
        <v>74</v>
      </c>
      <c r="J50" s="59">
        <v>43227</v>
      </c>
      <c r="K50" s="8">
        <f t="shared" si="1"/>
        <v>13.513513513513514</v>
      </c>
      <c r="L50" s="8">
        <f t="shared" si="2"/>
        <v>13.513513513513514</v>
      </c>
      <c r="M50" s="8">
        <f t="shared" si="3"/>
        <v>10.810810810810811</v>
      </c>
      <c r="N50" s="8">
        <f t="shared" si="4"/>
        <v>17.567567567567568</v>
      </c>
      <c r="O50" s="8">
        <f t="shared" si="5"/>
        <v>44.594594594594597</v>
      </c>
      <c r="P50" s="8"/>
      <c r="Q50" s="8"/>
    </row>
    <row r="51" spans="1:17" x14ac:dyDescent="0.35">
      <c r="A51" s="59">
        <v>43234</v>
      </c>
      <c r="B51">
        <v>12</v>
      </c>
      <c r="C51">
        <v>30</v>
      </c>
      <c r="D51">
        <v>29</v>
      </c>
      <c r="E51">
        <v>31</v>
      </c>
      <c r="F51">
        <v>189</v>
      </c>
      <c r="H51">
        <f t="shared" si="7"/>
        <v>291</v>
      </c>
      <c r="J51" s="59">
        <v>43234</v>
      </c>
      <c r="K51" s="8">
        <f t="shared" si="1"/>
        <v>4.1237113402061851</v>
      </c>
      <c r="L51" s="8">
        <f t="shared" si="2"/>
        <v>10.309278350515463</v>
      </c>
      <c r="M51" s="8">
        <f t="shared" si="3"/>
        <v>9.9656357388316152</v>
      </c>
      <c r="N51" s="8">
        <f t="shared" si="4"/>
        <v>10.652920962199312</v>
      </c>
      <c r="O51" s="8">
        <f t="shared" si="5"/>
        <v>64.948453608247419</v>
      </c>
      <c r="P51" s="8"/>
      <c r="Q51" s="8"/>
    </row>
    <row r="52" spans="1:17" x14ac:dyDescent="0.35">
      <c r="A52" s="59">
        <v>43242</v>
      </c>
      <c r="B52">
        <v>2</v>
      </c>
      <c r="C52">
        <v>10</v>
      </c>
      <c r="D52">
        <v>15</v>
      </c>
      <c r="E52">
        <v>27</v>
      </c>
      <c r="F52">
        <v>250</v>
      </c>
      <c r="H52">
        <f t="shared" si="7"/>
        <v>304</v>
      </c>
      <c r="J52" s="59">
        <v>43242</v>
      </c>
      <c r="K52" s="8">
        <f t="shared" si="1"/>
        <v>0.6578947368421052</v>
      </c>
      <c r="L52" s="8">
        <f t="shared" si="2"/>
        <v>3.2894736842105261</v>
      </c>
      <c r="M52" s="8">
        <f t="shared" si="3"/>
        <v>4.9342105263157894</v>
      </c>
      <c r="N52" s="8">
        <f t="shared" si="4"/>
        <v>8.8815789473684212</v>
      </c>
      <c r="O52" s="8">
        <f t="shared" si="5"/>
        <v>82.23684210526315</v>
      </c>
      <c r="P52" s="8"/>
      <c r="Q52" s="8"/>
    </row>
    <row r="53" spans="1:17" x14ac:dyDescent="0.35">
      <c r="A53" s="59">
        <v>43248</v>
      </c>
      <c r="B53">
        <v>1</v>
      </c>
      <c r="C53">
        <v>1</v>
      </c>
      <c r="D53">
        <v>6</v>
      </c>
      <c r="E53">
        <v>20</v>
      </c>
      <c r="F53">
        <v>172</v>
      </c>
      <c r="H53">
        <f t="shared" si="7"/>
        <v>200</v>
      </c>
      <c r="J53" s="59">
        <v>43248</v>
      </c>
      <c r="K53" s="8">
        <f t="shared" si="1"/>
        <v>0.5</v>
      </c>
      <c r="L53" s="8">
        <f t="shared" si="2"/>
        <v>0.5</v>
      </c>
      <c r="M53" s="8">
        <f t="shared" si="3"/>
        <v>3</v>
      </c>
      <c r="N53" s="8">
        <f t="shared" si="4"/>
        <v>10</v>
      </c>
      <c r="O53" s="8">
        <f t="shared" si="5"/>
        <v>86</v>
      </c>
      <c r="P53" s="8"/>
      <c r="Q53" s="8"/>
    </row>
    <row r="57" spans="1:17" x14ac:dyDescent="0.35">
      <c r="K57" t="s">
        <v>476</v>
      </c>
      <c r="L57" t="s">
        <v>646</v>
      </c>
      <c r="M57" t="s">
        <v>293</v>
      </c>
      <c r="N57" t="s">
        <v>198</v>
      </c>
      <c r="O57" t="s">
        <v>360</v>
      </c>
    </row>
    <row r="58" spans="1:17" x14ac:dyDescent="0.35">
      <c r="I58" s="59">
        <v>43185</v>
      </c>
    </row>
    <row r="59" spans="1:17" x14ac:dyDescent="0.35">
      <c r="J59" t="s">
        <v>960</v>
      </c>
      <c r="K59">
        <v>84</v>
      </c>
      <c r="L59">
        <v>14.000000000000002</v>
      </c>
      <c r="M59">
        <v>2</v>
      </c>
      <c r="N59">
        <v>0</v>
      </c>
      <c r="O59">
        <v>0</v>
      </c>
    </row>
    <row r="60" spans="1:17" x14ac:dyDescent="0.35">
      <c r="J60" t="s">
        <v>178</v>
      </c>
      <c r="K60" s="8">
        <v>62.745098039215684</v>
      </c>
      <c r="L60" s="8">
        <v>35.294117647058826</v>
      </c>
      <c r="M60" s="8">
        <v>1.9607843137254901</v>
      </c>
      <c r="N60" s="8">
        <v>0</v>
      </c>
      <c r="O60" s="8">
        <v>0</v>
      </c>
    </row>
    <row r="61" spans="1:17" x14ac:dyDescent="0.35">
      <c r="J61" t="s">
        <v>176</v>
      </c>
      <c r="K61" s="8">
        <v>20</v>
      </c>
      <c r="L61" s="8">
        <v>66.666666666666657</v>
      </c>
      <c r="M61" s="8">
        <v>6.666666666666667</v>
      </c>
      <c r="N61" s="8">
        <v>6.666666666666667</v>
      </c>
      <c r="O61" s="8">
        <v>0</v>
      </c>
    </row>
    <row r="62" spans="1:17" x14ac:dyDescent="0.35">
      <c r="J62" t="s">
        <v>177</v>
      </c>
      <c r="K62" s="8">
        <v>41.666666666666671</v>
      </c>
      <c r="L62" s="8">
        <v>45.833333333333329</v>
      </c>
      <c r="M62" s="8">
        <v>12.5</v>
      </c>
      <c r="N62" s="8">
        <v>0</v>
      </c>
      <c r="O62" s="8">
        <v>0</v>
      </c>
    </row>
    <row r="64" spans="1:17" x14ac:dyDescent="0.35">
      <c r="I64" s="59">
        <v>43200</v>
      </c>
      <c r="J64" t="s">
        <v>960</v>
      </c>
      <c r="K64" s="8">
        <v>29.702970297029701</v>
      </c>
      <c r="L64" s="8">
        <v>69.306930693069305</v>
      </c>
      <c r="M64" s="8">
        <v>0.99009900990099009</v>
      </c>
      <c r="N64" s="8">
        <v>0</v>
      </c>
      <c r="O64" s="8">
        <v>0</v>
      </c>
    </row>
    <row r="65" spans="10:15" x14ac:dyDescent="0.35">
      <c r="J65" t="s">
        <v>178</v>
      </c>
      <c r="K65" s="8">
        <v>50</v>
      </c>
      <c r="L65" s="8">
        <v>44.230769230769226</v>
      </c>
      <c r="M65" s="8">
        <v>3.8461538461538463</v>
      </c>
      <c r="N65" s="8">
        <v>1.9230769230769231</v>
      </c>
      <c r="O65" s="8">
        <v>0</v>
      </c>
    </row>
    <row r="66" spans="10:15" x14ac:dyDescent="0.35">
      <c r="J66" t="s">
        <v>176</v>
      </c>
      <c r="K66" s="8">
        <v>52.525252525252533</v>
      </c>
      <c r="L66" s="8">
        <v>38.383838383838381</v>
      </c>
      <c r="M66" s="8">
        <v>9.0909090909090917</v>
      </c>
      <c r="N66" s="8">
        <v>0</v>
      </c>
      <c r="O66" s="8">
        <v>0</v>
      </c>
    </row>
    <row r="67" spans="10:15" x14ac:dyDescent="0.35">
      <c r="J67" t="s">
        <v>177</v>
      </c>
      <c r="K67" s="8">
        <v>47.058823529411761</v>
      </c>
      <c r="L67" s="8">
        <v>52.941176470588239</v>
      </c>
      <c r="M67" s="8">
        <v>0</v>
      </c>
      <c r="N67" s="8">
        <v>0</v>
      </c>
      <c r="O67" s="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fysico-chemie</vt:lpstr>
      <vt:lpstr>fig fysico-chemie</vt:lpstr>
      <vt:lpstr>vangsten</vt:lpstr>
      <vt:lpstr>nachtvangsten</vt:lpstr>
      <vt:lpstr>morfometrie</vt:lpstr>
      <vt:lpstr>morf. samenv.</vt:lpstr>
      <vt:lpstr>opmerkingen</vt:lpstr>
      <vt:lpstr>Benthos</vt:lpstr>
      <vt:lpstr>tabel + figuren paper</vt:lpstr>
      <vt:lpstr>voedselopname 2018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Wichelen, Jeroen</dc:creator>
  <cp:lastModifiedBy>Michiel perneel</cp:lastModifiedBy>
  <dcterms:created xsi:type="dcterms:W3CDTF">2016-03-14T09:19:02Z</dcterms:created>
  <dcterms:modified xsi:type="dcterms:W3CDTF">2019-04-25T16:21:48Z</dcterms:modified>
</cp:coreProperties>
</file>